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'GM-WeeklyChnge'!$A$1:$K$39</definedName>
    <definedName name="_xlnm.Print_Area" localSheetId="5">GrossMargin!$B$2:$N$41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K15" i="4"/>
  <c r="L15" i="4"/>
  <c r="M15" i="4"/>
  <c r="F16" i="4"/>
  <c r="M16" i="4"/>
  <c r="D18" i="4"/>
  <c r="E18" i="4"/>
  <c r="F18" i="4"/>
  <c r="M18" i="4"/>
  <c r="U21" i="1" s="1"/>
  <c r="D19" i="4"/>
  <c r="M19" i="4"/>
  <c r="U22" i="1" s="1"/>
  <c r="F20" i="4"/>
  <c r="M20" i="4"/>
  <c r="E22" i="4"/>
  <c r="F24" i="4"/>
  <c r="K24" i="4"/>
  <c r="M24" i="4" s="1"/>
  <c r="M28" i="4"/>
  <c r="F29" i="4"/>
  <c r="D9" i="19"/>
  <c r="D14" i="19"/>
  <c r="C15" i="19"/>
  <c r="D15" i="19"/>
  <c r="E15" i="19"/>
  <c r="C16" i="19"/>
  <c r="D16" i="19"/>
  <c r="D20" i="19"/>
  <c r="C21" i="19"/>
  <c r="E21" i="19" s="1"/>
  <c r="D21" i="19"/>
  <c r="C22" i="19"/>
  <c r="C30" i="19"/>
  <c r="D30" i="19"/>
  <c r="E30" i="19"/>
  <c r="C37" i="19"/>
  <c r="D37" i="19"/>
  <c r="E37" i="19" s="1"/>
  <c r="C38" i="19"/>
  <c r="E38" i="19" s="1"/>
  <c r="D38" i="19"/>
  <c r="C39" i="19"/>
  <c r="D39" i="19"/>
  <c r="E39" i="19"/>
  <c r="B4" i="3"/>
  <c r="A4" i="19" s="1"/>
  <c r="D9" i="3"/>
  <c r="D10" i="3"/>
  <c r="E14" i="3"/>
  <c r="D14" i="3" s="1"/>
  <c r="F15" i="3"/>
  <c r="F16" i="3"/>
  <c r="T17" i="1" s="1"/>
  <c r="D20" i="3"/>
  <c r="D21" i="3"/>
  <c r="F21" i="3"/>
  <c r="E22" i="3"/>
  <c r="F22" i="3"/>
  <c r="E29" i="3"/>
  <c r="F30" i="3"/>
  <c r="F37" i="3"/>
  <c r="F38" i="3"/>
  <c r="F39" i="3"/>
  <c r="A3" i="9"/>
  <c r="C9" i="9"/>
  <c r="D9" i="9"/>
  <c r="E9" i="9"/>
  <c r="F9" i="9"/>
  <c r="G9" i="9"/>
  <c r="I9" i="9"/>
  <c r="J9" i="9"/>
  <c r="C10" i="9"/>
  <c r="E10" i="9"/>
  <c r="F10" i="9"/>
  <c r="G10" i="9"/>
  <c r="I10" i="9"/>
  <c r="J10" i="9"/>
  <c r="C11" i="9"/>
  <c r="D11" i="9"/>
  <c r="E11" i="9"/>
  <c r="F11" i="9"/>
  <c r="G11" i="9"/>
  <c r="I11" i="9"/>
  <c r="J11" i="9"/>
  <c r="C12" i="9"/>
  <c r="D12" i="9"/>
  <c r="E12" i="9"/>
  <c r="F12" i="9"/>
  <c r="G12" i="9"/>
  <c r="I12" i="9"/>
  <c r="J12" i="9"/>
  <c r="C13" i="9"/>
  <c r="D13" i="9"/>
  <c r="E13" i="9"/>
  <c r="F13" i="9"/>
  <c r="G13" i="9"/>
  <c r="I13" i="9"/>
  <c r="J13" i="9"/>
  <c r="C14" i="9"/>
  <c r="D14" i="9"/>
  <c r="D20" i="9" s="1"/>
  <c r="E14" i="9"/>
  <c r="F14" i="9"/>
  <c r="G14" i="9"/>
  <c r="I14" i="9"/>
  <c r="J14" i="9"/>
  <c r="C15" i="9"/>
  <c r="H15" i="9" s="1"/>
  <c r="K15" i="9" s="1"/>
  <c r="D15" i="9"/>
  <c r="E15" i="9"/>
  <c r="F15" i="9"/>
  <c r="G15" i="9"/>
  <c r="I15" i="9"/>
  <c r="J15" i="9"/>
  <c r="C16" i="9"/>
  <c r="D16" i="9"/>
  <c r="E16" i="9"/>
  <c r="F16" i="9"/>
  <c r="G16" i="9"/>
  <c r="H16" i="9"/>
  <c r="I16" i="9"/>
  <c r="J16" i="9"/>
  <c r="C17" i="9"/>
  <c r="D17" i="9"/>
  <c r="H17" i="9" s="1"/>
  <c r="E17" i="9"/>
  <c r="F17" i="9"/>
  <c r="G17" i="9"/>
  <c r="I17" i="9"/>
  <c r="J17" i="9"/>
  <c r="C18" i="9"/>
  <c r="H18" i="9" s="1"/>
  <c r="K18" i="9" s="1"/>
  <c r="D18" i="9"/>
  <c r="E18" i="9"/>
  <c r="F18" i="9"/>
  <c r="G18" i="9"/>
  <c r="I18" i="9"/>
  <c r="J18" i="9"/>
  <c r="C19" i="9"/>
  <c r="H19" i="9" s="1"/>
  <c r="D19" i="9"/>
  <c r="E19" i="9"/>
  <c r="F19" i="9"/>
  <c r="G19" i="9"/>
  <c r="I19" i="9"/>
  <c r="J19" i="9"/>
  <c r="E20" i="9"/>
  <c r="F20" i="9"/>
  <c r="C21" i="9"/>
  <c r="H21" i="9" s="1"/>
  <c r="K21" i="9" s="1"/>
  <c r="D21" i="9"/>
  <c r="E21" i="9"/>
  <c r="F21" i="9"/>
  <c r="G21" i="9"/>
  <c r="I21" i="9"/>
  <c r="J21" i="9"/>
  <c r="C22" i="9"/>
  <c r="D22" i="9"/>
  <c r="E22" i="9"/>
  <c r="F22" i="9"/>
  <c r="G22" i="9"/>
  <c r="H22" i="9"/>
  <c r="I22" i="9"/>
  <c r="J22" i="9"/>
  <c r="C23" i="9"/>
  <c r="D23" i="9"/>
  <c r="E23" i="9"/>
  <c r="F23" i="9"/>
  <c r="G23" i="9"/>
  <c r="H23" i="9"/>
  <c r="I23" i="9"/>
  <c r="J23" i="9"/>
  <c r="C27" i="9"/>
  <c r="D27" i="9"/>
  <c r="F27" i="9"/>
  <c r="G27" i="9"/>
  <c r="H27" i="9"/>
  <c r="I27" i="9"/>
  <c r="I31" i="9" s="1"/>
  <c r="J27" i="9"/>
  <c r="C28" i="9"/>
  <c r="C31" i="9" s="1"/>
  <c r="D28" i="9"/>
  <c r="E28" i="9"/>
  <c r="F28" i="9"/>
  <c r="G28" i="9"/>
  <c r="H28" i="9"/>
  <c r="K28" i="9" s="1"/>
  <c r="I28" i="9"/>
  <c r="J28" i="9"/>
  <c r="C29" i="9"/>
  <c r="D29" i="9"/>
  <c r="E29" i="9"/>
  <c r="F29" i="9"/>
  <c r="G29" i="9"/>
  <c r="I29" i="9"/>
  <c r="J29" i="9"/>
  <c r="J31" i="9" s="1"/>
  <c r="D31" i="9"/>
  <c r="F31" i="9"/>
  <c r="C36" i="9"/>
  <c r="H36" i="9" s="1"/>
  <c r="D36" i="9"/>
  <c r="E36" i="9"/>
  <c r="F36" i="9"/>
  <c r="G36" i="9"/>
  <c r="I36" i="9"/>
  <c r="J36" i="9"/>
  <c r="K36" i="9"/>
  <c r="B4" i="2"/>
  <c r="G10" i="2"/>
  <c r="I10" i="2"/>
  <c r="L10" i="2"/>
  <c r="N10" i="2"/>
  <c r="E11" i="2"/>
  <c r="E26" i="2" s="1"/>
  <c r="I11" i="2"/>
  <c r="I12" i="2"/>
  <c r="I13" i="2"/>
  <c r="L13" i="2"/>
  <c r="I14" i="2"/>
  <c r="L14" i="2"/>
  <c r="I15" i="2"/>
  <c r="L15" i="2"/>
  <c r="N15" i="2" s="1"/>
  <c r="I16" i="2"/>
  <c r="L16" i="2"/>
  <c r="N16" i="2"/>
  <c r="I17" i="2"/>
  <c r="L17" i="2"/>
  <c r="N17" i="2" s="1"/>
  <c r="I18" i="2"/>
  <c r="L18" i="2" s="1"/>
  <c r="N18" i="2" s="1"/>
  <c r="I19" i="2"/>
  <c r="L19" i="2" s="1"/>
  <c r="N19" i="2" s="1"/>
  <c r="I20" i="2"/>
  <c r="L20" i="2"/>
  <c r="N20" i="2" s="1"/>
  <c r="D21" i="2"/>
  <c r="E21" i="2"/>
  <c r="F21" i="2"/>
  <c r="G21" i="2"/>
  <c r="H21" i="2"/>
  <c r="I21" i="2"/>
  <c r="G14" i="1" s="1"/>
  <c r="K21" i="2"/>
  <c r="I14" i="1" s="1"/>
  <c r="M21" i="2"/>
  <c r="I22" i="2"/>
  <c r="L22" i="2"/>
  <c r="N22" i="2" s="1"/>
  <c r="I23" i="2"/>
  <c r="L23" i="2"/>
  <c r="N23" i="2" s="1"/>
  <c r="I24" i="2"/>
  <c r="L24" i="2" s="1"/>
  <c r="N24" i="2" s="1"/>
  <c r="D26" i="2"/>
  <c r="F26" i="2"/>
  <c r="G26" i="2"/>
  <c r="G35" i="2" s="1"/>
  <c r="H26" i="2"/>
  <c r="H35" i="2" s="1"/>
  <c r="J26" i="2"/>
  <c r="F28" i="2"/>
  <c r="E27" i="9" s="1"/>
  <c r="E31" i="9" s="1"/>
  <c r="I28" i="2"/>
  <c r="L28" i="2" s="1"/>
  <c r="M28" i="2"/>
  <c r="N28" i="2"/>
  <c r="I29" i="2"/>
  <c r="I30" i="2"/>
  <c r="L30" i="2"/>
  <c r="N30" i="2" s="1"/>
  <c r="D32" i="2"/>
  <c r="E32" i="2"/>
  <c r="F32" i="2"/>
  <c r="F35" i="2" s="1"/>
  <c r="F39" i="2" s="1"/>
  <c r="G32" i="2"/>
  <c r="H32" i="2"/>
  <c r="J32" i="2"/>
  <c r="K32" i="2"/>
  <c r="M32" i="2"/>
  <c r="D35" i="2"/>
  <c r="D39" i="2" s="1"/>
  <c r="E35" i="2"/>
  <c r="E39" i="2" s="1"/>
  <c r="J35" i="2"/>
  <c r="J39" i="2" s="1"/>
  <c r="I37" i="2"/>
  <c r="L37" i="2" s="1"/>
  <c r="N37" i="2" s="1"/>
  <c r="M37" i="2"/>
  <c r="G39" i="2"/>
  <c r="H39" i="2"/>
  <c r="F9" i="8"/>
  <c r="J9" i="8"/>
  <c r="L9" i="8"/>
  <c r="M9" i="8"/>
  <c r="N9" i="8"/>
  <c r="F15" i="8"/>
  <c r="J15" i="8"/>
  <c r="L15" i="8"/>
  <c r="M15" i="8"/>
  <c r="N15" i="8"/>
  <c r="F16" i="8"/>
  <c r="J16" i="8"/>
  <c r="L16" i="8"/>
  <c r="N16" i="8" s="1"/>
  <c r="M16" i="8"/>
  <c r="A4" i="38"/>
  <c r="E9" i="38"/>
  <c r="E11" i="38" s="1"/>
  <c r="I9" i="38"/>
  <c r="I11" i="38" s="1"/>
  <c r="C11" i="38"/>
  <c r="C34" i="38" s="1"/>
  <c r="D11" i="38"/>
  <c r="G11" i="38"/>
  <c r="H11" i="38"/>
  <c r="E13" i="38"/>
  <c r="E15" i="38" s="1"/>
  <c r="C15" i="38"/>
  <c r="D15" i="38"/>
  <c r="E17" i="38"/>
  <c r="E19" i="38" s="1"/>
  <c r="G17" i="38"/>
  <c r="G19" i="38" s="1"/>
  <c r="H17" i="38"/>
  <c r="I17" i="38" s="1"/>
  <c r="C19" i="38"/>
  <c r="D19" i="38"/>
  <c r="H19" i="38"/>
  <c r="I19" i="38"/>
  <c r="E21" i="38"/>
  <c r="H21" i="38"/>
  <c r="C23" i="38"/>
  <c r="D23" i="38"/>
  <c r="E23" i="38"/>
  <c r="E25" i="38"/>
  <c r="G25" i="38"/>
  <c r="I25" i="38"/>
  <c r="E26" i="38"/>
  <c r="G26" i="38"/>
  <c r="I26" i="38"/>
  <c r="E27" i="38"/>
  <c r="G27" i="38"/>
  <c r="I27" i="38"/>
  <c r="E28" i="38"/>
  <c r="G28" i="38"/>
  <c r="E29" i="38"/>
  <c r="G29" i="38"/>
  <c r="H29" i="38"/>
  <c r="I29" i="38" s="1"/>
  <c r="C31" i="38"/>
  <c r="D31" i="38"/>
  <c r="E31" i="38"/>
  <c r="H31" i="38"/>
  <c r="E39" i="38"/>
  <c r="E40" i="38"/>
  <c r="E41" i="38"/>
  <c r="C9" i="1"/>
  <c r="D9" i="1"/>
  <c r="E9" i="1" s="1"/>
  <c r="G9" i="1"/>
  <c r="H9" i="1"/>
  <c r="I9" i="1"/>
  <c r="L9" i="1"/>
  <c r="N9" i="1"/>
  <c r="S9" i="1"/>
  <c r="U9" i="1"/>
  <c r="H10" i="1"/>
  <c r="I10" i="1"/>
  <c r="L10" i="1"/>
  <c r="H11" i="1"/>
  <c r="H11" i="36" s="1"/>
  <c r="I11" i="1"/>
  <c r="G12" i="1"/>
  <c r="H12" i="1"/>
  <c r="I12" i="1"/>
  <c r="J12" i="1"/>
  <c r="G13" i="1"/>
  <c r="H13" i="1"/>
  <c r="H13" i="36" s="1"/>
  <c r="I13" i="1"/>
  <c r="L13" i="1"/>
  <c r="C14" i="1"/>
  <c r="H14" i="1"/>
  <c r="N14" i="1"/>
  <c r="U14" i="1"/>
  <c r="C15" i="1"/>
  <c r="D15" i="1"/>
  <c r="E15" i="1" s="1"/>
  <c r="G15" i="1"/>
  <c r="H15" i="1"/>
  <c r="J15" i="1" s="1"/>
  <c r="I15" i="1"/>
  <c r="L15" i="1"/>
  <c r="M15" i="1"/>
  <c r="N15" i="1"/>
  <c r="S15" i="1"/>
  <c r="T15" i="1"/>
  <c r="U15" i="1"/>
  <c r="C16" i="1"/>
  <c r="E16" i="1"/>
  <c r="G16" i="1"/>
  <c r="J16" i="1" s="1"/>
  <c r="C17" i="1"/>
  <c r="D17" i="1"/>
  <c r="E17" i="1"/>
  <c r="G17" i="1"/>
  <c r="J17" i="1" s="1"/>
  <c r="C16" i="37" s="1"/>
  <c r="H17" i="1"/>
  <c r="I17" i="1"/>
  <c r="L17" i="1"/>
  <c r="L16" i="36" s="1"/>
  <c r="M17" i="1"/>
  <c r="N17" i="1"/>
  <c r="O17" i="1"/>
  <c r="S17" i="1"/>
  <c r="U17" i="1"/>
  <c r="K19" i="1"/>
  <c r="R19" i="1"/>
  <c r="R28" i="1" s="1"/>
  <c r="C21" i="1"/>
  <c r="D21" i="1"/>
  <c r="E21" i="1"/>
  <c r="G21" i="1"/>
  <c r="H21" i="1"/>
  <c r="I21" i="1"/>
  <c r="L21" i="1"/>
  <c r="M21" i="1"/>
  <c r="M25" i="1" s="1"/>
  <c r="N21" i="1"/>
  <c r="S21" i="1"/>
  <c r="C22" i="1"/>
  <c r="D22" i="1"/>
  <c r="E22" i="1"/>
  <c r="H22" i="1"/>
  <c r="I22" i="1"/>
  <c r="M22" i="1"/>
  <c r="N22" i="1"/>
  <c r="N25" i="1" s="1"/>
  <c r="T22" i="1"/>
  <c r="C23" i="1"/>
  <c r="D23" i="1"/>
  <c r="E23" i="1" s="1"/>
  <c r="G23" i="1"/>
  <c r="J23" i="1" s="1"/>
  <c r="H23" i="1"/>
  <c r="I23" i="1"/>
  <c r="L23" i="1"/>
  <c r="M23" i="1"/>
  <c r="N23" i="1"/>
  <c r="O23" i="1"/>
  <c r="S23" i="1"/>
  <c r="T23" i="1"/>
  <c r="U23" i="1"/>
  <c r="C25" i="1"/>
  <c r="F25" i="1"/>
  <c r="F28" i="1" s="1"/>
  <c r="H25" i="1"/>
  <c r="K25" i="1"/>
  <c r="R25" i="1"/>
  <c r="U25" i="1"/>
  <c r="K28" i="1"/>
  <c r="K35" i="1" s="1"/>
  <c r="J30" i="1"/>
  <c r="L30" i="1"/>
  <c r="Q30" i="1"/>
  <c r="J31" i="1"/>
  <c r="Q31" i="1" s="1"/>
  <c r="C32" i="1"/>
  <c r="D32" i="1"/>
  <c r="E32" i="1"/>
  <c r="G32" i="1"/>
  <c r="H32" i="1"/>
  <c r="H21" i="36" s="1"/>
  <c r="I32" i="1"/>
  <c r="M32" i="1"/>
  <c r="T32" i="1"/>
  <c r="J33" i="1"/>
  <c r="V34" i="1"/>
  <c r="R35" i="1"/>
  <c r="R39" i="1" s="1"/>
  <c r="G37" i="1"/>
  <c r="H37" i="1"/>
  <c r="I37" i="1"/>
  <c r="I26" i="36" s="1"/>
  <c r="K39" i="1"/>
  <c r="G41" i="1"/>
  <c r="Q3" i="39"/>
  <c r="C10" i="39"/>
  <c r="D12" i="39"/>
  <c r="F14" i="39"/>
  <c r="J14" i="39"/>
  <c r="E16" i="39"/>
  <c r="O16" i="39"/>
  <c r="E17" i="39"/>
  <c r="O17" i="39"/>
  <c r="D18" i="39"/>
  <c r="L18" i="39" s="1"/>
  <c r="G18" i="39"/>
  <c r="H18" i="39"/>
  <c r="I18" i="39"/>
  <c r="P18" i="39"/>
  <c r="C19" i="39"/>
  <c r="K19" i="39" s="1"/>
  <c r="D19" i="39"/>
  <c r="E19" i="39"/>
  <c r="G19" i="39"/>
  <c r="O19" i="39"/>
  <c r="Q19" i="39" s="1"/>
  <c r="P19" i="39"/>
  <c r="D23" i="39"/>
  <c r="Q3" i="37"/>
  <c r="D8" i="37"/>
  <c r="H8" i="37"/>
  <c r="D13" i="37"/>
  <c r="C14" i="37"/>
  <c r="K14" i="37" s="1"/>
  <c r="D14" i="37"/>
  <c r="E14" i="37" s="1"/>
  <c r="G14" i="37"/>
  <c r="P14" i="37" s="1"/>
  <c r="H14" i="37"/>
  <c r="I14" i="37"/>
  <c r="L14" i="37"/>
  <c r="O14" i="37"/>
  <c r="D15" i="37"/>
  <c r="L15" i="37" s="1"/>
  <c r="I15" i="37"/>
  <c r="P15" i="37"/>
  <c r="D16" i="37"/>
  <c r="L16" i="37" s="1"/>
  <c r="E16" i="37"/>
  <c r="G16" i="37"/>
  <c r="H16" i="37"/>
  <c r="O16" i="37"/>
  <c r="F18" i="37"/>
  <c r="J18" i="37"/>
  <c r="D20" i="37"/>
  <c r="G20" i="37"/>
  <c r="P20" i="37" s="1"/>
  <c r="H20" i="37"/>
  <c r="L20" i="37"/>
  <c r="D21" i="37"/>
  <c r="G21" i="37"/>
  <c r="H21" i="37"/>
  <c r="D22" i="37"/>
  <c r="G22" i="37"/>
  <c r="H22" i="37"/>
  <c r="I22" i="37" s="1"/>
  <c r="P22" i="37"/>
  <c r="G24" i="37"/>
  <c r="F27" i="37"/>
  <c r="J27" i="37"/>
  <c r="E29" i="37"/>
  <c r="O29" i="37"/>
  <c r="E30" i="37"/>
  <c r="O30" i="37"/>
  <c r="D31" i="37"/>
  <c r="L31" i="37" s="1"/>
  <c r="G31" i="37"/>
  <c r="H31" i="37"/>
  <c r="I31" i="37"/>
  <c r="P31" i="37"/>
  <c r="D32" i="37"/>
  <c r="D36" i="37"/>
  <c r="E51" i="37"/>
  <c r="I51" i="37"/>
  <c r="C9" i="36"/>
  <c r="D9" i="36"/>
  <c r="G9" i="36"/>
  <c r="I9" i="36"/>
  <c r="L9" i="36"/>
  <c r="N9" i="36"/>
  <c r="S9" i="36"/>
  <c r="U9" i="36"/>
  <c r="H10" i="36"/>
  <c r="I10" i="36"/>
  <c r="L10" i="36"/>
  <c r="I11" i="36"/>
  <c r="G12" i="36"/>
  <c r="J12" i="36" s="1"/>
  <c r="H12" i="36"/>
  <c r="I12" i="36"/>
  <c r="G13" i="36"/>
  <c r="J13" i="36" s="1"/>
  <c r="I13" i="36"/>
  <c r="L13" i="36"/>
  <c r="C14" i="36"/>
  <c r="G14" i="36"/>
  <c r="H14" i="36"/>
  <c r="N14" i="36"/>
  <c r="U14" i="36"/>
  <c r="C15" i="36"/>
  <c r="E15" i="36" s="1"/>
  <c r="D15" i="36"/>
  <c r="G15" i="36"/>
  <c r="J15" i="36" s="1"/>
  <c r="H15" i="36"/>
  <c r="I15" i="36"/>
  <c r="L15" i="36"/>
  <c r="M15" i="36"/>
  <c r="N15" i="36"/>
  <c r="C16" i="36"/>
  <c r="D16" i="36"/>
  <c r="E16" i="36"/>
  <c r="G16" i="36"/>
  <c r="H16" i="36"/>
  <c r="J16" i="36" s="1"/>
  <c r="I16" i="36"/>
  <c r="M16" i="36"/>
  <c r="N16" i="36"/>
  <c r="S16" i="36"/>
  <c r="T16" i="36"/>
  <c r="U16" i="36"/>
  <c r="I18" i="36"/>
  <c r="K18" i="36"/>
  <c r="P18" i="36"/>
  <c r="R18" i="36"/>
  <c r="R24" i="36" s="1"/>
  <c r="R28" i="36" s="1"/>
  <c r="C20" i="36"/>
  <c r="G20" i="36"/>
  <c r="J20" i="36" s="1"/>
  <c r="H20" i="36"/>
  <c r="I20" i="36"/>
  <c r="L20" i="36"/>
  <c r="N20" i="36"/>
  <c r="Q20" i="36"/>
  <c r="C21" i="36"/>
  <c r="D21" i="36"/>
  <c r="E21" i="36"/>
  <c r="G21" i="36"/>
  <c r="I21" i="36"/>
  <c r="I24" i="36" s="1"/>
  <c r="I28" i="36" s="1"/>
  <c r="L21" i="36"/>
  <c r="M21" i="36"/>
  <c r="N21" i="36"/>
  <c r="T21" i="36"/>
  <c r="C22" i="36"/>
  <c r="G22" i="36"/>
  <c r="H22" i="36"/>
  <c r="I22" i="36"/>
  <c r="M22" i="36"/>
  <c r="N22" i="36"/>
  <c r="V23" i="36"/>
  <c r="K24" i="36"/>
  <c r="C26" i="36"/>
  <c r="G26" i="36"/>
  <c r="J26" i="36" s="1"/>
  <c r="H26" i="36"/>
  <c r="L26" i="36"/>
  <c r="N26" i="36"/>
  <c r="K28" i="36"/>
  <c r="G30" i="36"/>
  <c r="E13" i="4"/>
  <c r="L14" i="4"/>
  <c r="E13" i="3"/>
  <c r="M11" i="2"/>
  <c r="M13" i="2"/>
  <c r="I11" i="8"/>
  <c r="H12" i="8"/>
  <c r="E14" i="8"/>
  <c r="I12" i="8"/>
  <c r="H13" i="8"/>
  <c r="E12" i="4"/>
  <c r="M12" i="2"/>
  <c r="E10" i="8"/>
  <c r="L12" i="4"/>
  <c r="E10" i="3"/>
  <c r="H11" i="8"/>
  <c r="E11" i="3"/>
  <c r="H10" i="8"/>
  <c r="L13" i="4"/>
  <c r="I10" i="8"/>
  <c r="D14" i="8"/>
  <c r="E15" i="4"/>
  <c r="D10" i="8"/>
  <c r="E11" i="8"/>
  <c r="E14" i="4"/>
  <c r="D12" i="8"/>
  <c r="E12" i="3"/>
  <c r="E12" i="8"/>
  <c r="D13" i="8"/>
  <c r="L11" i="4"/>
  <c r="H14" i="8"/>
  <c r="M14" i="2"/>
  <c r="I14" i="8"/>
  <c r="I13" i="8"/>
  <c r="D11" i="8"/>
  <c r="E11" i="4"/>
  <c r="E13" i="8"/>
  <c r="M13" i="8" l="1"/>
  <c r="H19" i="39"/>
  <c r="I19" i="39" s="1"/>
  <c r="H13" i="38"/>
  <c r="E17" i="4"/>
  <c r="E26" i="4" s="1"/>
  <c r="F11" i="4"/>
  <c r="F11" i="8"/>
  <c r="L11" i="8"/>
  <c r="C13" i="1"/>
  <c r="J14" i="8"/>
  <c r="K11" i="4"/>
  <c r="L17" i="4"/>
  <c r="L22" i="4" s="1"/>
  <c r="L26" i="4" s="1"/>
  <c r="F13" i="8"/>
  <c r="L13" i="8"/>
  <c r="N13" i="8" s="1"/>
  <c r="M12" i="8"/>
  <c r="D12" i="19"/>
  <c r="D12" i="1"/>
  <c r="D12" i="36" s="1"/>
  <c r="D12" i="3"/>
  <c r="F12" i="3"/>
  <c r="H11" i="37"/>
  <c r="H10" i="39"/>
  <c r="L12" i="8"/>
  <c r="N12" i="8" s="1"/>
  <c r="F12" i="8"/>
  <c r="F14" i="4"/>
  <c r="M11" i="8"/>
  <c r="L10" i="8"/>
  <c r="F10" i="8"/>
  <c r="F18" i="8" s="1"/>
  <c r="D18" i="8"/>
  <c r="D15" i="4"/>
  <c r="F15" i="4"/>
  <c r="D14" i="1"/>
  <c r="H13" i="37"/>
  <c r="H12" i="39"/>
  <c r="F14" i="8"/>
  <c r="L14" i="8"/>
  <c r="I18" i="8"/>
  <c r="K13" i="4"/>
  <c r="N12" i="1" s="1"/>
  <c r="N12" i="36" s="1"/>
  <c r="M13" i="4"/>
  <c r="J10" i="8"/>
  <c r="H18" i="8"/>
  <c r="D11" i="3"/>
  <c r="D11" i="19"/>
  <c r="F11" i="3"/>
  <c r="D11" i="1"/>
  <c r="D11" i="36" s="1"/>
  <c r="H10" i="37"/>
  <c r="H9" i="39"/>
  <c r="J11" i="8"/>
  <c r="F10" i="3"/>
  <c r="E18" i="3"/>
  <c r="H16" i="39"/>
  <c r="D10" i="19"/>
  <c r="H8" i="39"/>
  <c r="H9" i="37"/>
  <c r="D10" i="1"/>
  <c r="D10" i="36" s="1"/>
  <c r="D18" i="36" s="1"/>
  <c r="D24" i="36" s="1"/>
  <c r="D28" i="36" s="1"/>
  <c r="K12" i="4"/>
  <c r="N11" i="1" s="1"/>
  <c r="N11" i="36" s="1"/>
  <c r="E18" i="8"/>
  <c r="M10" i="8"/>
  <c r="M18" i="8" s="1"/>
  <c r="C11" i="1"/>
  <c r="D12" i="4"/>
  <c r="F12" i="4"/>
  <c r="J13" i="8"/>
  <c r="M14" i="8"/>
  <c r="J12" i="8"/>
  <c r="C12" i="1"/>
  <c r="C10" i="1"/>
  <c r="M26" i="2"/>
  <c r="M35" i="2" s="1"/>
  <c r="M39" i="2" s="1"/>
  <c r="F13" i="3"/>
  <c r="D13" i="19"/>
  <c r="D13" i="1"/>
  <c r="D13" i="36" s="1"/>
  <c r="D13" i="3"/>
  <c r="H12" i="37"/>
  <c r="H11" i="39"/>
  <c r="K14" i="4"/>
  <c r="N13" i="1" s="1"/>
  <c r="N13" i="36" s="1"/>
  <c r="D13" i="4"/>
  <c r="L12" i="1" s="1"/>
  <c r="L12" i="36" s="1"/>
  <c r="I14" i="36"/>
  <c r="J14" i="36" s="1"/>
  <c r="I19" i="1"/>
  <c r="J14" i="1"/>
  <c r="Q26" i="36"/>
  <c r="M19" i="39"/>
  <c r="O16" i="36"/>
  <c r="Q16" i="36"/>
  <c r="V16" i="36" s="1"/>
  <c r="E32" i="37"/>
  <c r="L21" i="37"/>
  <c r="H9" i="36"/>
  <c r="H18" i="36" s="1"/>
  <c r="H24" i="36" s="1"/>
  <c r="H28" i="36" s="1"/>
  <c r="J9" i="1"/>
  <c r="G10" i="1"/>
  <c r="L11" i="2"/>
  <c r="E9" i="36"/>
  <c r="K16" i="37"/>
  <c r="M16" i="37" s="1"/>
  <c r="P16" i="37"/>
  <c r="Q16" i="37" s="1"/>
  <c r="Q14" i="37"/>
  <c r="E25" i="1"/>
  <c r="H24" i="37"/>
  <c r="I20" i="37"/>
  <c r="M14" i="1"/>
  <c r="M14" i="36" s="1"/>
  <c r="C14" i="19"/>
  <c r="G12" i="39"/>
  <c r="P12" i="39" s="1"/>
  <c r="E14" i="19"/>
  <c r="K26" i="2"/>
  <c r="K35" i="2" s="1"/>
  <c r="K39" i="2" s="1"/>
  <c r="K27" i="9"/>
  <c r="J32" i="1"/>
  <c r="O16" i="1"/>
  <c r="Q16" i="1"/>
  <c r="V16" i="1" s="1"/>
  <c r="C15" i="37"/>
  <c r="M9" i="1"/>
  <c r="F9" i="3"/>
  <c r="C9" i="19"/>
  <c r="G8" i="37"/>
  <c r="O15" i="36"/>
  <c r="L22" i="37"/>
  <c r="Q12" i="1"/>
  <c r="V12" i="1" s="1"/>
  <c r="C11" i="37"/>
  <c r="I28" i="38"/>
  <c r="G31" i="38"/>
  <c r="I31" i="38"/>
  <c r="K19" i="9"/>
  <c r="J20" i="9"/>
  <c r="J25" i="9" s="1"/>
  <c r="J34" i="9" s="1"/>
  <c r="J38" i="9" s="1"/>
  <c r="G25" i="9"/>
  <c r="G34" i="9" s="1"/>
  <c r="G38" i="9" s="1"/>
  <c r="G21" i="38"/>
  <c r="G23" i="38" s="1"/>
  <c r="L22" i="1"/>
  <c r="L25" i="1" s="1"/>
  <c r="F19" i="4"/>
  <c r="L24" i="37"/>
  <c r="J22" i="36"/>
  <c r="D24" i="37"/>
  <c r="O10" i="39"/>
  <c r="J21" i="36"/>
  <c r="Q15" i="36"/>
  <c r="V15" i="36" s="1"/>
  <c r="J9" i="36"/>
  <c r="I21" i="37"/>
  <c r="P21" i="37"/>
  <c r="P24" i="37" s="1"/>
  <c r="I16" i="37"/>
  <c r="M14" i="37"/>
  <c r="H18" i="37"/>
  <c r="H27" i="37" s="1"/>
  <c r="H34" i="37" s="1"/>
  <c r="H38" i="37" s="1"/>
  <c r="L8" i="37"/>
  <c r="J37" i="1"/>
  <c r="Q33" i="1"/>
  <c r="C32" i="37"/>
  <c r="C22" i="37"/>
  <c r="Q23" i="1"/>
  <c r="V23" i="1" s="1"/>
  <c r="H19" i="1"/>
  <c r="H28" i="1" s="1"/>
  <c r="H35" i="1" s="1"/>
  <c r="H39" i="1" s="1"/>
  <c r="L12" i="2"/>
  <c r="N12" i="2" s="1"/>
  <c r="G11" i="1"/>
  <c r="L19" i="39"/>
  <c r="E15" i="37"/>
  <c r="Q15" i="1"/>
  <c r="V15" i="1" s="1"/>
  <c r="O15" i="1"/>
  <c r="J13" i="1"/>
  <c r="N14" i="2"/>
  <c r="K17" i="9"/>
  <c r="H13" i="9"/>
  <c r="K13" i="9" s="1"/>
  <c r="F25" i="9"/>
  <c r="F34" i="9" s="1"/>
  <c r="F38" i="9" s="1"/>
  <c r="D25" i="1"/>
  <c r="I25" i="1"/>
  <c r="L29" i="2"/>
  <c r="N29" i="2" s="1"/>
  <c r="N32" i="2" s="1"/>
  <c r="G22" i="1"/>
  <c r="K23" i="9"/>
  <c r="K22" i="9"/>
  <c r="H14" i="9"/>
  <c r="C20" i="9"/>
  <c r="C25" i="9" s="1"/>
  <c r="C34" i="9" s="1"/>
  <c r="C38" i="9" s="1"/>
  <c r="E25" i="9"/>
  <c r="E34" i="9" s="1"/>
  <c r="E38" i="9" s="1"/>
  <c r="E46" i="37" s="1"/>
  <c r="H9" i="9"/>
  <c r="E9" i="19"/>
  <c r="D21" i="39"/>
  <c r="D25" i="39" s="1"/>
  <c r="H23" i="38"/>
  <c r="I21" i="38"/>
  <c r="I23" i="38" s="1"/>
  <c r="D34" i="38"/>
  <c r="J18" i="8"/>
  <c r="J21" i="1"/>
  <c r="Q17" i="1"/>
  <c r="V17" i="1" s="1"/>
  <c r="E34" i="38"/>
  <c r="L21" i="2"/>
  <c r="N21" i="2" s="1"/>
  <c r="I20" i="9"/>
  <c r="I25" i="9" s="1"/>
  <c r="I34" i="9" s="1"/>
  <c r="I38" i="9" s="1"/>
  <c r="D24" i="3"/>
  <c r="C20" i="19"/>
  <c r="F20" i="3"/>
  <c r="L32" i="2"/>
  <c r="N13" i="2"/>
  <c r="G31" i="9"/>
  <c r="K16" i="9"/>
  <c r="H12" i="9"/>
  <c r="K12" i="9" s="1"/>
  <c r="H11" i="9"/>
  <c r="K11" i="9" s="1"/>
  <c r="D10" i="9"/>
  <c r="H10" i="9" s="1"/>
  <c r="K10" i="9" s="1"/>
  <c r="D22" i="19"/>
  <c r="E22" i="19" s="1"/>
  <c r="I44" i="37" s="1"/>
  <c r="E24" i="3"/>
  <c r="F14" i="3"/>
  <c r="E16" i="19"/>
  <c r="D22" i="4"/>
  <c r="D19" i="1"/>
  <c r="D28" i="1" s="1"/>
  <c r="D35" i="1" s="1"/>
  <c r="D39" i="1" s="1"/>
  <c r="D30" i="1"/>
  <c r="D29" i="19"/>
  <c r="I32" i="2"/>
  <c r="I26" i="2"/>
  <c r="I35" i="2" s="1"/>
  <c r="I39" i="2" s="1"/>
  <c r="E52" i="37" s="1"/>
  <c r="E54" i="37" s="1"/>
  <c r="H29" i="9"/>
  <c r="K29" i="9" s="1"/>
  <c r="G20" i="9"/>
  <c r="M10" i="1"/>
  <c r="M10" i="36" s="1"/>
  <c r="C10" i="19"/>
  <c r="E44" i="37" l="1"/>
  <c r="Q14" i="36"/>
  <c r="J11" i="1"/>
  <c r="G11" i="36"/>
  <c r="J11" i="36" s="1"/>
  <c r="F18" i="3"/>
  <c r="T9" i="36"/>
  <c r="T9" i="1"/>
  <c r="Q14" i="1"/>
  <c r="C12" i="39"/>
  <c r="C13" i="37"/>
  <c r="I12" i="37"/>
  <c r="T10" i="1"/>
  <c r="T10" i="36"/>
  <c r="L13" i="37"/>
  <c r="S13" i="1"/>
  <c r="S13" i="36"/>
  <c r="E13" i="1"/>
  <c r="D12" i="37"/>
  <c r="C13" i="36"/>
  <c r="D11" i="39"/>
  <c r="D24" i="19"/>
  <c r="Q37" i="1"/>
  <c r="C23" i="39"/>
  <c r="C36" i="37"/>
  <c r="Q9" i="36"/>
  <c r="M9" i="36"/>
  <c r="O9" i="36" s="1"/>
  <c r="N11" i="2"/>
  <c r="N26" i="2" s="1"/>
  <c r="N35" i="2" s="1"/>
  <c r="N39" i="2" s="1"/>
  <c r="L26" i="2"/>
  <c r="L35" i="2" s="1"/>
  <c r="L39" i="2" s="1"/>
  <c r="I28" i="1"/>
  <c r="I35" i="1" s="1"/>
  <c r="I39" i="1" s="1"/>
  <c r="M13" i="1"/>
  <c r="M13" i="36" s="1"/>
  <c r="O13" i="36" s="1"/>
  <c r="C13" i="19"/>
  <c r="E13" i="19" s="1"/>
  <c r="G11" i="39"/>
  <c r="P11" i="39" s="1"/>
  <c r="G12" i="37"/>
  <c r="P12" i="37" s="1"/>
  <c r="M12" i="4"/>
  <c r="E14" i="1"/>
  <c r="D14" i="36"/>
  <c r="E14" i="36" s="1"/>
  <c r="N11" i="8"/>
  <c r="H20" i="9"/>
  <c r="H25" i="9" s="1"/>
  <c r="H34" i="9" s="1"/>
  <c r="K14" i="9"/>
  <c r="K20" i="9" s="1"/>
  <c r="T14" i="1"/>
  <c r="T14" i="36"/>
  <c r="F13" i="4"/>
  <c r="T13" i="1"/>
  <c r="T13" i="36"/>
  <c r="L11" i="1"/>
  <c r="D17" i="4"/>
  <c r="D26" i="4" s="1"/>
  <c r="H14" i="39"/>
  <c r="L29" i="4"/>
  <c r="L31" i="4"/>
  <c r="E28" i="4"/>
  <c r="E31" i="4"/>
  <c r="K31" i="9"/>
  <c r="O9" i="1"/>
  <c r="Q9" i="1"/>
  <c r="C8" i="37"/>
  <c r="I10" i="37"/>
  <c r="L14" i="1"/>
  <c r="L14" i="36" s="1"/>
  <c r="O14" i="36" s="1"/>
  <c r="G13" i="37"/>
  <c r="P13" i="37" s="1"/>
  <c r="J22" i="1"/>
  <c r="G25" i="1"/>
  <c r="F22" i="4"/>
  <c r="S22" i="1"/>
  <c r="S25" i="1" s="1"/>
  <c r="D10" i="37"/>
  <c r="D9" i="39"/>
  <c r="C11" i="36"/>
  <c r="E11" i="36" s="1"/>
  <c r="E11" i="1"/>
  <c r="D18" i="19"/>
  <c r="D27" i="19" s="1"/>
  <c r="D32" i="19" s="1"/>
  <c r="E10" i="19"/>
  <c r="T11" i="36"/>
  <c r="T11" i="1"/>
  <c r="N14" i="8"/>
  <c r="T12" i="1"/>
  <c r="T12" i="36"/>
  <c r="K17" i="4"/>
  <c r="K22" i="4" s="1"/>
  <c r="K26" i="4" s="1"/>
  <c r="N10" i="1"/>
  <c r="G9" i="37"/>
  <c r="P9" i="37" s="1"/>
  <c r="G8" i="39"/>
  <c r="H15" i="38"/>
  <c r="H34" i="38" s="1"/>
  <c r="D37" i="1" s="1"/>
  <c r="G13" i="38"/>
  <c r="I13" i="38" s="1"/>
  <c r="I15" i="38" s="1"/>
  <c r="I34" i="38" s="1"/>
  <c r="H23" i="39"/>
  <c r="C24" i="19"/>
  <c r="E20" i="19"/>
  <c r="E24" i="19" s="1"/>
  <c r="Q22" i="36"/>
  <c r="S14" i="1"/>
  <c r="S14" i="36"/>
  <c r="O15" i="37"/>
  <c r="Q15" i="37" s="1"/>
  <c r="K15" i="37"/>
  <c r="M15" i="37" s="1"/>
  <c r="S11" i="36"/>
  <c r="S11" i="1"/>
  <c r="I10" i="39"/>
  <c r="E30" i="1"/>
  <c r="H29" i="37"/>
  <c r="D20" i="36"/>
  <c r="E20" i="36" s="1"/>
  <c r="J25" i="1"/>
  <c r="O21" i="1"/>
  <c r="C20" i="37"/>
  <c r="Q21" i="1"/>
  <c r="E18" i="19"/>
  <c r="E27" i="19" s="1"/>
  <c r="E32" i="19" s="1"/>
  <c r="O13" i="1"/>
  <c r="C12" i="37"/>
  <c r="C11" i="39"/>
  <c r="Q13" i="1"/>
  <c r="V13" i="1" s="1"/>
  <c r="O32" i="37"/>
  <c r="Q21" i="36"/>
  <c r="V21" i="36" s="1"/>
  <c r="O21" i="36"/>
  <c r="G18" i="37"/>
  <c r="G27" i="37" s="1"/>
  <c r="G34" i="37" s="1"/>
  <c r="G38" i="37" s="1"/>
  <c r="I52" i="37" s="1"/>
  <c r="I54" i="37" s="1"/>
  <c r="P8" i="37"/>
  <c r="I8" i="37"/>
  <c r="O32" i="1"/>
  <c r="Q32" i="1"/>
  <c r="V32" i="1" s="1"/>
  <c r="C18" i="39"/>
  <c r="C31" i="37"/>
  <c r="I24" i="37"/>
  <c r="M14" i="4"/>
  <c r="C19" i="1"/>
  <c r="C28" i="1" s="1"/>
  <c r="C35" i="1" s="1"/>
  <c r="C39" i="1" s="1"/>
  <c r="D8" i="39"/>
  <c r="E10" i="1"/>
  <c r="E19" i="1" s="1"/>
  <c r="E28" i="1" s="1"/>
  <c r="E35" i="1" s="1"/>
  <c r="E39" i="1" s="1"/>
  <c r="C10" i="36"/>
  <c r="D9" i="37"/>
  <c r="I16" i="39"/>
  <c r="I21" i="39" s="1"/>
  <c r="I25" i="39" s="1"/>
  <c r="H17" i="39"/>
  <c r="H21" i="39"/>
  <c r="H25" i="39" s="1"/>
  <c r="L16" i="39"/>
  <c r="L21" i="39" s="1"/>
  <c r="L25" i="39" s="1"/>
  <c r="L18" i="8"/>
  <c r="N10" i="8"/>
  <c r="N18" i="8" s="1"/>
  <c r="C12" i="19"/>
  <c r="E12" i="19" s="1"/>
  <c r="M12" i="1"/>
  <c r="G11" i="37"/>
  <c r="P11" i="37" s="1"/>
  <c r="G10" i="39"/>
  <c r="M11" i="4"/>
  <c r="H31" i="9"/>
  <c r="J10" i="1"/>
  <c r="G10" i="36"/>
  <c r="G19" i="1"/>
  <c r="G28" i="1" s="1"/>
  <c r="G35" i="1" s="1"/>
  <c r="G39" i="1" s="1"/>
  <c r="U12" i="1"/>
  <c r="U12" i="36"/>
  <c r="S10" i="1"/>
  <c r="S19" i="1" s="1"/>
  <c r="F17" i="4"/>
  <c r="F26" i="4" s="1"/>
  <c r="F31" i="4" s="1"/>
  <c r="S10" i="36"/>
  <c r="S18" i="36" s="1"/>
  <c r="S24" i="36" s="1"/>
  <c r="S28" i="36" s="1"/>
  <c r="O22" i="37"/>
  <c r="Q22" i="37" s="1"/>
  <c r="E22" i="37"/>
  <c r="K22" i="37"/>
  <c r="M22" i="37" s="1"/>
  <c r="D25" i="9"/>
  <c r="D34" i="9" s="1"/>
  <c r="D38" i="9" s="1"/>
  <c r="E45" i="37" s="1"/>
  <c r="T21" i="1"/>
  <c r="T25" i="1" s="1"/>
  <c r="F24" i="3"/>
  <c r="K9" i="9"/>
  <c r="K25" i="9" s="1"/>
  <c r="K34" i="9" s="1"/>
  <c r="O11" i="37"/>
  <c r="I11" i="39"/>
  <c r="D10" i="39"/>
  <c r="E12" i="1"/>
  <c r="D11" i="37"/>
  <c r="C12" i="36"/>
  <c r="E27" i="3"/>
  <c r="E32" i="3" s="1"/>
  <c r="M11" i="1"/>
  <c r="M11" i="36" s="1"/>
  <c r="C11" i="19"/>
  <c r="E11" i="19" s="1"/>
  <c r="G16" i="39"/>
  <c r="G10" i="37"/>
  <c r="P10" i="37" s="1"/>
  <c r="G9" i="39"/>
  <c r="P9" i="39" s="1"/>
  <c r="D18" i="3"/>
  <c r="D27" i="3" s="1"/>
  <c r="D32" i="3" s="1"/>
  <c r="I12" i="39"/>
  <c r="L12" i="39"/>
  <c r="I45" i="37" l="1"/>
  <c r="I48" i="37" s="1"/>
  <c r="L23" i="39"/>
  <c r="L19" i="1"/>
  <c r="L28" i="1" s="1"/>
  <c r="L35" i="1" s="1"/>
  <c r="L39" i="1" s="1"/>
  <c r="L11" i="36"/>
  <c r="L18" i="36" s="1"/>
  <c r="L24" i="36" s="1"/>
  <c r="L28" i="36" s="1"/>
  <c r="E13" i="36"/>
  <c r="Q13" i="36"/>
  <c r="V13" i="36" s="1"/>
  <c r="T18" i="36"/>
  <c r="T24" i="36" s="1"/>
  <c r="T28" i="36" s="1"/>
  <c r="K11" i="37"/>
  <c r="M12" i="36"/>
  <c r="O12" i="36" s="1"/>
  <c r="O12" i="1"/>
  <c r="L9" i="39"/>
  <c r="E9" i="39"/>
  <c r="H32" i="37"/>
  <c r="D33" i="1"/>
  <c r="L12" i="37"/>
  <c r="E12" i="37"/>
  <c r="F27" i="3"/>
  <c r="F32" i="3" s="1"/>
  <c r="L10" i="37"/>
  <c r="E10" i="37"/>
  <c r="Q11" i="36"/>
  <c r="V11" i="36" s="1"/>
  <c r="K18" i="39"/>
  <c r="M18" i="39" s="1"/>
  <c r="C21" i="39"/>
  <c r="C25" i="39" s="1"/>
  <c r="O18" i="39"/>
  <c r="E18" i="39"/>
  <c r="E21" i="39" s="1"/>
  <c r="E25" i="39" s="1"/>
  <c r="D31" i="1"/>
  <c r="O36" i="37"/>
  <c r="E36" i="37"/>
  <c r="C8" i="39"/>
  <c r="Q10" i="1"/>
  <c r="V10" i="1" s="1"/>
  <c r="C9" i="37"/>
  <c r="O10" i="1"/>
  <c r="O19" i="1" s="1"/>
  <c r="K20" i="37"/>
  <c r="O20" i="37"/>
  <c r="E20" i="37"/>
  <c r="P8" i="39"/>
  <c r="P14" i="39" s="1"/>
  <c r="G14" i="39"/>
  <c r="J19" i="1"/>
  <c r="J28" i="1" s="1"/>
  <c r="J35" i="1" s="1"/>
  <c r="I11" i="37"/>
  <c r="O23" i="39"/>
  <c r="Q23" i="39" s="1"/>
  <c r="E23" i="39"/>
  <c r="O12" i="39"/>
  <c r="Q12" i="39" s="1"/>
  <c r="K12" i="39"/>
  <c r="M12" i="39" s="1"/>
  <c r="E12" i="39"/>
  <c r="V14" i="36"/>
  <c r="C18" i="19"/>
  <c r="C27" i="19" s="1"/>
  <c r="C32" i="19" s="1"/>
  <c r="L17" i="39"/>
  <c r="L9" i="37"/>
  <c r="L18" i="37" s="1"/>
  <c r="L27" i="37" s="1"/>
  <c r="L34" i="37" s="1"/>
  <c r="L38" i="37" s="1"/>
  <c r="D18" i="37"/>
  <c r="D27" i="37" s="1"/>
  <c r="D34" i="37" s="1"/>
  <c r="D38" i="37" s="1"/>
  <c r="J10" i="36"/>
  <c r="G18" i="36"/>
  <c r="G24" i="36" s="1"/>
  <c r="G28" i="36" s="1"/>
  <c r="V21" i="1"/>
  <c r="V25" i="1" s="1"/>
  <c r="K13" i="37"/>
  <c r="M13" i="37" s="1"/>
  <c r="O13" i="37"/>
  <c r="Q13" i="37" s="1"/>
  <c r="E13" i="37"/>
  <c r="V9" i="1"/>
  <c r="V19" i="1" s="1"/>
  <c r="Q19" i="1"/>
  <c r="I8" i="39"/>
  <c r="I14" i="39" s="1"/>
  <c r="U11" i="36"/>
  <c r="U11" i="1"/>
  <c r="M18" i="36"/>
  <c r="M24" i="36" s="1"/>
  <c r="M28" i="36" s="1"/>
  <c r="V14" i="1"/>
  <c r="E10" i="36"/>
  <c r="C18" i="36"/>
  <c r="S28" i="1"/>
  <c r="S35" i="1" s="1"/>
  <c r="S39" i="1" s="1"/>
  <c r="M17" i="4"/>
  <c r="M22" i="4" s="1"/>
  <c r="M26" i="4" s="1"/>
  <c r="M31" i="4" s="1"/>
  <c r="U10" i="1"/>
  <c r="U19" i="1" s="1"/>
  <c r="U28" i="1" s="1"/>
  <c r="U35" i="1" s="1"/>
  <c r="U39" i="1" s="1"/>
  <c r="U10" i="36"/>
  <c r="U18" i="36" s="1"/>
  <c r="U24" i="36" s="1"/>
  <c r="U28" i="36" s="1"/>
  <c r="K11" i="39"/>
  <c r="O11" i="39"/>
  <c r="Q11" i="39" s="1"/>
  <c r="N19" i="1"/>
  <c r="N28" i="1" s="1"/>
  <c r="N35" i="1" s="1"/>
  <c r="N39" i="1" s="1"/>
  <c r="N10" i="36"/>
  <c r="N18" i="36" s="1"/>
  <c r="N24" i="36" s="1"/>
  <c r="N28" i="36" s="1"/>
  <c r="O22" i="1"/>
  <c r="O25" i="1" s="1"/>
  <c r="Q22" i="1"/>
  <c r="V22" i="1" s="1"/>
  <c r="C21" i="37"/>
  <c r="I9" i="39"/>
  <c r="M19" i="1"/>
  <c r="M28" i="1" s="1"/>
  <c r="M35" i="1" s="1"/>
  <c r="M39" i="1" s="1"/>
  <c r="O14" i="1"/>
  <c r="E48" i="37"/>
  <c r="L29" i="37"/>
  <c r="Q11" i="37"/>
  <c r="K31" i="37"/>
  <c r="M31" i="37" s="1"/>
  <c r="O31" i="37"/>
  <c r="Q31" i="37" s="1"/>
  <c r="E31" i="37"/>
  <c r="G15" i="38"/>
  <c r="G34" i="38" s="1"/>
  <c r="M37" i="1" s="1"/>
  <c r="T37" i="1" s="1"/>
  <c r="V37" i="1" s="1"/>
  <c r="G23" i="39"/>
  <c r="P23" i="39" s="1"/>
  <c r="E12" i="36"/>
  <c r="Q12" i="36"/>
  <c r="V12" i="36" s="1"/>
  <c r="E37" i="1"/>
  <c r="H36" i="37"/>
  <c r="D26" i="36"/>
  <c r="K8" i="37"/>
  <c r="O8" i="37"/>
  <c r="E8" i="37"/>
  <c r="S12" i="1"/>
  <c r="S12" i="36"/>
  <c r="C9" i="39"/>
  <c r="O11" i="1"/>
  <c r="Q11" i="1"/>
  <c r="V11" i="1" s="1"/>
  <c r="C10" i="37"/>
  <c r="E11" i="37"/>
  <c r="L11" i="37"/>
  <c r="E8" i="39"/>
  <c r="E14" i="39" s="1"/>
  <c r="L8" i="39"/>
  <c r="L14" i="39" s="1"/>
  <c r="D14" i="39"/>
  <c r="E10" i="39"/>
  <c r="L10" i="39"/>
  <c r="G21" i="39"/>
  <c r="G25" i="39" s="1"/>
  <c r="G17" i="39"/>
  <c r="K16" i="39"/>
  <c r="P16" i="39"/>
  <c r="I9" i="37"/>
  <c r="I18" i="37" s="1"/>
  <c r="I27" i="37" s="1"/>
  <c r="I34" i="37" s="1"/>
  <c r="I38" i="37" s="1"/>
  <c r="P10" i="39"/>
  <c r="Q10" i="39" s="1"/>
  <c r="K10" i="39"/>
  <c r="U13" i="1"/>
  <c r="U13" i="36"/>
  <c r="P18" i="37"/>
  <c r="P27" i="37" s="1"/>
  <c r="P34" i="37" s="1"/>
  <c r="P38" i="37" s="1"/>
  <c r="K12" i="37"/>
  <c r="M12" i="37" s="1"/>
  <c r="O12" i="37"/>
  <c r="Q12" i="37" s="1"/>
  <c r="K31" i="4"/>
  <c r="K29" i="4"/>
  <c r="N31" i="1" s="1"/>
  <c r="D28" i="4"/>
  <c r="F28" i="4" s="1"/>
  <c r="D31" i="4"/>
  <c r="V9" i="36"/>
  <c r="L11" i="39"/>
  <c r="E11" i="39"/>
  <c r="I13" i="37"/>
  <c r="T19" i="1"/>
  <c r="T28" i="1" s="1"/>
  <c r="T35" i="1" s="1"/>
  <c r="T39" i="1" s="1"/>
  <c r="H38" i="9"/>
  <c r="K38" i="9" s="1"/>
  <c r="O28" i="1" l="1"/>
  <c r="S33" i="1"/>
  <c r="V33" i="1" s="1"/>
  <c r="S22" i="36"/>
  <c r="V22" i="36" s="1"/>
  <c r="P17" i="39"/>
  <c r="Q17" i="39" s="1"/>
  <c r="K17" i="39"/>
  <c r="M17" i="39" s="1"/>
  <c r="I17" i="39"/>
  <c r="Q20" i="37"/>
  <c r="O24" i="37"/>
  <c r="L32" i="37"/>
  <c r="K10" i="37"/>
  <c r="M10" i="37" s="1"/>
  <c r="O10" i="37"/>
  <c r="Q10" i="37" s="1"/>
  <c r="Q8" i="37"/>
  <c r="Q18" i="37" s="1"/>
  <c r="Q25" i="1"/>
  <c r="Q28" i="1" s="1"/>
  <c r="Q35" i="1" s="1"/>
  <c r="Q39" i="1" s="1"/>
  <c r="K23" i="39"/>
  <c r="M23" i="39" s="1"/>
  <c r="M20" i="37"/>
  <c r="M29" i="4"/>
  <c r="D29" i="3" s="1"/>
  <c r="O11" i="36"/>
  <c r="E26" i="36"/>
  <c r="T26" i="36"/>
  <c r="V26" i="36" s="1"/>
  <c r="G30" i="37"/>
  <c r="O31" i="1"/>
  <c r="K9" i="39"/>
  <c r="M9" i="39" s="1"/>
  <c r="O9" i="39"/>
  <c r="Q9" i="39" s="1"/>
  <c r="L36" i="37"/>
  <c r="M11" i="39"/>
  <c r="V28" i="1"/>
  <c r="V35" i="1" s="1"/>
  <c r="V39" i="1" s="1"/>
  <c r="O10" i="36"/>
  <c r="O18" i="36" s="1"/>
  <c r="Q10" i="36"/>
  <c r="J18" i="36"/>
  <c r="J24" i="36" s="1"/>
  <c r="M8" i="37"/>
  <c r="H30" i="37"/>
  <c r="E31" i="1"/>
  <c r="O8" i="39"/>
  <c r="K8" i="39"/>
  <c r="C14" i="39"/>
  <c r="Q18" i="39"/>
  <c r="O21" i="39"/>
  <c r="O25" i="39" s="1"/>
  <c r="I23" i="39"/>
  <c r="L33" i="1"/>
  <c r="G32" i="37"/>
  <c r="Q16" i="39"/>
  <c r="Q21" i="39" s="1"/>
  <c r="Q25" i="39" s="1"/>
  <c r="P21" i="39"/>
  <c r="P25" i="39" s="1"/>
  <c r="K21" i="37"/>
  <c r="M21" i="37" s="1"/>
  <c r="O21" i="37"/>
  <c r="Q21" i="37" s="1"/>
  <c r="E21" i="37"/>
  <c r="E24" i="37"/>
  <c r="M11" i="37"/>
  <c r="G36" i="37"/>
  <c r="M26" i="36"/>
  <c r="O26" i="36" s="1"/>
  <c r="O37" i="1"/>
  <c r="M10" i="39"/>
  <c r="E18" i="36"/>
  <c r="E24" i="36" s="1"/>
  <c r="E28" i="36" s="1"/>
  <c r="C24" i="36"/>
  <c r="C28" i="36" s="1"/>
  <c r="O35" i="1"/>
  <c r="J39" i="1"/>
  <c r="O39" i="1" s="1"/>
  <c r="K9" i="37"/>
  <c r="M9" i="37" s="1"/>
  <c r="O9" i="37"/>
  <c r="Q9" i="37" s="1"/>
  <c r="M16" i="39"/>
  <c r="M21" i="39" s="1"/>
  <c r="M25" i="39" s="1"/>
  <c r="K21" i="39"/>
  <c r="K25" i="39" s="1"/>
  <c r="C18" i="37"/>
  <c r="E9" i="37"/>
  <c r="E18" i="37" s="1"/>
  <c r="E27" i="37" s="1"/>
  <c r="E34" i="37" s="1"/>
  <c r="E38" i="37" s="1"/>
  <c r="C24" i="37"/>
  <c r="D22" i="36"/>
  <c r="E22" i="36" s="1"/>
  <c r="E33" i="1"/>
  <c r="P36" i="37" l="1"/>
  <c r="Q36" i="37" s="1"/>
  <c r="I46" i="37"/>
  <c r="K36" i="37"/>
  <c r="M36" i="37" s="1"/>
  <c r="P30" i="37"/>
  <c r="Q30" i="37" s="1"/>
  <c r="K30" i="37"/>
  <c r="Q8" i="39"/>
  <c r="Q14" i="39" s="1"/>
  <c r="O14" i="39"/>
  <c r="O18" i="37"/>
  <c r="O27" i="37" s="1"/>
  <c r="O34" i="37" s="1"/>
  <c r="O38" i="37" s="1"/>
  <c r="Q24" i="37"/>
  <c r="M8" i="39"/>
  <c r="M14" i="39" s="1"/>
  <c r="K14" i="39"/>
  <c r="Q27" i="37"/>
  <c r="Q34" i="37" s="1"/>
  <c r="Q38" i="37" s="1"/>
  <c r="I30" i="37"/>
  <c r="L30" i="37"/>
  <c r="C27" i="37"/>
  <c r="C34" i="37" s="1"/>
  <c r="C38" i="37" s="1"/>
  <c r="K18" i="37"/>
  <c r="K27" i="37" s="1"/>
  <c r="K34" i="37" s="1"/>
  <c r="K38" i="37" s="1"/>
  <c r="I36" i="37"/>
  <c r="C29" i="19"/>
  <c r="E29" i="19" s="1"/>
  <c r="M30" i="1"/>
  <c r="F29" i="3"/>
  <c r="M18" i="37"/>
  <c r="M27" i="37" s="1"/>
  <c r="M34" i="37" s="1"/>
  <c r="M38" i="37" s="1"/>
  <c r="K24" i="37"/>
  <c r="P32" i="37"/>
  <c r="Q32" i="37" s="1"/>
  <c r="K32" i="37"/>
  <c r="M32" i="37" s="1"/>
  <c r="L22" i="36"/>
  <c r="O22" i="36" s="1"/>
  <c r="O33" i="1"/>
  <c r="O24" i="36"/>
  <c r="J28" i="36"/>
  <c r="O28" i="36" s="1"/>
  <c r="M24" i="37"/>
  <c r="V10" i="36"/>
  <c r="V18" i="36" s="1"/>
  <c r="V24" i="36" s="1"/>
  <c r="V28" i="36" s="1"/>
  <c r="Q18" i="36"/>
  <c r="Q24" i="36" s="1"/>
  <c r="Q28" i="36" s="1"/>
  <c r="I32" i="37"/>
  <c r="G29" i="37" l="1"/>
  <c r="M20" i="36"/>
  <c r="O20" i="36" s="1"/>
  <c r="O30" i="1"/>
  <c r="T20" i="36"/>
  <c r="V20" i="36" s="1"/>
  <c r="T30" i="1"/>
  <c r="M30" i="37"/>
  <c r="T31" i="1" l="1"/>
  <c r="V31" i="1" s="1"/>
  <c r="V30" i="1"/>
  <c r="K29" i="37"/>
  <c r="M29" i="37" s="1"/>
  <c r="P29" i="37"/>
  <c r="Q29" i="37" s="1"/>
  <c r="I29" i="37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D1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November and December activity only</t>
        </r>
      </text>
    </comment>
    <comment ref="M2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
Add Convert Trade   ($2.5MM)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($1,790)
Total EcoElectrica (</t>
        </r>
        <r>
          <rPr>
            <u/>
            <sz val="8"/>
            <color indexed="81"/>
            <rFont val="Tahoma"/>
            <family val="2"/>
          </rPr>
          <t xml:space="preserve">$1,299)
</t>
        </r>
        <r>
          <rPr>
            <sz val="8"/>
            <color indexed="81"/>
            <rFont val="Tahoma"/>
            <family val="2"/>
          </rPr>
          <t xml:space="preserve">                             ($3,089)</t>
        </r>
      </text>
    </comment>
    <comment ref="G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
Less Drift                ($1.0MM)
Add Convertible Trd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<sst xmlns="http://schemas.openxmlformats.org/spreadsheetml/2006/main" count="502" uniqueCount="156">
  <si>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</si>
  <si>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</si>
  <si>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</si>
  <si>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</si>
  <si>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</si>
  <si>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</si>
  <si>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</si>
  <si>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</si>
  <si>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</si>
  <si>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</si>
  <si>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</si>
  <si>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</si>
  <si>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</si>
  <si>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</si>
  <si>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</si>
  <si>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</si>
  <si>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</si>
  <si>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</si>
  <si>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</si>
  <si>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</si>
  <si>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</si>
  <si>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</si>
  <si>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</si>
  <si>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</si>
  <si>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</si>
  <si>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</si>
  <si>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</si>
  <si>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</si>
  <si>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</si>
  <si>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</si>
  <si>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</si>
  <si>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</si>
  <si>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</si>
  <si>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</si>
  <si>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</si>
  <si>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</si>
  <si>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</si>
  <si>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</si>
  <si>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</si>
  <si>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</si>
  <si>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</si>
  <si>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</si>
  <si>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</si>
  <si>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</si>
  <si>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</si>
  <si>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</si>
  <si>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</si>
  <si>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</si>
  <si>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</si>
  <si>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</si>
  <si>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</si>
  <si>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</si>
  <si>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</si>
  <si>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</si>
  <si>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</si>
  <si>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</si>
  <si>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</si>
  <si>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</si>
  <si>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</si>
  <si>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</si>
  <si>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</si>
  <si>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</si>
  <si>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</si>
  <si>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</si>
  <si>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</si>
  <si>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</si>
  <si>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</si>
  <si>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</si>
  <si>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</si>
  <si>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</si>
  <si>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</si>
  <si>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</si>
  <si>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</si>
  <si>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</si>
  <si>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</si>
  <si>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</si>
  <si>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</si>
  <si>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</si>
  <si>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</si>
  <si>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</si>
  <si>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</si>
  <si>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</si>
  <si>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</si>
  <si>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</si>
  <si>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</si>
  <si>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</si>
  <si>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</si>
  <si>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</si>
  <si>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</si>
  <si>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</si>
  <si>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</si>
  <si>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</si>
  <si>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</si>
  <si>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</si>
  <si>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</si>
  <si>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</si>
  <si>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</si>
  <si>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</si>
  <si>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</si>
  <si>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</si>
  <si>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</si>
  <si>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</si>
  <si>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</si>
  <si>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</si>
  <si>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</si>
  <si>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</si>
  <si>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</si>
  <si>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</si>
  <si>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</si>
  <si>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</si>
  <si>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</si>
  <si>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</si>
  <si>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</si>
  <si>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</si>
  <si>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</si>
  <si>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</si>
  <si>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</si>
  <si>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</si>
  <si>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</si>
  <si>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</si>
  <si>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</si>
  <si>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</si>
  <si>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</si>
  <si>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</si>
  <si>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</si>
  <si>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</si>
  <si>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</si>
  <si>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</si>
  <si>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</si>
  <si>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</si>
  <si>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</si>
  <si>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</si>
  <si>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</si>
  <si>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</si>
  <si>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</si>
  <si>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</si>
  <si>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</si>
  <si>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</si>
  <si>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</si>
  <si>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</si>
  <si>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</si>
  <si>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</si>
  <si>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</si>
  <si>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</si>
  <si>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</si>
  <si>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</si>
  <si>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</si>
  <si>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Development expenses over plan</t>
  </si>
  <si>
    <t>does not include group bonus from ENA</t>
  </si>
  <si>
    <t>Weekly Change - Fav / (Unfav)</t>
  </si>
  <si>
    <t>Convertible Trading</t>
  </si>
  <si>
    <t>Increase in overhead cost; Write off UAE Atlantis Project</t>
  </si>
  <si>
    <t>McKinsey study; Diamond Tech study</t>
  </si>
  <si>
    <t>McKinsey study exp xfer to Transportation; Employee exp &amp; other allocations</t>
  </si>
  <si>
    <t>Employee cost and EEX legal</t>
  </si>
  <si>
    <t>Results based on activity through December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</si>
</sst>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4" fillId="0" borderId="0" xfId="0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5" fillId="0" borderId="9" xfId="1" applyNumberFormat="1" applyFont="1" applyBorder="1"/>
    <xf numFmtId="165" fontId="85" fillId="0" borderId="13" xfId="1" applyNumberFormat="1" applyFont="1" applyBorder="1"/>
    <xf numFmtId="165" fontId="80" fillId="0" borderId="11" xfId="1" applyNumberFormat="1" applyFont="1" applyBorder="1"/>
    <xf numFmtId="165" fontId="85" fillId="0" borderId="11" xfId="1" applyNumberFormat="1" applyFont="1" applyBorder="1"/>
    <xf numFmtId="165" fontId="85" fillId="0" borderId="12" xfId="1" applyNumberFormat="1" applyFont="1" applyBorder="1"/>
    <xf numFmtId="165" fontId="17" fillId="0" borderId="6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1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6322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4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6325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8">
          <cell r="C8">
            <v>-12282.617</v>
          </cell>
          <cell r="G8">
            <v>14692</v>
          </cell>
        </row>
        <row r="9">
          <cell r="C9">
            <v>7127.7023100000006</v>
          </cell>
          <cell r="G9">
            <v>4677.8999999999996</v>
          </cell>
        </row>
        <row r="10">
          <cell r="C10">
            <v>6768</v>
          </cell>
          <cell r="G10">
            <v>1698.6</v>
          </cell>
        </row>
        <row r="11">
          <cell r="C11">
            <v>3217</v>
          </cell>
          <cell r="G11">
            <v>1714.8000000000002</v>
          </cell>
        </row>
        <row r="12">
          <cell r="C12">
            <v>0</v>
          </cell>
          <cell r="G12">
            <v>1929.5</v>
          </cell>
        </row>
        <row r="13">
          <cell r="C13">
            <v>125.49299999999994</v>
          </cell>
          <cell r="G13">
            <v>1807.1410000000001</v>
          </cell>
        </row>
        <row r="14">
          <cell r="C14">
            <v>0</v>
          </cell>
          <cell r="G14">
            <v>1525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132</v>
          </cell>
          <cell r="G21">
            <v>3221</v>
          </cell>
        </row>
        <row r="22">
          <cell r="C22">
            <v>-3089</v>
          </cell>
          <cell r="G22">
            <v>1056</v>
          </cell>
        </row>
        <row r="29">
          <cell r="C29">
            <v>0</v>
          </cell>
          <cell r="G29">
            <v>30934.941999999999</v>
          </cell>
        </row>
        <row r="30">
          <cell r="C30">
            <v>0</v>
          </cell>
          <cell r="G30">
            <v>-12450.415000000001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55168.468000000001</v>
          </cell>
        </row>
      </sheetData>
      <sheetData sheetId="3">
        <row r="22">
          <cell r="E22">
            <v>2429</v>
          </cell>
        </row>
        <row r="23">
          <cell r="E23">
            <v>-1616</v>
          </cell>
        </row>
        <row r="28">
          <cell r="M28">
            <v>22184.526000000002</v>
          </cell>
        </row>
        <row r="30">
          <cell r="M30">
            <v>30934.941999999999</v>
          </cell>
        </row>
        <row r="37">
          <cell r="M37">
            <v>2049</v>
          </cell>
        </row>
      </sheetData>
      <sheetData sheetId="4"/>
      <sheetData sheetId="5">
        <row r="10">
          <cell r="D10">
            <v>-12153</v>
          </cell>
          <cell r="E10">
            <v>0</v>
          </cell>
          <cell r="F10">
            <v>0</v>
          </cell>
          <cell r="G10">
            <v>-129.61699999999999</v>
          </cell>
          <cell r="H10">
            <v>0</v>
          </cell>
          <cell r="K10">
            <v>0</v>
          </cell>
        </row>
        <row r="11">
          <cell r="D11">
            <v>6915</v>
          </cell>
          <cell r="E11">
            <v>132.97831000000002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6768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3217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-427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-820.50699999999995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1476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-87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-54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8">
          <cell r="D28">
            <v>0</v>
          </cell>
          <cell r="E28">
            <v>0</v>
          </cell>
          <cell r="F28">
            <v>86</v>
          </cell>
          <cell r="G28">
            <v>0</v>
          </cell>
          <cell r="H28">
            <v>0</v>
          </cell>
          <cell r="K28">
            <v>0</v>
          </cell>
        </row>
        <row r="29">
          <cell r="D29">
            <v>0</v>
          </cell>
          <cell r="E29">
            <v>0</v>
          </cell>
          <cell r="F29">
            <v>132</v>
          </cell>
          <cell r="G29">
            <v>0</v>
          </cell>
          <cell r="H29">
            <v>0</v>
          </cell>
        </row>
        <row r="30">
          <cell r="D30">
            <v>0</v>
          </cell>
          <cell r="E30">
            <v>0</v>
          </cell>
          <cell r="F30">
            <v>-3089</v>
          </cell>
          <cell r="G30">
            <v>0</v>
          </cell>
          <cell r="H30">
            <v>0</v>
          </cell>
          <cell r="K30">
            <v>0</v>
          </cell>
        </row>
        <row r="32">
          <cell r="J32">
            <v>0</v>
          </cell>
          <cell r="K32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-520</v>
          </cell>
          <cell r="H37">
            <v>0</v>
          </cell>
        </row>
        <row r="39">
          <cell r="I39">
            <v>1564.5783100000008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1424.1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1893.5</v>
          </cell>
          <cell r="E13">
            <v>1643.5</v>
          </cell>
        </row>
        <row r="14">
          <cell r="D14">
            <v>896.12600000000009</v>
          </cell>
          <cell r="E14">
            <v>896.12600000000009</v>
          </cell>
        </row>
        <row r="15">
          <cell r="D15">
            <v>1525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2569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30934.941999999999</v>
          </cell>
          <cell r="E29">
            <v>30334.941999999999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86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36346.188999999998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36346.188999999998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-4855.5543571884082</v>
      </c>
      <c r="P9" s="37"/>
      <c r="Q9" s="133">
        <f t="shared" ref="Q9:Q16" si="3">+J9-C9</f>
        <v>-43653.811000000002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-44254</v>
      </c>
      <c r="W9" s="32"/>
      <c r="X9" s="166"/>
    </row>
    <row r="10" spans="1:24" ht="13.5" customHeight="1">
      <c r="A10" s="107" t="s">
        <v>1</v>
      </c>
      <c r="B10" s="35"/>
      <c r="C10" s="133" t="e">
        <f ca="1">+'[1]Mgmt Summary'!C10+'[2]Mgmt Summary'!C10+'Mgmt Summary'!C10</f>
        <v>#NAME?</v>
      </c>
      <c r="D10" s="36" t="e">
        <f ca="1">+'[1]Mgmt Summary'!D10+'[2]Mgmt Summary'!D10+'Mgmt Summary'!D10</f>
        <v>#NAME?</v>
      </c>
      <c r="E10" s="135" t="e">
        <f t="shared" ca="1" si="0"/>
        <v>#NAME?</v>
      </c>
      <c r="F10" s="36"/>
      <c r="G10" s="133">
        <f>+'[1]Mgmt Summary'!G10+'[2]Mgmt Summary'!G10+'Mgmt Summary'!G10</f>
        <v>14990.27492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14990.27492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 t="e">
        <f ca="1">+'[1]Mgmt Summary'!N10+'[2]Mgmt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+'[1]Mgmt Summary'!C11+'[2]Mgmt Summary'!C11+'Mgmt Summary'!C11</f>
        <v>#NAME?</v>
      </c>
      <c r="D11" s="36" t="e">
        <f ca="1">+'[1]Mgmt Summary'!D11+'[2]Mgmt Summary'!D11+'Mgmt Summary'!D11</f>
        <v>#NAME?</v>
      </c>
      <c r="E11" s="135" t="e">
        <f t="shared" ca="1" si="0"/>
        <v>#NAME?</v>
      </c>
      <c r="F11" s="36"/>
      <c r="G11" s="133">
        <f>+'[1]Mgmt Summary'!G11+'[2]Mgmt Summary'!G11+'Mgmt Summary'!G11</f>
        <v>3563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3563</v>
      </c>
      <c r="K11" s="137"/>
      <c r="L11" s="133" t="e">
        <f ca="1">+'[1]Mgmt Summary'!L11+'[2]Mgmt Summary'!L11+'Mgmt Summary'!L11</f>
        <v>#NAME?</v>
      </c>
      <c r="M11" s="36" t="e">
        <f ca="1">+'[1]Mgmt Summary'!M11+'[2]Mgmt Summary'!M11+'Mgmt Summary'!M11</f>
        <v>#NAME?</v>
      </c>
      <c r="N11" s="36" t="e">
        <f ca="1">+'[1]Mgmt Summary'!N11+'[2]Mgmt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+'[1]Mgmt Summary'!C12+'[2]Mgmt Summary'!C12+'Mgmt Summary'!C12</f>
        <v>#NAME?</v>
      </c>
      <c r="D12" s="36" t="e">
        <f ca="1">+'[1]Mgmt Summary'!D12+'[2]Mgmt Summary'!D12+'Mgmt Summary'!D12</f>
        <v>#NAME?</v>
      </c>
      <c r="E12" s="135" t="e">
        <f t="shared" ca="1" si="0"/>
        <v>#NAME?</v>
      </c>
      <c r="F12" s="36"/>
      <c r="G12" s="133">
        <f>+'[1]Mgmt Summary'!G12+'[2]Mgmt Summary'!G12+'Mgmt Summary'!G12</f>
        <v>12565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12565</v>
      </c>
      <c r="K12" s="137"/>
      <c r="L12" s="133" t="e">
        <f ca="1">+'[1]Mgmt Summary'!L12+'[2]Mgmt Summary'!L12+'Mgmt Summary'!L12</f>
        <v>#NAME?</v>
      </c>
      <c r="M12" s="36" t="e">
        <f ca="1">+'[1]Mgmt Summary'!M12+'[2]Mgmt Summary'!M12+'Mgmt Summary'!M12</f>
        <v>#NAME?</v>
      </c>
      <c r="N12" s="36" t="e">
        <f ca="1">+'[1]Mgmt Summary'!N12+'[2]Mgmt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+'[1]Mgmt Summary'!C13+'[2]Mgmt Summary'!C13+'Mgmt Summary'!C13</f>
        <v>#NAME?</v>
      </c>
      <c r="D13" s="36" t="e">
        <f ca="1">+'[1]Mgmt Summary'!D13+'[2]Mgmt Summary'!D13+'Mgmt Summary'!D13</f>
        <v>#NAME?</v>
      </c>
      <c r="E13" s="135" t="e">
        <f t="shared" ca="1" si="0"/>
        <v>#NAME?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 t="e">
        <f ca="1">+'[1]Mgmt Summary'!M13+'[2]Mgmt Summary'!M13+'Mgmt Summary'!M13</f>
        <v>#NAME?</v>
      </c>
      <c r="N13" s="36" t="e">
        <f ca="1">+'[1]Mgmt Summary'!N13+'[2]Mgmt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29377.012999999999</v>
      </c>
      <c r="D14" s="140" t="e">
        <f ca="1">+'[1]Mgmt Summary'!D14+'[2]Mgmt Summary'!D14+'Mgmt Summary'!D14</f>
        <v>#NAME?</v>
      </c>
      <c r="E14" s="164" t="e">
        <f t="shared" ca="1" si="0"/>
        <v>#NAME?</v>
      </c>
      <c r="F14" s="140"/>
      <c r="G14" s="139">
        <f>+'[1]Mgmt Summary'!G14+'[2]Mgmt Summary'!G14+'Mgmt Summary'!G14</f>
        <v>47739.7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47739.7</v>
      </c>
      <c r="K14" s="180"/>
      <c r="L14" s="139" t="e">
        <f ca="1">+'[1]Mgmt Summary'!L14+'[2]Mgmt Summary'!L14+'Mgmt Summary'!L14</f>
        <v>#NAME?</v>
      </c>
      <c r="M14" s="36">
        <f>+'[1]Mgmt Summary'!M14+'[2]Mgmt Summary'!M14+'Mgmt Summary'!M14</f>
        <v>3852.9260000000004</v>
      </c>
      <c r="N14" s="140">
        <f>+'[1]Mgmt Summary'!N14+'[2]Mgmt Summary'!N14+'Mgmt Summary'!N14</f>
        <v>4273.0150000000003</v>
      </c>
      <c r="O14" s="179" t="e">
        <f t="shared" ca="1" si="2"/>
        <v>#NAME?</v>
      </c>
      <c r="P14" s="181"/>
      <c r="Q14" s="139">
        <f t="shared" si="3"/>
        <v>18362.686999999998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116424.16391999999</v>
      </c>
      <c r="H18" s="44">
        <f>SUM(H9:H16)</f>
        <v>0</v>
      </c>
      <c r="I18" s="45">
        <f>SUM(I15:I17)</f>
        <v>0</v>
      </c>
      <c r="J18" s="46">
        <f>SUM(J9:J17)</f>
        <v>116424.16391999999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28734.941999999999</v>
      </c>
      <c r="E20" s="135">
        <f>C20-D20</f>
        <v>-28734.941999999999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 t="e">
        <f ca="1">+'[1]Mgmt Summary'!M21+'[2]Mgmt Summary'!M21+'Mgmt Summary'!M30</f>
        <v>#NAME?</v>
      </c>
      <c r="N20" s="36">
        <f>+'[1]Mgmt Summary'!N21+'[2]Mgmt Summary'!N21+'Mgmt Summary'!N30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Expenses!F29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 t="e">
        <f ca="1">+'[1]Mgmt Summary'!D23+'[2]Mgmt Summary'!D23+'Mgmt Summary'!D33</f>
        <v>#NAME?</v>
      </c>
      <c r="E22" s="135" t="e">
        <f ca="1">C22-D22</f>
        <v>#NAME?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 t="e">
        <f ca="1">+'[1]Mgmt Summary'!L23+'[2]Mgmt Summary'!L23+'Mgmt Summary'!L33</f>
        <v>#NAME?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 t="e">
        <f ca="1">J22-K22-M22-N22-L22</f>
        <v>#NAME?</v>
      </c>
      <c r="P22" s="37"/>
      <c r="Q22" s="133">
        <f>+J22-C22</f>
        <v>0</v>
      </c>
      <c r="R22" s="36"/>
      <c r="S22" s="36" t="e">
        <f ca="1">'CapChrg-AllocExp'!F28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114696.33691999999</v>
      </c>
      <c r="H24" s="44">
        <f t="shared" si="5"/>
        <v>0</v>
      </c>
      <c r="I24" s="44">
        <f t="shared" si="5"/>
        <v>0</v>
      </c>
      <c r="J24" s="46">
        <f t="shared" si="5"/>
        <v>114696.33691999999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 t="e">
        <f ca="1">+'[1]Mgmt Summary'!D27+'[2]Mgmt Summary'!D27+'Mgmt Summary'!D37</f>
        <v>#NAME?</v>
      </c>
      <c r="E26" s="135" t="e">
        <f ca="1">C26-D26</f>
        <v>#NAME?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 t="e">
        <f ca="1">+'[1]Mgmt Summary'!M27+'[2]Mgmt Summary'!M27+'Mgmt Summary'!M37</f>
        <v>#NAME?</v>
      </c>
      <c r="N26" s="36">
        <f>+'[1]Mgmt Summary'!N27+'[2]Mgmt Summary'!N27+'Mgmt Summary'!N37</f>
        <v>0</v>
      </c>
      <c r="O26" s="136" t="e">
        <f ca="1">J26-K26-M26-N26-L26</f>
        <v>#NAME?</v>
      </c>
      <c r="P26" s="37"/>
      <c r="Q26" s="133">
        <f>+J26-C26</f>
        <v>0</v>
      </c>
      <c r="R26" s="36"/>
      <c r="S26" s="36">
        <v>0</v>
      </c>
      <c r="T26" s="36" t="e">
        <f ca="1">D26-M26</f>
        <v>#NAME?</v>
      </c>
      <c r="U26" s="36">
        <v>0</v>
      </c>
      <c r="V26" s="135" t="e">
        <f ca="1">ROUND(SUM(Q26:U26),0)</f>
        <v>#NAME?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114696.33691999999</v>
      </c>
      <c r="H28" s="40">
        <f t="shared" si="7"/>
        <v>0</v>
      </c>
      <c r="I28" s="40">
        <f t="shared" si="7"/>
        <v>0</v>
      </c>
      <c r="J28" s="42">
        <f t="shared" si="7"/>
        <v>114696.33691999999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F17" sqref="F17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88" t="s">
        <v>70</v>
      </c>
      <c r="B2" s="288"/>
      <c r="C2" s="288"/>
      <c r="D2" s="288"/>
      <c r="E2" s="288"/>
      <c r="F2" s="288"/>
      <c r="G2" s="288"/>
      <c r="H2" s="288"/>
      <c r="I2" s="288"/>
    </row>
    <row r="3" spans="1:9" ht="15.75">
      <c r="A3" s="289" t="s">
        <v>142</v>
      </c>
      <c r="B3" s="288"/>
      <c r="C3" s="288"/>
      <c r="D3" s="288"/>
      <c r="E3" s="288"/>
      <c r="F3" s="288"/>
      <c r="G3" s="288"/>
      <c r="H3" s="288"/>
      <c r="I3" s="288"/>
    </row>
    <row r="4" spans="1:9" ht="15">
      <c r="A4" s="289" t="str">
        <f>+GrossMargin!B4</f>
        <v>Results based on activity through December 14, 2000</v>
      </c>
      <c r="B4" s="289"/>
      <c r="C4" s="289"/>
      <c r="D4" s="289"/>
      <c r="E4" s="289"/>
      <c r="F4" s="289"/>
      <c r="G4" s="289"/>
      <c r="H4" s="289"/>
      <c r="I4" s="289"/>
    </row>
    <row r="5" spans="1:9" ht="3" customHeight="1"/>
    <row r="6" spans="1:9" s="50" customFormat="1" ht="12">
      <c r="A6" s="124"/>
      <c r="C6" s="320" t="s">
        <v>13</v>
      </c>
      <c r="D6" s="321"/>
      <c r="E6" s="322"/>
      <c r="G6" s="320" t="s">
        <v>26</v>
      </c>
      <c r="H6" s="321"/>
      <c r="I6" s="322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129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292" t="s">
        <v>137</v>
      </c>
      <c r="B11" s="172"/>
      <c r="C11" s="290">
        <f>+C9</f>
        <v>0</v>
      </c>
      <c r="D11" s="29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132</v>
      </c>
      <c r="B13" s="172"/>
      <c r="C13" s="159">
        <v>0</v>
      </c>
      <c r="D13" s="173">
        <v>0</v>
      </c>
      <c r="E13" s="177">
        <f>D13-C13</f>
        <v>0</v>
      </c>
      <c r="F13" s="52"/>
      <c r="G13" s="159" t="e">
        <f ca="1">+'CapChrg-AllocExp'!D11*0+H13</f>
        <v>#NAME?</v>
      </c>
      <c r="H13" s="173" t="e">
        <f ca="1">+'CapChrg-AllocExp'!E11</f>
        <v>#NAME?</v>
      </c>
      <c r="I13" s="177" t="e">
        <f ca="1">H13-G13</f>
        <v>#NAME?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292" t="s">
        <v>138</v>
      </c>
      <c r="B15" s="172"/>
      <c r="C15" s="290">
        <f>+C13</f>
        <v>0</v>
      </c>
      <c r="D15" s="291">
        <f>+D13</f>
        <v>0</v>
      </c>
      <c r="E15" s="183">
        <f>+E13</f>
        <v>0</v>
      </c>
      <c r="F15" s="52"/>
      <c r="G15" s="56" t="e">
        <f ca="1">+G13</f>
        <v>#NAME?</v>
      </c>
      <c r="H15" s="57" t="e">
        <f ca="1">+H13</f>
        <v>#NAME?</v>
      </c>
      <c r="I15" s="183" t="e">
        <f ca="1">+I13</f>
        <v>#NAME?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130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292" t="s">
        <v>139</v>
      </c>
      <c r="B19" s="172"/>
      <c r="C19" s="290">
        <f>+C17</f>
        <v>0</v>
      </c>
      <c r="D19" s="29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131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292" t="s">
        <v>140</v>
      </c>
      <c r="B23" s="172"/>
      <c r="C23" s="290">
        <f>+C21</f>
        <v>0</v>
      </c>
      <c r="D23" s="291">
        <f>+D21</f>
        <v>0</v>
      </c>
      <c r="E23" s="183">
        <f>+E21</f>
        <v>0</v>
      </c>
      <c r="F23" s="52"/>
      <c r="G23" s="56">
        <f>SUM(G21:G21)</f>
        <v>652</v>
      </c>
      <c r="H23" s="57">
        <f>SUM(H21:H21)</f>
        <v>652</v>
      </c>
      <c r="I23" s="183">
        <f>SUM(I21:I21)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133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134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135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136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144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292" t="s">
        <v>143</v>
      </c>
      <c r="B31" s="172"/>
      <c r="C31" s="290">
        <f>SUM(C25:C30)</f>
        <v>0</v>
      </c>
      <c r="D31" s="29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141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 t="e">
        <f ca="1">+G11+G15+G19+G23+G31</f>
        <v>#NAME?</v>
      </c>
      <c r="H34" s="48" t="e">
        <f ca="1">+H11+H15+H19+H23+H31</f>
        <v>#NAME?</v>
      </c>
      <c r="I34" s="49" t="e">
        <f ca="1">+I11+I15+I19+I23+I31</f>
        <v>#NAME?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29" t="s">
        <v>49</v>
      </c>
      <c r="D37" s="330"/>
      <c r="E37" s="331"/>
      <c r="F37" s="31"/>
      <c r="G37" s="329"/>
      <c r="H37" s="330"/>
      <c r="I37" s="331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61"/>
      <c r="F44" s="1"/>
      <c r="G44" s="1"/>
      <c r="H44" s="1"/>
      <c r="I44" s="26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8" t="s">
        <v>70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>
      <c r="A2" s="10" t="s">
        <v>45</v>
      </c>
      <c r="B2" s="339" t="s">
        <v>67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5" t="s">
        <v>65</v>
      </c>
      <c r="E6" s="336"/>
      <c r="F6" s="337"/>
      <c r="G6" s="1"/>
      <c r="H6" s="335" t="s">
        <v>66</v>
      </c>
      <c r="I6" s="336"/>
      <c r="J6" s="337"/>
      <c r="K6" s="1"/>
      <c r="L6" s="335" t="s">
        <v>38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14,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145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8622.2749199999998</v>
      </c>
      <c r="D8" s="226" t="e">
        <f ca="1">+'Mgmt Summary'!C10</f>
        <v>#NAME?</v>
      </c>
      <c r="E8" s="227" t="e">
        <f ca="1">-D8+C8</f>
        <v>#NAME?</v>
      </c>
      <c r="F8" s="228"/>
      <c r="G8" s="225" t="e">
        <f ca="1">+Expenses!D10+'CapChrg-AllocExp'!K11+'CapChrg-AllocExp'!D11</f>
        <v>#NAME?</v>
      </c>
      <c r="H8" s="226" t="e">
        <f ca="1">+Expenses!E10+'CapChrg-AllocExp'!L11+'CapChrg-AllocExp'!E11</f>
        <v>#NAME?</v>
      </c>
      <c r="I8" s="227" t="e">
        <f ca="1">+H8-G8</f>
        <v>#NAME?</v>
      </c>
      <c r="J8" s="228"/>
      <c r="K8" s="225" t="e">
        <f t="shared" ref="K8:L12" ca="1" si="0">C8-G8</f>
        <v>#NAME?</v>
      </c>
      <c r="L8" s="226" t="e">
        <f t="shared" ca="1" si="0"/>
        <v>#NAME?</v>
      </c>
      <c r="M8" s="227" t="e">
        <f ca="1">K8-L8</f>
        <v>#NAME?</v>
      </c>
      <c r="N8" s="295"/>
      <c r="O8" s="225">
        <f>+C8-'[3]QTD Mgmt Summary'!C9</f>
        <v>1494.5726099999993</v>
      </c>
      <c r="P8" s="226" t="e">
        <f ca="1">+G8-'[3]QTD Mgmt Summary'!G9</f>
        <v>#NAME?</v>
      </c>
      <c r="Q8" s="227" t="e">
        <f ca="1">O8-P8</f>
        <v>#NAME?</v>
      </c>
    </row>
    <row r="9" spans="1:22" s="32" customFormat="1" ht="13.5" customHeight="1">
      <c r="A9" s="223" t="s">
        <v>44</v>
      </c>
      <c r="B9" s="224"/>
      <c r="C9" s="225">
        <f>+'Mgmt Summary'!J11</f>
        <v>6807</v>
      </c>
      <c r="D9" s="226" t="e">
        <f ca="1">+'Mgmt Summary'!C11</f>
        <v>#NAME?</v>
      </c>
      <c r="E9" s="227" t="e">
        <f ca="1">-D9+C9</f>
        <v>#NAME?</v>
      </c>
      <c r="F9" s="228"/>
      <c r="G9" s="225" t="e">
        <f ca="1">+Expenses!D11+'CapChrg-AllocExp'!K12+'CapChrg-AllocExp'!D12</f>
        <v>#NAME?</v>
      </c>
      <c r="H9" s="226" t="e">
        <f ca="1">+Expenses!E11+'CapChrg-AllocExp'!L12+'CapChrg-AllocExp'!E12</f>
        <v>#NAME?</v>
      </c>
      <c r="I9" s="227" t="e">
        <f ca="1">+H9-G9</f>
        <v>#NAME?</v>
      </c>
      <c r="J9" s="228"/>
      <c r="K9" s="225" t="e">
        <f t="shared" ca="1" si="0"/>
        <v>#NAME?</v>
      </c>
      <c r="L9" s="226" t="e">
        <f t="shared" ca="1" si="0"/>
        <v>#NAME?</v>
      </c>
      <c r="M9" s="227" t="e">
        <f ca="1">K9-L9</f>
        <v>#NAME?</v>
      </c>
      <c r="N9" s="295"/>
      <c r="O9" s="225">
        <f>+C9-'[3]QTD Mgmt Summary'!C10</f>
        <v>39</v>
      </c>
      <c r="P9" s="226" t="e">
        <f ca="1">+G9-'[3]QTD Mgmt Summary'!G10</f>
        <v>#NAME?</v>
      </c>
      <c r="Q9" s="227" t="e">
        <f ca="1">O9-P9</f>
        <v>#NAME?</v>
      </c>
    </row>
    <row r="10" spans="1:22" s="32" customFormat="1" ht="13.5" customHeight="1">
      <c r="A10" s="223" t="s">
        <v>64</v>
      </c>
      <c r="B10" s="224"/>
      <c r="C10" s="225">
        <f>+'Mgmt Summary'!J12</f>
        <v>3105</v>
      </c>
      <c r="D10" s="226" t="e">
        <f ca="1">+'Mgmt Summary'!C12</f>
        <v>#NAME?</v>
      </c>
      <c r="E10" s="227" t="e">
        <f ca="1">-D10+C10</f>
        <v>#NAME?</v>
      </c>
      <c r="F10" s="228"/>
      <c r="G10" s="225" t="e">
        <f ca="1">+Expenses!D12+'CapChrg-AllocExp'!K13+'CapChrg-AllocExp'!D13</f>
        <v>#NAME?</v>
      </c>
      <c r="H10" s="226" t="e">
        <f ca="1">+Expenses!E12+'CapChrg-AllocExp'!L13+'CapChrg-AllocExp'!E13</f>
        <v>#NAME?</v>
      </c>
      <c r="I10" s="227" t="e">
        <f ca="1">+H10-G10</f>
        <v>#NAME?</v>
      </c>
      <c r="J10" s="228"/>
      <c r="K10" s="225" t="e">
        <f t="shared" ca="1" si="0"/>
        <v>#NAME?</v>
      </c>
      <c r="L10" s="226" t="e">
        <f t="shared" ca="1" si="0"/>
        <v>#NAME?</v>
      </c>
      <c r="M10" s="227" t="e">
        <f ca="1">K10-L10</f>
        <v>#NAME?</v>
      </c>
      <c r="N10" s="295"/>
      <c r="O10" s="225">
        <f>+C10-'[3]QTD Mgmt Summary'!C11</f>
        <v>-112</v>
      </c>
      <c r="P10" s="226" t="e">
        <f ca="1">+G10-'[3]QTD Mgmt Summary'!G11</f>
        <v>#NAME?</v>
      </c>
      <c r="Q10" s="227" t="e">
        <f ca="1">O10-P10</f>
        <v>#NAME?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 t="e">
        <f ca="1">+'Mgmt Summary'!C13</f>
        <v>#NAME?</v>
      </c>
      <c r="E11" s="227" t="e">
        <f ca="1">-D11+C11</f>
        <v>#NAME?</v>
      </c>
      <c r="F11" s="228"/>
      <c r="G11" s="225" t="e">
        <f ca="1">+Expenses!D13+'CapChrg-AllocExp'!K14+'CapChrg-AllocExp'!D14</f>
        <v>#NAME?</v>
      </c>
      <c r="H11" s="226" t="e">
        <f ca="1">+Expenses!E13+'CapChrg-AllocExp'!L14+'CapChrg-AllocExp'!E14</f>
        <v>#NAME?</v>
      </c>
      <c r="I11" s="227" t="e">
        <f ca="1">+H11-G11</f>
        <v>#NAME?</v>
      </c>
      <c r="J11" s="228"/>
      <c r="K11" s="225" t="e">
        <f t="shared" ca="1" si="0"/>
        <v>#NAME?</v>
      </c>
      <c r="L11" s="226" t="e">
        <f t="shared" ca="1" si="0"/>
        <v>#NAME?</v>
      </c>
      <c r="M11" s="227" t="e">
        <f ca="1">K11-L11</f>
        <v>#NAME?</v>
      </c>
      <c r="N11" s="295"/>
      <c r="O11" s="225">
        <f>+C11-'[3]QTD Mgmt Summary'!C12</f>
        <v>0</v>
      </c>
      <c r="P11" s="226" t="e">
        <f ca="1">+G11-'[3]QTD Mgmt Summary'!G12</f>
        <v>#NAME?</v>
      </c>
      <c r="Q11" s="227" t="e">
        <f ca="1">O11-P11</f>
        <v>#NAME?</v>
      </c>
    </row>
    <row r="12" spans="1:22" s="32" customFormat="1" ht="13.5" customHeight="1">
      <c r="A12" s="223" t="s">
        <v>50</v>
      </c>
      <c r="B12" s="224"/>
      <c r="C12" s="225">
        <f>+'Mgmt Summary'!J14</f>
        <v>1625</v>
      </c>
      <c r="D12" s="226">
        <f>+'Mgmt Summary'!C14</f>
        <v>11483.213</v>
      </c>
      <c r="E12" s="227">
        <f>-D12+C12</f>
        <v>-9858.2129999999997</v>
      </c>
      <c r="F12" s="228"/>
      <c r="G12" s="225" t="e">
        <f ca="1">+Expenses!D14+'CapChrg-AllocExp'!K15+'CapChrg-AllocExp'!D15</f>
        <v>#NAME?</v>
      </c>
      <c r="H12" s="226" t="e">
        <f ca="1">+Expenses!E14+'CapChrg-AllocExp'!L15+'CapChrg-AllocExp'!E15</f>
        <v>#NAME?</v>
      </c>
      <c r="I12" s="227" t="e">
        <f ca="1">+H12-G12</f>
        <v>#NAME?</v>
      </c>
      <c r="J12" s="228"/>
      <c r="K12" s="225" t="e">
        <f t="shared" ca="1" si="0"/>
        <v>#NAME?</v>
      </c>
      <c r="L12" s="226" t="e">
        <f t="shared" ca="1" si="0"/>
        <v>#NAME?</v>
      </c>
      <c r="M12" s="227" t="e">
        <f ca="1">K12-L12</f>
        <v>#NAME?</v>
      </c>
      <c r="N12" s="295"/>
      <c r="O12" s="225">
        <f>+C12-'[3]QTD Mgmt Summary'!C13</f>
        <v>1499.5070000000001</v>
      </c>
      <c r="P12" s="226" t="e">
        <f ca="1">+G12-'[3]QTD Mgmt Summary'!G13</f>
        <v>#NAME?</v>
      </c>
      <c r="Q12" s="227" t="e">
        <f ca="1">O12-P12</f>
        <v>#NAME?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294"/>
      <c r="O13" s="215"/>
      <c r="P13" s="216"/>
      <c r="Q13" s="217"/>
    </row>
    <row r="14" spans="1:22" s="220" customFormat="1" ht="16.5">
      <c r="A14" s="229" t="s">
        <v>3</v>
      </c>
      <c r="B14" s="219"/>
      <c r="C14" s="234">
        <f t="shared" ref="C14:M14" si="1">SUM(C8:C13)</f>
        <v>20159.27492</v>
      </c>
      <c r="D14" s="235" t="e">
        <f t="shared" ca="1" si="1"/>
        <v>#NAME?</v>
      </c>
      <c r="E14" s="236" t="e">
        <f t="shared" ca="1" si="1"/>
        <v>#NAME?</v>
      </c>
      <c r="F14" s="237">
        <f t="shared" si="1"/>
        <v>0</v>
      </c>
      <c r="G14" s="234" t="e">
        <f t="shared" ca="1" si="1"/>
        <v>#NAME?</v>
      </c>
      <c r="H14" s="235" t="e">
        <f t="shared" ca="1" si="1"/>
        <v>#NAME?</v>
      </c>
      <c r="I14" s="236" t="e">
        <f t="shared" ca="1" si="1"/>
        <v>#NAME?</v>
      </c>
      <c r="J14" s="237">
        <f t="shared" si="1"/>
        <v>0</v>
      </c>
      <c r="K14" s="234" t="e">
        <f t="shared" ca="1" si="1"/>
        <v>#NAME?</v>
      </c>
      <c r="L14" s="235" t="e">
        <f t="shared" ca="1" si="1"/>
        <v>#NAME?</v>
      </c>
      <c r="M14" s="236" t="e">
        <f t="shared" ca="1" si="1"/>
        <v>#NAME?</v>
      </c>
      <c r="N14" s="296"/>
      <c r="O14" s="234">
        <f>SUM(O8:O13)</f>
        <v>2921.0796099999993</v>
      </c>
      <c r="P14" s="235" t="e">
        <f ca="1">SUM(P8:P13)</f>
        <v>#NAME?</v>
      </c>
      <c r="Q14" s="236" t="e">
        <f ca="1">SUM(Q8:Q13)</f>
        <v>#NAME?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294"/>
      <c r="O15" s="215"/>
      <c r="P15" s="216"/>
      <c r="Q15" s="217"/>
    </row>
    <row r="16" spans="1:22" s="32" customFormat="1" ht="13.5" customHeight="1">
      <c r="A16" s="223" t="s">
        <v>112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 t="e">
        <f ca="1">+Expenses!D10+Expenses!D11+Expenses!D12+Expenses!D13+Expenses!D14+'CapChrg-AllocExp'!D11+'CapChrg-AllocExp'!K11+'CapChrg-AllocExp'!K12+'CapChrg-AllocExp'!K13+'CapChrg-AllocExp'!K14+'CapChrg-AllocExp'!K15</f>
        <v>#NAME?</v>
      </c>
      <c r="H16" s="226" t="e">
        <f ca="1">+Expenses!E10+Expenses!E11+Expenses!E12+Expenses!E13+Expenses!E14+'CapChrg-AllocExp'!E11+'CapChrg-AllocExp'!L11+'CapChrg-AllocExp'!L12+'CapChrg-AllocExp'!L13+'CapChrg-AllocExp'!L14+'CapChrg-AllocExp'!L15</f>
        <v>#NAME?</v>
      </c>
      <c r="I16" s="227" t="e">
        <f ca="1">+H16-G16</f>
        <v>#NAME?</v>
      </c>
      <c r="J16" s="228"/>
      <c r="K16" s="225" t="e">
        <f t="shared" ref="K16:L19" ca="1" si="2">C16-G16</f>
        <v>#NAME?</v>
      </c>
      <c r="L16" s="226" t="e">
        <f t="shared" ca="1" si="2"/>
        <v>#NAME?</v>
      </c>
      <c r="M16" s="227" t="e">
        <f ca="1">K16-L16</f>
        <v>#NAME?</v>
      </c>
      <c r="N16" s="295"/>
      <c r="O16" s="225">
        <f>+C16-'[3]QTD Mgmt Summary'!C29</f>
        <v>0</v>
      </c>
      <c r="P16" s="226" t="e">
        <f ca="1">+G16-'[3]QTD Mgmt Summary'!G29</f>
        <v>#NAME?</v>
      </c>
      <c r="Q16" s="227" t="e">
        <f ca="1">O16-P16</f>
        <v>#NAME?</v>
      </c>
    </row>
    <row r="17" spans="1:17" s="32" customFormat="1" ht="13.5" customHeight="1">
      <c r="A17" s="223" t="s">
        <v>103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 t="e">
        <f ca="1">-G16</f>
        <v>#NAME?</v>
      </c>
      <c r="H17" s="226" t="e">
        <f ca="1">-H16</f>
        <v>#NAME?</v>
      </c>
      <c r="I17" s="227" t="e">
        <f ca="1">+H17-G17</f>
        <v>#NAME?</v>
      </c>
      <c r="J17" s="228"/>
      <c r="K17" s="225" t="e">
        <f t="shared" ca="1" si="2"/>
        <v>#NAME?</v>
      </c>
      <c r="L17" s="226" t="e">
        <f t="shared" ca="1" si="2"/>
        <v>#NAME?</v>
      </c>
      <c r="M17" s="227" t="e">
        <f ca="1">K17-L17</f>
        <v>#NAME?</v>
      </c>
      <c r="N17" s="295"/>
      <c r="O17" s="225">
        <f>+C17-'[3]QTD Mgmt Summary'!C30</f>
        <v>0</v>
      </c>
      <c r="P17" s="226" t="e">
        <f ca="1">+G17-'[3]QTD Mgmt Summary'!G30</f>
        <v>#NAME?</v>
      </c>
      <c r="Q17" s="227" t="e">
        <f ca="1">O17-P17</f>
        <v>#NAME?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29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 t="e">
        <f ca="1">-'CapChrg-AllocExp'!E11</f>
        <v>#NAME?</v>
      </c>
      <c r="I19" s="227" t="e">
        <f ca="1">+H19-G19</f>
        <v>#NAME?</v>
      </c>
      <c r="J19" s="228"/>
      <c r="K19" s="225">
        <f t="shared" si="2"/>
        <v>658</v>
      </c>
      <c r="L19" s="226" t="e">
        <f t="shared" ca="1" si="2"/>
        <v>#NAME?</v>
      </c>
      <c r="M19" s="227" t="e">
        <f ca="1">K19-L19</f>
        <v>#NAME?</v>
      </c>
      <c r="N19" s="29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94"/>
      <c r="O20" s="215"/>
      <c r="P20" s="216"/>
      <c r="Q20" s="217"/>
    </row>
    <row r="21" spans="1:17" s="220" customFormat="1" ht="16.5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 t="e">
        <f ca="1">SUM(G16:G19)</f>
        <v>#NAME?</v>
      </c>
      <c r="H21" s="235" t="e">
        <f ca="1">SUM(H16:H19)</f>
        <v>#NAME?</v>
      </c>
      <c r="I21" s="236" t="e">
        <f ca="1">SUM(I16:I19)</f>
        <v>#NAME?</v>
      </c>
      <c r="J21" s="237"/>
      <c r="K21" s="234" t="e">
        <f ca="1">SUM(K16:K19)</f>
        <v>#NAME?</v>
      </c>
      <c r="L21" s="235" t="e">
        <f ca="1">SUM(L16:L19)</f>
        <v>#NAME?</v>
      </c>
      <c r="M21" s="236" t="e">
        <f ca="1">SUM(M16:M19)</f>
        <v>#NAME?</v>
      </c>
      <c r="N21" s="296"/>
      <c r="O21" s="234">
        <f>SUM(O16:O19)</f>
        <v>0</v>
      </c>
      <c r="P21" s="235" t="e">
        <f ca="1">SUM(P16:P19)</f>
        <v>#NAME?</v>
      </c>
      <c r="Q21" s="236" t="e">
        <f ca="1">SUM(Q16:Q19)</f>
        <v>#NAME?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29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 t="e">
        <f ca="1">+'IntIncome-Expense'!G13</f>
        <v>#NAME?</v>
      </c>
      <c r="H23" s="226" t="e">
        <f ca="1">+'IntIncome-Expense'!H13</f>
        <v>#NAME?</v>
      </c>
      <c r="I23" s="227" t="e">
        <f ca="1">+H23-G23</f>
        <v>#NAME?</v>
      </c>
      <c r="J23" s="228"/>
      <c r="K23" s="225" t="e">
        <f ca="1">C23-G23</f>
        <v>#NAME?</v>
      </c>
      <c r="L23" s="226" t="e">
        <f ca="1">D23-H23</f>
        <v>#NAME?</v>
      </c>
      <c r="M23" s="227" t="e">
        <f ca="1">K23-L23</f>
        <v>#NAME?</v>
      </c>
      <c r="N23" s="295"/>
      <c r="O23" s="225">
        <f>+C23-'[3]QTD Mgmt Summary'!C36</f>
        <v>0</v>
      </c>
      <c r="P23" s="226" t="e">
        <f ca="1">+G23-'[3]QTD Mgmt Summary'!G36</f>
        <v>#NAME?</v>
      </c>
      <c r="Q23" s="227" t="e">
        <f ca="1">O23-P23</f>
        <v>#NAME?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294"/>
      <c r="O24" s="225"/>
      <c r="P24" s="226"/>
      <c r="Q24" s="227"/>
    </row>
    <row r="25" spans="1:17" s="220" customFormat="1" ht="17.25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64">
        <f>+E21-E23</f>
        <v>0</v>
      </c>
      <c r="F25" s="241"/>
      <c r="G25" s="239" t="e">
        <f ca="1">SUM(G21:G23)</f>
        <v>#NAME?</v>
      </c>
      <c r="H25" s="240" t="e">
        <f ca="1">SUM(H21:H23)</f>
        <v>#NAME?</v>
      </c>
      <c r="I25" s="264" t="e">
        <f ca="1">SUM(I21:I23)</f>
        <v>#NAME?</v>
      </c>
      <c r="J25" s="241"/>
      <c r="K25" s="239" t="e">
        <f ca="1">SUM(K21:K23)</f>
        <v>#NAME?</v>
      </c>
      <c r="L25" s="240" t="e">
        <f ca="1">SUM(L21:L23)</f>
        <v>#NAME?</v>
      </c>
      <c r="M25" s="264" t="e">
        <f ca="1">SUM(M21:M23)</f>
        <v>#NAME?</v>
      </c>
      <c r="N25" s="296"/>
      <c r="O25" s="239">
        <f>SUM(O21:O23)</f>
        <v>0</v>
      </c>
      <c r="P25" s="240" t="e">
        <f ca="1">SUM(P21:P23)</f>
        <v>#NAME?</v>
      </c>
      <c r="Q25" s="264" t="e">
        <f ca="1">SUM(Q21:Q23)</f>
        <v>#NAME?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299" t="s">
        <v>148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5" zoomScale="95" workbookViewId="0">
      <selection activeCell="F17" sqref="F17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14,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149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-7852.8109999999997</v>
      </c>
      <c r="D8" s="226">
        <f>+'Mgmt Summary'!C9</f>
        <v>30000</v>
      </c>
      <c r="E8" s="227">
        <f t="shared" ref="E8:E13" si="0">-D8+C8</f>
        <v>-37852.811000000002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-22544.811000000002</v>
      </c>
      <c r="L8" s="226">
        <f t="shared" ref="K8:L13" si="2">D8-H8</f>
        <v>15908</v>
      </c>
      <c r="M8" s="227">
        <f t="shared" ref="M8:M13" si="3">K8-L8</f>
        <v>-38452.811000000002</v>
      </c>
      <c r="N8" s="295"/>
      <c r="O8" s="225">
        <f>+C8-'[3]QTD Mgmt Summary'!C8</f>
        <v>4429.8060000000005</v>
      </c>
      <c r="P8" s="226">
        <f>-G8+'[3]QTD Mgmt Summary'!G8</f>
        <v>0</v>
      </c>
      <c r="Q8" s="227">
        <f>+O8+P8</f>
        <v>4429.8060000000005</v>
      </c>
    </row>
    <row r="9" spans="1:22" s="32" customFormat="1" ht="13.5" customHeight="1">
      <c r="A9" s="223" t="s">
        <v>1</v>
      </c>
      <c r="B9" s="224"/>
      <c r="C9" s="225">
        <f>+'Mgmt Summary'!J10</f>
        <v>8622.2749199999998</v>
      </c>
      <c r="D9" s="226" t="e">
        <f ca="1">+'Mgmt Summary'!C10</f>
        <v>#NAME?</v>
      </c>
      <c r="E9" s="227" t="e">
        <f t="shared" ca="1" si="0"/>
        <v>#NAME?</v>
      </c>
      <c r="F9" s="228"/>
      <c r="G9" s="225" t="e">
        <f ca="1">+Expenses!D10+'CapChrg-AllocExp'!K11+'CapChrg-AllocExp'!D11</f>
        <v>#NAME?</v>
      </c>
      <c r="H9" s="226" t="e">
        <f ca="1">+Expenses!E10+'CapChrg-AllocExp'!L11+'CapChrg-AllocExp'!E11</f>
        <v>#NAME?</v>
      </c>
      <c r="I9" s="227" t="e">
        <f t="shared" ca="1" si="1"/>
        <v>#NAME?</v>
      </c>
      <c r="J9" s="228"/>
      <c r="K9" s="225" t="e">
        <f t="shared" ca="1" si="2"/>
        <v>#NAME?</v>
      </c>
      <c r="L9" s="226" t="e">
        <f t="shared" ca="1" si="2"/>
        <v>#NAME?</v>
      </c>
      <c r="M9" s="227" t="e">
        <f t="shared" ca="1" si="3"/>
        <v>#NAME?</v>
      </c>
      <c r="N9" s="295"/>
      <c r="O9" s="225">
        <f>+C9-'[3]QTD Mgmt Summary'!C9</f>
        <v>1494.5726099999993</v>
      </c>
      <c r="P9" s="226" t="e">
        <f ca="1">-G9+'[3]QTD Mgmt Summary'!G9</f>
        <v>#NAME?</v>
      </c>
      <c r="Q9" s="227" t="e">
        <f t="shared" ref="Q9:Q16" ca="1" si="4">+O9+P9</f>
        <v>#NAME?</v>
      </c>
    </row>
    <row r="10" spans="1:22" s="32" customFormat="1" ht="13.5" customHeight="1">
      <c r="A10" s="223" t="s">
        <v>44</v>
      </c>
      <c r="B10" s="224"/>
      <c r="C10" s="225">
        <f>+'Mgmt Summary'!J11</f>
        <v>6807</v>
      </c>
      <c r="D10" s="226" t="e">
        <f ca="1">+'Mgmt Summary'!C11</f>
        <v>#NAME?</v>
      </c>
      <c r="E10" s="227" t="e">
        <f t="shared" ca="1" si="0"/>
        <v>#NAME?</v>
      </c>
      <c r="F10" s="228"/>
      <c r="G10" s="225" t="e">
        <f ca="1">+Expenses!D11+'CapChrg-AllocExp'!K12+'CapChrg-AllocExp'!D12</f>
        <v>#NAME?</v>
      </c>
      <c r="H10" s="226" t="e">
        <f ca="1">+Expenses!E11+'CapChrg-AllocExp'!L12+'CapChrg-AllocExp'!E12</f>
        <v>#NAME?</v>
      </c>
      <c r="I10" s="227" t="e">
        <f t="shared" ca="1" si="1"/>
        <v>#NAME?</v>
      </c>
      <c r="J10" s="228"/>
      <c r="K10" s="225" t="e">
        <f t="shared" ca="1" si="2"/>
        <v>#NAME?</v>
      </c>
      <c r="L10" s="226" t="e">
        <f t="shared" ca="1" si="2"/>
        <v>#NAME?</v>
      </c>
      <c r="M10" s="227" t="e">
        <f t="shared" ca="1" si="3"/>
        <v>#NAME?</v>
      </c>
      <c r="N10" s="295"/>
      <c r="O10" s="225">
        <f>+C10-'[3]QTD Mgmt Summary'!C10</f>
        <v>39</v>
      </c>
      <c r="P10" s="226" t="e">
        <f ca="1">-G10+'[3]QTD Mgmt Summary'!G10</f>
        <v>#NAME?</v>
      </c>
      <c r="Q10" s="227" t="e">
        <f t="shared" ca="1" si="4"/>
        <v>#NAME?</v>
      </c>
    </row>
    <row r="11" spans="1:22" s="32" customFormat="1" ht="13.5" customHeight="1">
      <c r="A11" s="223" t="s">
        <v>64</v>
      </c>
      <c r="B11" s="224"/>
      <c r="C11" s="225">
        <f>+'Mgmt Summary'!J12</f>
        <v>3105</v>
      </c>
      <c r="D11" s="226" t="e">
        <f ca="1">+'Mgmt Summary'!C12</f>
        <v>#NAME?</v>
      </c>
      <c r="E11" s="227" t="e">
        <f t="shared" ca="1" si="0"/>
        <v>#NAME?</v>
      </c>
      <c r="F11" s="228"/>
      <c r="G11" s="225" t="e">
        <f ca="1">+Expenses!D12+'CapChrg-AllocExp'!K13+'CapChrg-AllocExp'!D13</f>
        <v>#NAME?</v>
      </c>
      <c r="H11" s="226" t="e">
        <f ca="1">+Expenses!E12+'CapChrg-AllocExp'!L13+'CapChrg-AllocExp'!E13</f>
        <v>#NAME?</v>
      </c>
      <c r="I11" s="227" t="e">
        <f t="shared" ca="1" si="1"/>
        <v>#NAME?</v>
      </c>
      <c r="J11" s="228"/>
      <c r="K11" s="225" t="e">
        <f t="shared" ca="1" si="2"/>
        <v>#NAME?</v>
      </c>
      <c r="L11" s="226" t="e">
        <f t="shared" ca="1" si="2"/>
        <v>#NAME?</v>
      </c>
      <c r="M11" s="227" t="e">
        <f t="shared" ca="1" si="3"/>
        <v>#NAME?</v>
      </c>
      <c r="N11" s="295"/>
      <c r="O11" s="225">
        <f>+C11-'[3]QTD Mgmt Summary'!C11</f>
        <v>-112</v>
      </c>
      <c r="P11" s="226" t="e">
        <f ca="1">-G11+'[3]QTD Mgmt Summary'!G11</f>
        <v>#NAME?</v>
      </c>
      <c r="Q11" s="227" t="e">
        <f t="shared" ca="1" si="4"/>
        <v>#NAME?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 t="e">
        <f ca="1">+'Mgmt Summary'!C13</f>
        <v>#NAME?</v>
      </c>
      <c r="E12" s="227" t="e">
        <f t="shared" ca="1" si="0"/>
        <v>#NAME?</v>
      </c>
      <c r="F12" s="228"/>
      <c r="G12" s="225" t="e">
        <f ca="1">+Expenses!D13+'CapChrg-AllocExp'!K14+'CapChrg-AllocExp'!D14</f>
        <v>#NAME?</v>
      </c>
      <c r="H12" s="226" t="e">
        <f ca="1">+Expenses!E13+'CapChrg-AllocExp'!L14+'CapChrg-AllocExp'!E14</f>
        <v>#NAME?</v>
      </c>
      <c r="I12" s="227" t="e">
        <f t="shared" ca="1" si="1"/>
        <v>#NAME?</v>
      </c>
      <c r="J12" s="228"/>
      <c r="K12" s="225" t="e">
        <f t="shared" ca="1" si="2"/>
        <v>#NAME?</v>
      </c>
      <c r="L12" s="226" t="e">
        <f t="shared" ca="1" si="2"/>
        <v>#NAME?</v>
      </c>
      <c r="M12" s="227" t="e">
        <f t="shared" ca="1" si="3"/>
        <v>#NAME?</v>
      </c>
      <c r="N12" s="295"/>
      <c r="O12" s="225">
        <f>+C12-'[3]QTD Mgmt Summary'!C12</f>
        <v>0</v>
      </c>
      <c r="P12" s="226" t="e">
        <f ca="1">-G12+'[3]QTD Mgmt Summary'!G12</f>
        <v>#NAME?</v>
      </c>
      <c r="Q12" s="227" t="e">
        <f t="shared" ca="1" si="4"/>
        <v>#NAME?</v>
      </c>
    </row>
    <row r="13" spans="1:22" s="32" customFormat="1" ht="13.5" customHeight="1">
      <c r="A13" s="223" t="s">
        <v>50</v>
      </c>
      <c r="B13" s="224"/>
      <c r="C13" s="225">
        <f>+'Mgmt Summary'!J14</f>
        <v>1625</v>
      </c>
      <c r="D13" s="226">
        <f>+'Mgmt Summary'!C14</f>
        <v>11483.213</v>
      </c>
      <c r="E13" s="227">
        <f t="shared" si="0"/>
        <v>-9858.2129999999997</v>
      </c>
      <c r="F13" s="228"/>
      <c r="G13" s="225" t="e">
        <f ca="1">+Expenses!D14+'CapChrg-AllocExp'!K15+'CapChrg-AllocExp'!D15</f>
        <v>#NAME?</v>
      </c>
      <c r="H13" s="226" t="e">
        <f ca="1">+Expenses!E14+'CapChrg-AllocExp'!L15+'CapChrg-AllocExp'!E15</f>
        <v>#NAME?</v>
      </c>
      <c r="I13" s="227" t="e">
        <f t="shared" ca="1" si="1"/>
        <v>#NAME?</v>
      </c>
      <c r="J13" s="228"/>
      <c r="K13" s="225" t="e">
        <f t="shared" ca="1" si="2"/>
        <v>#NAME?</v>
      </c>
      <c r="L13" s="226" t="e">
        <f t="shared" ca="1" si="2"/>
        <v>#NAME?</v>
      </c>
      <c r="M13" s="227" t="e">
        <f t="shared" ca="1" si="3"/>
        <v>#NAME?</v>
      </c>
      <c r="N13" s="295"/>
      <c r="O13" s="225">
        <f>+C13-'[3]QTD Mgmt Summary'!C13</f>
        <v>1499.5070000000001</v>
      </c>
      <c r="P13" s="300" t="e">
        <f ca="1">(-G13+'[3]QTD Mgmt Summary'!G13)*0</f>
        <v>#NAME?</v>
      </c>
      <c r="Q13" s="227" t="e">
        <f t="shared" ca="1" si="4"/>
        <v>#NAME?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1525</v>
      </c>
      <c r="H14" s="226">
        <f>+Expenses!E15+'CapChrg-AllocExp'!L16+'CapChrg-AllocExp'!E16</f>
        <v>0</v>
      </c>
      <c r="I14" s="227">
        <f t="shared" si="1"/>
        <v>-1525</v>
      </c>
      <c r="J14" s="228"/>
      <c r="K14" s="225">
        <f t="shared" ref="K14:L16" si="6">C14-G14</f>
        <v>-1525</v>
      </c>
      <c r="L14" s="226">
        <f t="shared" si="6"/>
        <v>0</v>
      </c>
      <c r="M14" s="227">
        <f t="shared" ref="M14:M22" si="7">K14-L14</f>
        <v>-1525</v>
      </c>
      <c r="N14" s="295"/>
      <c r="O14" s="225">
        <f>+C14-'[3]QTD Mgmt Summary'!C14</f>
        <v>0</v>
      </c>
      <c r="P14" s="226">
        <f>-G14+'[3]QTD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295"/>
      <c r="O15" s="225">
        <f>+C15-'[3]QTD Mgmt Summary'!C15</f>
        <v>0</v>
      </c>
      <c r="P15" s="226">
        <f>-G15+'[3]QTD Mgmt Summary'!G15</f>
        <v>0</v>
      </c>
      <c r="Q15" s="227">
        <f t="shared" si="4"/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295"/>
      <c r="O16" s="225">
        <f>+C16-'[3]QTD Mgmt Summary'!C16</f>
        <v>0</v>
      </c>
      <c r="P16" s="226">
        <f>-G16+'[3]QTD Mgmt Summary'!G16</f>
        <v>0</v>
      </c>
      <c r="Q16" s="227">
        <f t="shared" si="4"/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294"/>
      <c r="O17" s="215"/>
      <c r="P17" s="216"/>
      <c r="Q17" s="217"/>
    </row>
    <row r="18" spans="1:19" s="220" customFormat="1" ht="16.5">
      <c r="A18" s="229" t="s">
        <v>106</v>
      </c>
      <c r="B18" s="219"/>
      <c r="C18" s="234">
        <f>SUM(C8:C17)</f>
        <v>12306.46392</v>
      </c>
      <c r="D18" s="235" t="e">
        <f t="shared" ref="D18:M18" ca="1" si="8">SUM(D8:D17)</f>
        <v>#NAME?</v>
      </c>
      <c r="E18" s="236" t="e">
        <f t="shared" ca="1" si="8"/>
        <v>#NAME?</v>
      </c>
      <c r="F18" s="237">
        <f t="shared" si="8"/>
        <v>0</v>
      </c>
      <c r="G18" s="234" t="e">
        <f t="shared" ca="1" si="8"/>
        <v>#NAME?</v>
      </c>
      <c r="H18" s="235" t="e">
        <f t="shared" ca="1" si="8"/>
        <v>#NAME?</v>
      </c>
      <c r="I18" s="236" t="e">
        <f t="shared" ca="1" si="8"/>
        <v>#NAME?</v>
      </c>
      <c r="J18" s="237">
        <f t="shared" si="8"/>
        <v>0</v>
      </c>
      <c r="K18" s="234" t="e">
        <f t="shared" ca="1" si="8"/>
        <v>#NAME?</v>
      </c>
      <c r="L18" s="235" t="e">
        <f t="shared" ca="1" si="8"/>
        <v>#NAME?</v>
      </c>
      <c r="M18" s="236" t="e">
        <f t="shared" ca="1" si="8"/>
        <v>#NAME?</v>
      </c>
      <c r="N18" s="296"/>
      <c r="O18" s="234">
        <f>SUM(O8:O17)</f>
        <v>7350.8856099999994</v>
      </c>
      <c r="P18" s="235" t="e">
        <f ca="1">SUM(P8:P17)</f>
        <v>#NAME?</v>
      </c>
      <c r="Q18" s="236" t="e">
        <f ca="1">SUM(Q8:Q17)</f>
        <v>#NAME?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9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295"/>
      <c r="O20" s="225">
        <f>+C20-'[3]QTD Mgmt Summary'!C20</f>
        <v>0</v>
      </c>
      <c r="P20" s="226">
        <f>-G20+'[3]QTD Mgmt Summary'!G20</f>
        <v>0</v>
      </c>
      <c r="Q20" s="227">
        <f>+O20+P20</f>
        <v>0</v>
      </c>
      <c r="S20" s="298"/>
    </row>
    <row r="21" spans="1:19" s="32" customFormat="1" ht="13.5" customHeight="1">
      <c r="A21" s="223" t="s">
        <v>100</v>
      </c>
      <c r="B21" s="224"/>
      <c r="C21" s="225">
        <f>+'Mgmt Summary'!J22</f>
        <v>132</v>
      </c>
      <c r="D21" s="226">
        <f>+'Mgmt Summary'!C22</f>
        <v>4617</v>
      </c>
      <c r="E21" s="227">
        <f t="shared" si="5"/>
        <v>-4485</v>
      </c>
      <c r="F21" s="228"/>
      <c r="G21" s="225">
        <f>+Expenses!D21+'CapChrg-AllocExp'!K19+'CapChrg-AllocExp'!D19</f>
        <v>3221</v>
      </c>
      <c r="H21" s="226">
        <f>+Expenses!E21+'CapChrg-AllocExp'!L19+'CapChrg-AllocExp'!E19</f>
        <v>2188</v>
      </c>
      <c r="I21" s="227">
        <f>+H21-G21</f>
        <v>-1033</v>
      </c>
      <c r="J21" s="228"/>
      <c r="K21" s="225">
        <f t="shared" si="9"/>
        <v>-3089</v>
      </c>
      <c r="L21" s="226">
        <f t="shared" si="9"/>
        <v>2429</v>
      </c>
      <c r="M21" s="227">
        <f t="shared" si="7"/>
        <v>-5518</v>
      </c>
      <c r="N21" s="295"/>
      <c r="O21" s="225">
        <f>+C21-'[3]QTD Mgmt Summary'!C21</f>
        <v>0</v>
      </c>
      <c r="P21" s="226">
        <f>-G21+'[3]QTD Mgmt Summary'!G21</f>
        <v>0</v>
      </c>
      <c r="Q21" s="227">
        <f>+O21+P21</f>
        <v>0</v>
      </c>
    </row>
    <row r="22" spans="1:19" s="32" customFormat="1" ht="13.5" customHeight="1">
      <c r="A22" s="223" t="s">
        <v>101</v>
      </c>
      <c r="B22" s="224"/>
      <c r="C22" s="258">
        <f>+'Mgmt Summary'!J23</f>
        <v>-3089</v>
      </c>
      <c r="D22" s="259">
        <f>+'Mgmt Summary'!C23</f>
        <v>530</v>
      </c>
      <c r="E22" s="260">
        <f t="shared" si="5"/>
        <v>-3619</v>
      </c>
      <c r="F22" s="228"/>
      <c r="G22" s="258">
        <f>+Expenses!D22+'CapChrg-AllocExp'!K20+'CapChrg-AllocExp'!D20</f>
        <v>1056</v>
      </c>
      <c r="H22" s="259">
        <f>+Expenses!E22+'CapChrg-AllocExp'!L20+'CapChrg-AllocExp'!E20</f>
        <v>2146</v>
      </c>
      <c r="I22" s="260">
        <f>+H22-G22</f>
        <v>1090</v>
      </c>
      <c r="J22" s="228"/>
      <c r="K22" s="258">
        <f t="shared" si="9"/>
        <v>-4145</v>
      </c>
      <c r="L22" s="259">
        <f t="shared" si="9"/>
        <v>-1616</v>
      </c>
      <c r="M22" s="260">
        <f t="shared" si="7"/>
        <v>-2529</v>
      </c>
      <c r="N22" s="295"/>
      <c r="O22" s="225">
        <f>+C22-'[3]QTD Mgmt Summary'!C22</f>
        <v>0</v>
      </c>
      <c r="P22" s="226">
        <f>-G22+'[3]QTD Mgmt Summary'!G22</f>
        <v>0</v>
      </c>
      <c r="Q22" s="227">
        <f>+O22+P22</f>
        <v>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294"/>
      <c r="O23" s="215"/>
      <c r="P23" s="216"/>
      <c r="Q23" s="217"/>
    </row>
    <row r="24" spans="1:19" s="220" customFormat="1" ht="16.5">
      <c r="A24" s="229" t="s">
        <v>113</v>
      </c>
      <c r="B24" s="219"/>
      <c r="C24" s="234">
        <f>SUM(C20:C23)</f>
        <v>-2871</v>
      </c>
      <c r="D24" s="235">
        <f>SUM(D20:D23)</f>
        <v>6291</v>
      </c>
      <c r="E24" s="236">
        <f>SUM(E20:E23)</f>
        <v>-9162</v>
      </c>
      <c r="F24" s="237"/>
      <c r="G24" s="234">
        <f>SUM(G20:G23)</f>
        <v>7053</v>
      </c>
      <c r="H24" s="235">
        <f>SUM(H20:H23)</f>
        <v>5704</v>
      </c>
      <c r="I24" s="236">
        <f>SUM(I20:I23)</f>
        <v>-1349</v>
      </c>
      <c r="J24" s="237"/>
      <c r="K24" s="234">
        <f>SUM(K20:K23)</f>
        <v>-9924</v>
      </c>
      <c r="L24" s="235">
        <f>SUM(L20:L23)</f>
        <v>587</v>
      </c>
      <c r="M24" s="236">
        <f>SUM(M20:M23)</f>
        <v>-10511</v>
      </c>
      <c r="N24" s="296"/>
      <c r="O24" s="234">
        <f>SUM(O20:O23)</f>
        <v>0</v>
      </c>
      <c r="P24" s="235">
        <f>SUM(P20:P23)</f>
        <v>0</v>
      </c>
      <c r="Q24" s="236">
        <f>SUM(Q20:Q23)</f>
        <v>0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29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9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9435.4639200000001</v>
      </c>
      <c r="D27" s="235" t="e">
        <f ca="1">+D18+D24</f>
        <v>#NAME?</v>
      </c>
      <c r="E27" s="236" t="e">
        <f ca="1">+E18+E24</f>
        <v>#NAME?</v>
      </c>
      <c r="F27" s="237">
        <f>SUM(F24:F25)</f>
        <v>0</v>
      </c>
      <c r="G27" s="234" t="e">
        <f ca="1">+G18+G24</f>
        <v>#NAME?</v>
      </c>
      <c r="H27" s="235" t="e">
        <f ca="1">+H18+H24</f>
        <v>#NAME?</v>
      </c>
      <c r="I27" s="236" t="e">
        <f ca="1">+I18+I24</f>
        <v>#NAME?</v>
      </c>
      <c r="J27" s="237">
        <f>SUM(J24:J25)</f>
        <v>0</v>
      </c>
      <c r="K27" s="234" t="e">
        <f ca="1">+K18+K24</f>
        <v>#NAME?</v>
      </c>
      <c r="L27" s="235" t="e">
        <f ca="1">+L18+L24</f>
        <v>#NAME?</v>
      </c>
      <c r="M27" s="236" t="e">
        <f ca="1">+M18+M24</f>
        <v>#NAME?</v>
      </c>
      <c r="N27" s="296"/>
      <c r="O27" s="234">
        <f>+O18+O24</f>
        <v>7350.8856099999994</v>
      </c>
      <c r="P27" s="235" t="e">
        <f ca="1">+P18+P24</f>
        <v>#NAME?</v>
      </c>
      <c r="Q27" s="236" t="e">
        <f ca="1">+Q18+Q24</f>
        <v>#NAME?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294"/>
      <c r="O28" s="215"/>
      <c r="P28" s="216"/>
      <c r="Q28" s="217"/>
    </row>
    <row r="29" spans="1:19" s="32" customFormat="1" ht="13.5" customHeight="1">
      <c r="A29" s="223" t="s">
        <v>112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 t="e">
        <f ca="1">+'Mgmt Summary'!L30+'Mgmt Summary'!M30+'Mgmt Summary'!N30</f>
        <v>#NAME?</v>
      </c>
      <c r="H29" s="226">
        <f>+'Mgmt Summary'!D30</f>
        <v>28734.941999999999</v>
      </c>
      <c r="I29" s="227" t="e">
        <f ca="1">+H29-G29</f>
        <v>#NAME?</v>
      </c>
      <c r="J29" s="228"/>
      <c r="K29" s="225" t="e">
        <f ca="1">C29-G29</f>
        <v>#NAME?</v>
      </c>
      <c r="L29" s="226">
        <f>D29-H29</f>
        <v>-28734.941999999999</v>
      </c>
      <c r="M29" s="227" t="e">
        <f ca="1">K29-L29</f>
        <v>#NAME?</v>
      </c>
      <c r="N29" s="295"/>
      <c r="O29" s="225">
        <f>+C29-'[3]QTD Mgmt Summary'!C29</f>
        <v>0</v>
      </c>
      <c r="P29" s="226" t="e">
        <f ca="1">(-G29+'[3]QTD Mgmt Summary'!G29)*0</f>
        <v>#NAME?</v>
      </c>
      <c r="Q29" s="227" t="e">
        <f ca="1">+O29+P29</f>
        <v>#NAME?</v>
      </c>
    </row>
    <row r="30" spans="1:19" s="32" customFormat="1" ht="13.5" customHeight="1">
      <c r="A30" s="223" t="s">
        <v>103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 t="e">
        <f ca="1">+'Mgmt Summary'!L31+'Mgmt Summary'!M31+'Mgmt Summary'!N31</f>
        <v>#NAME?</v>
      </c>
      <c r="H30" s="226" t="e">
        <f ca="1">+'Mgmt Summary'!D31</f>
        <v>#NAME?</v>
      </c>
      <c r="I30" s="227" t="e">
        <f ca="1">+H30-G30</f>
        <v>#NAME?</v>
      </c>
      <c r="J30" s="228"/>
      <c r="K30" s="225" t="e">
        <f t="shared" ref="K30:L32" ca="1" si="10">C30-G30</f>
        <v>#NAME?</v>
      </c>
      <c r="L30" s="226" t="e">
        <f t="shared" ca="1" si="10"/>
        <v>#NAME?</v>
      </c>
      <c r="M30" s="227" t="e">
        <f ca="1">K30-L30</f>
        <v>#NAME?</v>
      </c>
      <c r="N30" s="295"/>
      <c r="O30" s="225">
        <f>+C30-'[3]QTD Mgmt Summary'!C30</f>
        <v>0</v>
      </c>
      <c r="P30" s="226" t="e">
        <f ca="1">(-G30+'[3]QTD Mgmt Summary'!G30)*0</f>
        <v>#NAME?</v>
      </c>
      <c r="Q30" s="227" t="e">
        <f ca="1">+O30+P30</f>
        <v>#NAME?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295"/>
      <c r="O31" s="225">
        <f>+C31-'[3]QTD Mgmt Summary'!C31</f>
        <v>0</v>
      </c>
      <c r="P31" s="226">
        <f>-G31+'[3]QTD Mgmt Summary'!G31</f>
        <v>0</v>
      </c>
      <c r="Q31" s="227">
        <f>+O31+P31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 t="e">
        <f ca="1">+'CapChrg-AllocExp'!D28</f>
        <v>#NAME?</v>
      </c>
      <c r="H32" s="226" t="e">
        <f ca="1">+'CapChrg-AllocExp'!E28</f>
        <v>#NAME?</v>
      </c>
      <c r="I32" s="227" t="e">
        <f ca="1">+H32-G32</f>
        <v>#NAME?</v>
      </c>
      <c r="J32" s="228"/>
      <c r="K32" s="225" t="e">
        <f t="shared" ca="1" si="10"/>
        <v>#NAME?</v>
      </c>
      <c r="L32" s="226" t="e">
        <f t="shared" ca="1" si="10"/>
        <v>#NAME?</v>
      </c>
      <c r="M32" s="227" t="e">
        <f ca="1">K32-L32</f>
        <v>#NAME?</v>
      </c>
      <c r="N32" s="295"/>
      <c r="O32" s="225">
        <f>+C32-'[3]QTD Mgmt Summary'!C32</f>
        <v>0</v>
      </c>
      <c r="P32" s="226" t="e">
        <f ca="1">-G32+'[3]QTD Mgmt Summary'!G32</f>
        <v>#NAME?</v>
      </c>
      <c r="Q32" s="227" t="e">
        <f ca="1">+O32+P32</f>
        <v>#NAME?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29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8915.4639200000001</v>
      </c>
      <c r="D34" s="235" t="e">
        <f ca="1">SUM(D27:D32)</f>
        <v>#NAME?</v>
      </c>
      <c r="E34" s="236" t="e">
        <f ca="1">SUM(E27:E32)</f>
        <v>#NAME?</v>
      </c>
      <c r="F34" s="237"/>
      <c r="G34" s="234" t="e">
        <f ca="1">SUM(G27:G32)</f>
        <v>#NAME?</v>
      </c>
      <c r="H34" s="235" t="e">
        <f ca="1">SUM(H27:H32)</f>
        <v>#NAME?</v>
      </c>
      <c r="I34" s="236" t="e">
        <f ca="1">SUM(I27:I32)</f>
        <v>#NAME?</v>
      </c>
      <c r="J34" s="237"/>
      <c r="K34" s="234" t="e">
        <f ca="1">SUM(K27:K32)</f>
        <v>#NAME?</v>
      </c>
      <c r="L34" s="235" t="e">
        <f ca="1">SUM(L27:L32)</f>
        <v>#NAME?</v>
      </c>
      <c r="M34" s="236" t="e">
        <f ca="1">SUM(M27:M32)</f>
        <v>#NAME?</v>
      </c>
      <c r="N34" s="296"/>
      <c r="O34" s="234">
        <f>SUM(O27:O32)</f>
        <v>7350.8856099999994</v>
      </c>
      <c r="P34" s="235" t="e">
        <f ca="1">SUM(P27:P32)</f>
        <v>#NAME?</v>
      </c>
      <c r="Q34" s="236" t="e">
        <f ca="1">SUM(Q27:Q32)</f>
        <v>#NAME?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29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 t="e">
        <f ca="1">+'Mgmt Summary'!M37</f>
        <v>#NAME?</v>
      </c>
      <c r="H36" s="226" t="e">
        <f ca="1">+'Mgmt Summary'!D37</f>
        <v>#NAME?</v>
      </c>
      <c r="I36" s="227" t="e">
        <f ca="1">+H36-G36</f>
        <v>#NAME?</v>
      </c>
      <c r="J36" s="228"/>
      <c r="K36" s="225" t="e">
        <f ca="1">C36-G36</f>
        <v>#NAME?</v>
      </c>
      <c r="L36" s="226" t="e">
        <f ca="1">D36-H36</f>
        <v>#NAME?</v>
      </c>
      <c r="M36" s="227" t="e">
        <f ca="1">K36-L36</f>
        <v>#NAME?</v>
      </c>
      <c r="N36" s="295"/>
      <c r="O36" s="225">
        <f>+C36-'[3]QTD Mgmt Summary'!C36</f>
        <v>0</v>
      </c>
      <c r="P36" s="226" t="e">
        <f ca="1">-G36+'[3]QTD Mgmt Summary'!G36</f>
        <v>#NAME?</v>
      </c>
      <c r="Q36" s="227" t="e">
        <f ca="1">+O36+P36</f>
        <v>#NAME?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29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8915.4639200000001</v>
      </c>
      <c r="D38" s="240" t="e">
        <f ca="1">+D34-D36</f>
        <v>#NAME?</v>
      </c>
      <c r="E38" s="264" t="e">
        <f ca="1">+E34-E36</f>
        <v>#NAME?</v>
      </c>
      <c r="F38" s="241"/>
      <c r="G38" s="239" t="e">
        <f ca="1">SUM(G34:G36)</f>
        <v>#NAME?</v>
      </c>
      <c r="H38" s="240" t="e">
        <f ca="1">SUM(H34:H36)</f>
        <v>#NAME?</v>
      </c>
      <c r="I38" s="264" t="e">
        <f ca="1">SUM(I34:I36)</f>
        <v>#NAME?</v>
      </c>
      <c r="J38" s="241"/>
      <c r="K38" s="239" t="e">
        <f ca="1">SUM(K34:K36)</f>
        <v>#NAME?</v>
      </c>
      <c r="L38" s="240" t="e">
        <f ca="1">SUM(L34:L36)</f>
        <v>#NAME?</v>
      </c>
      <c r="M38" s="264" t="e">
        <f ca="1">SUM(M34:M36)</f>
        <v>#NAME?</v>
      </c>
      <c r="N38" s="296"/>
      <c r="O38" s="239">
        <f>SUM(O34:O36)</f>
        <v>7350.8856099999994</v>
      </c>
      <c r="P38" s="240" t="e">
        <f ca="1">SUM(P34:P36)</f>
        <v>#NAME?</v>
      </c>
      <c r="Q38" s="264" t="e">
        <f ca="1">SUM(Q34:Q36)</f>
        <v>#NAME?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2" spans="1:17">
      <c r="L42" s="166"/>
    </row>
    <row r="43" spans="1:17" ht="13.5" hidden="1">
      <c r="C43" s="282" t="s">
        <v>127</v>
      </c>
      <c r="D43" s="283"/>
      <c r="E43" s="284"/>
      <c r="G43" s="282" t="s">
        <v>128</v>
      </c>
      <c r="H43" s="283"/>
      <c r="I43" s="283"/>
      <c r="J43" s="284"/>
    </row>
    <row r="44" spans="1:17" hidden="1">
      <c r="C44" s="269" t="s">
        <v>116</v>
      </c>
      <c r="D44" s="270"/>
      <c r="E44" s="271">
        <f>+'GM-WeeklyChnge'!C38</f>
        <v>7529.5069999999996</v>
      </c>
      <c r="G44" s="269" t="s">
        <v>117</v>
      </c>
      <c r="H44" s="270"/>
      <c r="I44" s="272">
        <f>+'Expense Weekly Change'!E22+'Expense Weekly Change'!E21</f>
        <v>0</v>
      </c>
      <c r="J44" s="287"/>
    </row>
    <row r="45" spans="1:17" hidden="1">
      <c r="C45" s="269" t="s">
        <v>118</v>
      </c>
      <c r="D45" s="270"/>
      <c r="E45" s="271">
        <f>+'GM-WeeklyChnge'!D38</f>
        <v>18.572609999999997</v>
      </c>
      <c r="G45" s="269" t="s">
        <v>119</v>
      </c>
      <c r="H45" s="270"/>
      <c r="I45" s="272" t="e">
        <f ca="1">+'Expense Weekly Change'!E9+'Expense Weekly Change'!E10+'Expense Weekly Change'!E11+'Expense Weekly Change'!E12+'Expense Weekly Change'!E13+'Expense Weekly Change'!E14+'Expense Weekly Change'!E15+'Expense Weekly Change'!E16+'Expense Weekly Change'!E20</f>
        <v>#NAME?</v>
      </c>
      <c r="J45" s="273"/>
    </row>
    <row r="46" spans="1:17" hidden="1">
      <c r="C46" s="269" t="s">
        <v>120</v>
      </c>
      <c r="D46" s="270"/>
      <c r="E46" s="271">
        <f>+'GM-WeeklyChnge'!E38+'GM-WeeklyChnge'!F38+'GM-WeeklyChnge'!G38</f>
        <v>-197.19399999999999</v>
      </c>
      <c r="G46" s="269" t="s">
        <v>28</v>
      </c>
      <c r="H46" s="270"/>
      <c r="I46" s="272" t="e">
        <f ca="1">-G36+'[3]QTD Mgmt Summary'!$G$36</f>
        <v>#NAME?</v>
      </c>
      <c r="J46" s="273"/>
    </row>
    <row r="47" spans="1:17" hidden="1">
      <c r="C47" s="274"/>
      <c r="D47" s="275"/>
      <c r="E47" s="276"/>
      <c r="G47" s="274"/>
      <c r="H47" s="275"/>
      <c r="I47" s="277"/>
      <c r="J47" s="278"/>
    </row>
    <row r="48" spans="1:17" ht="13.5" hidden="1">
      <c r="C48" s="279" t="s">
        <v>121</v>
      </c>
      <c r="D48" s="280"/>
      <c r="E48" s="281">
        <f>SUM(E44:E47)</f>
        <v>7350.8856099999994</v>
      </c>
      <c r="G48" s="279" t="s">
        <v>121</v>
      </c>
      <c r="H48" s="280"/>
      <c r="I48" s="285" t="e">
        <f ca="1">SUM(I44:I47)</f>
        <v>#NAME?</v>
      </c>
      <c r="J48" s="286"/>
    </row>
    <row r="49" spans="3:10" hidden="1"/>
    <row r="50" spans="3:10" ht="13.5" hidden="1">
      <c r="C50" s="282" t="s">
        <v>125</v>
      </c>
      <c r="D50" s="283"/>
      <c r="E50" s="284"/>
      <c r="G50" s="282" t="s">
        <v>126</v>
      </c>
      <c r="H50" s="283"/>
      <c r="I50" s="283"/>
      <c r="J50" s="284"/>
    </row>
    <row r="51" spans="3:10" hidden="1">
      <c r="C51" s="269" t="s">
        <v>122</v>
      </c>
      <c r="D51" s="270"/>
      <c r="E51" s="271">
        <f>+[3]GrossMargin!$I$39</f>
        <v>1564.5783100000008</v>
      </c>
      <c r="G51" s="269" t="s">
        <v>122</v>
      </c>
      <c r="H51" s="270"/>
      <c r="I51" s="272">
        <f>+'[3]QTD Mgmt Summary'!$G$38</f>
        <v>55168.468000000001</v>
      </c>
      <c r="J51" s="287"/>
    </row>
    <row r="52" spans="3:10" hidden="1">
      <c r="C52" s="269" t="s">
        <v>123</v>
      </c>
      <c r="D52" s="270"/>
      <c r="E52" s="271">
        <f>+GrossMargin!I39</f>
        <v>8915.4639200000001</v>
      </c>
      <c r="G52" s="269" t="s">
        <v>123</v>
      </c>
      <c r="H52" s="270"/>
      <c r="I52" s="272" t="e">
        <f ca="1">+G38</f>
        <v>#NAME?</v>
      </c>
      <c r="J52" s="273"/>
    </row>
    <row r="53" spans="3:10" hidden="1">
      <c r="C53" s="269"/>
      <c r="D53" s="270"/>
      <c r="E53" s="271"/>
      <c r="G53" s="269"/>
      <c r="H53" s="270"/>
      <c r="I53" s="272"/>
      <c r="J53" s="273"/>
    </row>
    <row r="54" spans="3:10" ht="13.5" hidden="1">
      <c r="C54" s="279" t="s">
        <v>124</v>
      </c>
      <c r="D54" s="280"/>
      <c r="E54" s="281">
        <f>+E52-E51</f>
        <v>7350.8856099999994</v>
      </c>
      <c r="G54" s="279" t="s">
        <v>124</v>
      </c>
      <c r="H54" s="280"/>
      <c r="I54" s="285" t="e">
        <f ca="1">+I52-I51</f>
        <v>#NAME?</v>
      </c>
      <c r="J54" s="28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F17" sqref="F17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91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 t="s">
        <v>155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-7852.8109999999997</v>
      </c>
      <c r="H9" s="36">
        <f>GrossMargin!J10</f>
        <v>0</v>
      </c>
      <c r="I9" s="36">
        <f>GrossMargin!K10</f>
        <v>0</v>
      </c>
      <c r="J9" s="136">
        <f t="shared" ref="J9:J15" si="1">SUM(G9:I9)</f>
        <v>-7852.8109999999997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-22544.811000000002</v>
      </c>
      <c r="P9" s="37"/>
      <c r="Q9" s="133">
        <f t="shared" ref="Q9:Q15" si="3">+J9-C9</f>
        <v>-37852.811000000002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-38453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8622.2749199999998</v>
      </c>
      <c r="H10" s="36">
        <f>GrossMargin!J11</f>
        <v>0</v>
      </c>
      <c r="I10" s="36">
        <f>GrossMargin!K11</f>
        <v>0</v>
      </c>
      <c r="J10" s="136">
        <f t="shared" si="1"/>
        <v>8622.2749199999998</v>
      </c>
      <c r="K10" s="137"/>
      <c r="L10" s="133">
        <f>'CapChrg-AllocExp'!D11</f>
        <v>658</v>
      </c>
      <c r="M10" s="36">
        <f>Expenses!D10</f>
        <v>2059.6999999999998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6807</v>
      </c>
      <c r="H11" s="36">
        <f>GrossMargin!J12</f>
        <v>0</v>
      </c>
      <c r="I11" s="36">
        <f>GrossMargin!K12</f>
        <v>0</v>
      </c>
      <c r="J11" s="136">
        <f t="shared" si="1"/>
        <v>6807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3105</v>
      </c>
      <c r="H12" s="36">
        <f>GrossMargin!J13</f>
        <v>0</v>
      </c>
      <c r="I12" s="36">
        <f>GrossMargin!K13</f>
        <v>0</v>
      </c>
      <c r="J12" s="136">
        <f t="shared" si="1"/>
        <v>3105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11483.213</v>
      </c>
      <c r="D14" s="140" t="e">
        <f ca="1">+Expenses!E14+'CapChrg-AllocExp'!E15+'CapChrg-AllocExp'!L15</f>
        <v>#NAME?</v>
      </c>
      <c r="E14" s="164" t="e">
        <f t="shared" ca="1" si="0"/>
        <v>#NAME?</v>
      </c>
      <c r="F14" s="140"/>
      <c r="G14" s="139">
        <f>+GrossMargin!I21</f>
        <v>1625</v>
      </c>
      <c r="H14" s="140">
        <f>GrossMargin!J15</f>
        <v>0</v>
      </c>
      <c r="I14" s="140">
        <f>+GrossMargin!K21</f>
        <v>0</v>
      </c>
      <c r="J14" s="179">
        <f t="shared" si="1"/>
        <v>1625</v>
      </c>
      <c r="K14" s="180"/>
      <c r="L14" s="139" t="e">
        <f ca="1">+'CapChrg-AllocExp'!D15</f>
        <v>#NAME?</v>
      </c>
      <c r="M14" s="36">
        <f>Expenses!D14</f>
        <v>896.12600000000009</v>
      </c>
      <c r="N14" s="140">
        <f>+'CapChrg-AllocExp'!K15</f>
        <v>911.0150000000001</v>
      </c>
      <c r="O14" s="179" t="e">
        <f t="shared" ca="1" si="2"/>
        <v>#NAME?</v>
      </c>
      <c r="P14" s="181"/>
      <c r="Q14" s="139">
        <f t="shared" si="3"/>
        <v>-9858.2129999999997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+GrossMargin!M22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1525</v>
      </c>
      <c r="N15" s="140">
        <f>+'CapChrg-AllocExp'!K16</f>
        <v>0</v>
      </c>
      <c r="O15" s="179">
        <f t="shared" si="2"/>
        <v>-1525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-1525</v>
      </c>
      <c r="U15" s="140">
        <f>+'CapChrg-AllocExp'!M16</f>
        <v>0</v>
      </c>
      <c r="V15" s="164">
        <f t="shared" si="4"/>
        <v>-1525</v>
      </c>
      <c r="W15" s="63"/>
      <c r="X15" s="169"/>
    </row>
    <row r="16" spans="1:24" ht="13.5" customHeight="1">
      <c r="A16" s="107" t="s">
        <v>11</v>
      </c>
      <c r="B16" s="35"/>
      <c r="C16" s="133">
        <f>+GrossMargin!M24</f>
        <v>10100</v>
      </c>
      <c r="D16" s="36">
        <v>0</v>
      </c>
      <c r="E16" s="135">
        <f>C16-D16</f>
        <v>10100</v>
      </c>
      <c r="F16" s="36"/>
      <c r="G16" s="133">
        <f>GrossMargin!I24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GrossMargin!M23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GrossMargin!I23</f>
        <v>0</v>
      </c>
      <c r="H17" s="36">
        <f>GrossMargin!J23</f>
        <v>0</v>
      </c>
      <c r="I17" s="36">
        <f>GrossMargin!K23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106</v>
      </c>
      <c r="B19" s="35"/>
      <c r="C19" s="43" t="e">
        <f ca="1">SUM(C9:C18)</f>
        <v>#NAME?</v>
      </c>
      <c r="D19" s="44" t="e">
        <f ca="1">SUM(D9:D18)</f>
        <v>#NAME?</v>
      </c>
      <c r="E19" s="45" t="e">
        <f ca="1">SUM(E9:E18)</f>
        <v>#NAME?</v>
      </c>
      <c r="F19" s="36"/>
      <c r="G19" s="43">
        <f t="shared" ref="G19:O19" si="5">SUM(G9:G18)</f>
        <v>12306.46392</v>
      </c>
      <c r="H19" s="44">
        <f t="shared" si="5"/>
        <v>0</v>
      </c>
      <c r="I19" s="45">
        <f t="shared" si="5"/>
        <v>0</v>
      </c>
      <c r="J19" s="46">
        <f t="shared" si="5"/>
        <v>12306.46392</v>
      </c>
      <c r="K19" s="44">
        <f t="shared" si="5"/>
        <v>0</v>
      </c>
      <c r="L19" s="43" t="e">
        <f t="shared" ca="1" si="5"/>
        <v>#NAME?</v>
      </c>
      <c r="M19" s="44" t="e">
        <f t="shared" ca="1" si="5"/>
        <v>#NAME?</v>
      </c>
      <c r="N19" s="44" t="e">
        <f t="shared" ca="1" si="5"/>
        <v>#NAME?</v>
      </c>
      <c r="O19" s="46" t="e">
        <f t="shared" ca="1" si="5"/>
        <v>#NAME?</v>
      </c>
      <c r="P19" s="180"/>
      <c r="Q19" s="43" t="e">
        <f t="shared" ref="Q19:V19" ca="1" si="6">SUM(Q9:Q18)</f>
        <v>#NAME?</v>
      </c>
      <c r="R19" s="44">
        <f t="shared" si="6"/>
        <v>0</v>
      </c>
      <c r="S19" s="44" t="e">
        <f t="shared" ca="1" si="6"/>
        <v>#NAME?</v>
      </c>
      <c r="T19" s="44" t="e">
        <f t="shared" ca="1" si="6"/>
        <v>#NAME?</v>
      </c>
      <c r="U19" s="44" t="e">
        <f t="shared" ca="1" si="6"/>
        <v>#NAME?</v>
      </c>
      <c r="V19" s="45" t="e">
        <f t="shared" ca="1" si="6"/>
        <v>#NAME?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+GrossMargin!M28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+GrossMargin!I28</f>
        <v>86</v>
      </c>
      <c r="H21" s="140">
        <f>GrossMargin!J18</f>
        <v>0</v>
      </c>
      <c r="I21" s="140">
        <f>+GrossMargin!K28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+GrossMargin!M29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+GrossMargin!I29</f>
        <v>132</v>
      </c>
      <c r="H22" s="140">
        <f>GrossMargin!J19</f>
        <v>0</v>
      </c>
      <c r="I22" s="140">
        <f>+GrossMargin!K29</f>
        <v>0</v>
      </c>
      <c r="J22" s="179">
        <f>SUM(G22:I22)</f>
        <v>132</v>
      </c>
      <c r="K22" s="180"/>
      <c r="L22" s="139">
        <f>+'CapChrg-AllocExp'!D19</f>
        <v>652</v>
      </c>
      <c r="M22" s="36">
        <f>Expenses!D21</f>
        <v>2569</v>
      </c>
      <c r="N22" s="140">
        <f>+'CapChrg-AllocExp'!K19</f>
        <v>0</v>
      </c>
      <c r="O22" s="179">
        <f>J22-K22-M22-N22-L22</f>
        <v>-3089</v>
      </c>
      <c r="P22" s="181"/>
      <c r="Q22" s="139">
        <f>+J22-C22</f>
        <v>-4485</v>
      </c>
      <c r="R22" s="140"/>
      <c r="S22" s="140">
        <f>+'CapChrg-AllocExp'!F19</f>
        <v>0</v>
      </c>
      <c r="T22" s="36">
        <f>Expenses!F21</f>
        <v>-1033</v>
      </c>
      <c r="U22" s="140">
        <f>+'CapChrg-AllocExp'!M19</f>
        <v>0</v>
      </c>
      <c r="V22" s="164">
        <f>ROUND(SUM(Q22:U22),0)</f>
        <v>-5518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+GrossMargin!M30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+GrossMargin!I30</f>
        <v>-3089</v>
      </c>
      <c r="H23" s="140">
        <f>GrossMargin!J20</f>
        <v>0</v>
      </c>
      <c r="I23" s="140">
        <f>+GrossMargin!K30</f>
        <v>0</v>
      </c>
      <c r="J23" s="179">
        <f>SUM(G23:I23)</f>
        <v>-3089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-4145</v>
      </c>
      <c r="P23" s="181"/>
      <c r="Q23" s="139">
        <f>+J23-C23</f>
        <v>-3619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-2529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113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-2871</v>
      </c>
      <c r="H25" s="44">
        <f t="shared" si="7"/>
        <v>0</v>
      </c>
      <c r="I25" s="45">
        <f t="shared" si="7"/>
        <v>0</v>
      </c>
      <c r="J25" s="46">
        <f t="shared" si="7"/>
        <v>-2871</v>
      </c>
      <c r="K25" s="44">
        <f t="shared" si="7"/>
        <v>0</v>
      </c>
      <c r="L25" s="43">
        <f t="shared" si="7"/>
        <v>555</v>
      </c>
      <c r="M25" s="44">
        <f t="shared" si="7"/>
        <v>6498</v>
      </c>
      <c r="N25" s="44">
        <f t="shared" si="7"/>
        <v>0</v>
      </c>
      <c r="O25" s="46">
        <f t="shared" si="7"/>
        <v>-9924</v>
      </c>
      <c r="P25" s="180"/>
      <c r="Q25" s="43">
        <f t="shared" ref="Q25:V25" si="8">SUM(Q21:Q24)</f>
        <v>-9162</v>
      </c>
      <c r="R25" s="44">
        <f t="shared" si="8"/>
        <v>0</v>
      </c>
      <c r="S25" s="44">
        <f t="shared" si="8"/>
        <v>627</v>
      </c>
      <c r="T25" s="44">
        <f t="shared" si="8"/>
        <v>-1976</v>
      </c>
      <c r="U25" s="44">
        <f t="shared" si="8"/>
        <v>0</v>
      </c>
      <c r="V25" s="45">
        <f t="shared" si="8"/>
        <v>-10511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 ca="1">+C19+C25</f>
        <v>#NAME?</v>
      </c>
      <c r="D28" s="44" t="e">
        <f ca="1">+D19+D25</f>
        <v>#NAME?</v>
      </c>
      <c r="E28" s="45" t="e">
        <f ca="1">+E19+E25</f>
        <v>#NAME?</v>
      </c>
      <c r="F28" s="36">
        <f>SUM(F25:F26)</f>
        <v>0</v>
      </c>
      <c r="G28" s="43">
        <f t="shared" ref="G28:O28" si="9">+G19+G25</f>
        <v>9435.4639200000001</v>
      </c>
      <c r="H28" s="44">
        <f t="shared" si="9"/>
        <v>0</v>
      </c>
      <c r="I28" s="45">
        <f t="shared" si="9"/>
        <v>0</v>
      </c>
      <c r="J28" s="46">
        <f t="shared" si="9"/>
        <v>9435.4639200000001</v>
      </c>
      <c r="K28" s="44">
        <f t="shared" si="9"/>
        <v>0</v>
      </c>
      <c r="L28" s="43" t="e">
        <f t="shared" ca="1" si="9"/>
        <v>#NAME?</v>
      </c>
      <c r="M28" s="44" t="e">
        <f t="shared" ca="1" si="9"/>
        <v>#NAME?</v>
      </c>
      <c r="N28" s="44" t="e">
        <f t="shared" ca="1" si="9"/>
        <v>#NAME?</v>
      </c>
      <c r="O28" s="46" t="e">
        <f t="shared" ca="1" si="9"/>
        <v>#NAME?</v>
      </c>
      <c r="P28" s="180"/>
      <c r="Q28" s="43" t="e">
        <f t="shared" ref="Q28:V28" ca="1" si="10">+Q19+Q25</f>
        <v>#NAME?</v>
      </c>
      <c r="R28" s="44">
        <f t="shared" si="10"/>
        <v>0</v>
      </c>
      <c r="S28" s="44" t="e">
        <f t="shared" ca="1" si="10"/>
        <v>#NAME?</v>
      </c>
      <c r="T28" s="44" t="e">
        <f t="shared" ca="1" si="10"/>
        <v>#NAME?</v>
      </c>
      <c r="U28" s="44" t="e">
        <f t="shared" ca="1" si="10"/>
        <v>#NAME?</v>
      </c>
      <c r="V28" s="45" t="e">
        <f t="shared" ca="1" si="10"/>
        <v>#NAME?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112</v>
      </c>
      <c r="B30" s="35"/>
      <c r="C30" s="133">
        <v>0</v>
      </c>
      <c r="D30" s="36">
        <f>Expenses!E29</f>
        <v>28734.941999999999</v>
      </c>
      <c r="E30" s="135">
        <f>C30-D30</f>
        <v>-28734.941999999999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 t="e">
        <f ca="1">+Expenses!D29</f>
        <v>#NAME?</v>
      </c>
      <c r="N30" s="36">
        <v>0</v>
      </c>
      <c r="O30" s="136" t="e">
        <f ca="1">J30-K30-M30-N30-L30</f>
        <v>#NAME?</v>
      </c>
      <c r="P30" s="37"/>
      <c r="Q30" s="133">
        <f>+J30-C30</f>
        <v>0</v>
      </c>
      <c r="R30" s="36"/>
      <c r="S30" s="36">
        <v>0</v>
      </c>
      <c r="T30" s="36" t="e">
        <f ca="1">Expenses!F29</f>
        <v>#NAME?</v>
      </c>
      <c r="U30" s="36">
        <v>0</v>
      </c>
      <c r="V30" s="135" t="e">
        <f ca="1">ROUND(SUM(Q30:U30),0)</f>
        <v>#NAME?</v>
      </c>
      <c r="W30" s="32"/>
    </row>
    <row r="31" spans="1:24" ht="13.5" customHeight="1">
      <c r="A31" s="107" t="s">
        <v>103</v>
      </c>
      <c r="B31" s="35"/>
      <c r="C31" s="133">
        <v>0</v>
      </c>
      <c r="D31" s="36" t="e">
        <f ca="1">+'CapChrg-AllocExp'!L29</f>
        <v>#NAME?</v>
      </c>
      <c r="E31" s="135" t="e">
        <f ca="1">C31-D31</f>
        <v>#NAME?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 t="e">
        <f ca="1">+'CapChrg-AllocExp'!K29</f>
        <v>#NAME?</v>
      </c>
      <c r="O31" s="136" t="e">
        <f ca="1">J31-K31-M31-N31-L31</f>
        <v>#NAME?</v>
      </c>
      <c r="P31" s="37"/>
      <c r="Q31" s="133">
        <f>+J31-C31</f>
        <v>0</v>
      </c>
      <c r="R31" s="36"/>
      <c r="S31" s="36">
        <v>0</v>
      </c>
      <c r="T31" s="36" t="e">
        <f ca="1">-T30</f>
        <v>#NAME?</v>
      </c>
      <c r="U31" s="36">
        <v>0</v>
      </c>
      <c r="V31" s="135" t="e">
        <f ca="1">ROUND(SUM(Q31:U31),0)</f>
        <v>#NAME?</v>
      </c>
      <c r="W31" s="32"/>
    </row>
    <row r="32" spans="1:24" ht="13.5" customHeight="1">
      <c r="A32" s="107" t="s">
        <v>10</v>
      </c>
      <c r="B32" s="35"/>
      <c r="C32" s="133">
        <f>GrossMargin!M37</f>
        <v>-520</v>
      </c>
      <c r="D32" s="36">
        <f>Expenses!E30</f>
        <v>0</v>
      </c>
      <c r="E32" s="135">
        <f>C32-D32</f>
        <v>-520</v>
      </c>
      <c r="F32" s="137"/>
      <c r="G32" s="133">
        <f>GrossMargin!I37</f>
        <v>-520</v>
      </c>
      <c r="H32" s="36">
        <f>GrossMargin!J37</f>
        <v>0</v>
      </c>
      <c r="I32" s="36">
        <f>GrossMargin!K37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 t="e">
        <f ca="1">'CapChrg-AllocExp'!E28</f>
        <v>#NAME?</v>
      </c>
      <c r="E33" s="135" t="e">
        <f ca="1">C33-D33</f>
        <v>#NAME?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 t="e">
        <f ca="1">'CapChrg-AllocExp'!D28</f>
        <v>#NAME?</v>
      </c>
      <c r="M33" s="36">
        <v>0</v>
      </c>
      <c r="N33" s="36">
        <v>0</v>
      </c>
      <c r="O33" s="136" t="e">
        <f ca="1">J33-K33-M33-N33-L33</f>
        <v>#NAME?</v>
      </c>
      <c r="P33" s="37"/>
      <c r="Q33" s="133">
        <f>+J33-C33</f>
        <v>0</v>
      </c>
      <c r="R33" s="36"/>
      <c r="S33" s="36" t="e">
        <f ca="1">'CapChrg-AllocExp'!F28</f>
        <v>#NAME?</v>
      </c>
      <c r="T33" s="36">
        <v>0</v>
      </c>
      <c r="U33" s="36">
        <v>0</v>
      </c>
      <c r="V33" s="135" t="e">
        <f ca="1">ROUND(SUM(Q33:U33),0)</f>
        <v>#NAME?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 ca="1">SUM(C28:C34)</f>
        <v>#NAME?</v>
      </c>
      <c r="D35" s="44" t="e">
        <f ca="1">SUM(D28:D34)</f>
        <v>#NAME?</v>
      </c>
      <c r="E35" s="45" t="e">
        <f ca="1">SUM(E28:E34)</f>
        <v>#NAME?</v>
      </c>
      <c r="F35" s="36"/>
      <c r="G35" s="43">
        <f t="shared" ref="G35:N35" si="11">SUM(G28:G34)</f>
        <v>8915.4639200000001</v>
      </c>
      <c r="H35" s="44">
        <f t="shared" si="11"/>
        <v>0</v>
      </c>
      <c r="I35" s="44">
        <f t="shared" si="11"/>
        <v>0</v>
      </c>
      <c r="J35" s="46">
        <f t="shared" si="11"/>
        <v>8915.4639200000001</v>
      </c>
      <c r="K35" s="44">
        <f t="shared" si="11"/>
        <v>0</v>
      </c>
      <c r="L35" s="43" t="e">
        <f t="shared" ca="1" si="11"/>
        <v>#NAME?</v>
      </c>
      <c r="M35" s="44" t="e">
        <f t="shared" ca="1" si="11"/>
        <v>#NAME?</v>
      </c>
      <c r="N35" s="44" t="e">
        <f t="shared" ca="1" si="11"/>
        <v>#NAME?</v>
      </c>
      <c r="O35" s="46" t="e">
        <f ca="1">J35-K35-M35-N35-L35</f>
        <v>#NAME?</v>
      </c>
      <c r="P35" s="37"/>
      <c r="Q35" s="43" t="e">
        <f t="shared" ref="Q35:V35" ca="1" si="12">SUM(Q28:Q34)</f>
        <v>#NAME?</v>
      </c>
      <c r="R35" s="44">
        <f t="shared" si="12"/>
        <v>0</v>
      </c>
      <c r="S35" s="44" t="e">
        <f t="shared" ca="1" si="12"/>
        <v>#NAME?</v>
      </c>
      <c r="T35" s="44" t="e">
        <f t="shared" ca="1" si="12"/>
        <v>#NAME?</v>
      </c>
      <c r="U35" s="44" t="e">
        <f t="shared" ca="1" si="12"/>
        <v>#NAME?</v>
      </c>
      <c r="V35" s="45" t="e">
        <f t="shared" ca="1" si="12"/>
        <v>#NAME?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 t="e">
        <f ca="1">+'IntIncome-Expense'!H34</f>
        <v>#NAME?</v>
      </c>
      <c r="E37" s="135" t="e">
        <f ca="1">C37-D37</f>
        <v>#NAME?</v>
      </c>
      <c r="F37" s="36"/>
      <c r="G37" s="133">
        <f>GrossMargin!I49</f>
        <v>0</v>
      </c>
      <c r="H37" s="36">
        <f>GrossMargin!J49</f>
        <v>0</v>
      </c>
      <c r="I37" s="36">
        <f>GrossMargin!K49</f>
        <v>0</v>
      </c>
      <c r="J37" s="136">
        <f>SUM(G37:I37)</f>
        <v>0</v>
      </c>
      <c r="K37" s="137"/>
      <c r="L37" s="134">
        <v>0</v>
      </c>
      <c r="M37" s="36" t="e">
        <f ca="1">+'IntIncome-Expense'!G34</f>
        <v>#NAME?</v>
      </c>
      <c r="N37" s="36">
        <v>0</v>
      </c>
      <c r="O37" s="136" t="e">
        <f ca="1">J37-K37-M37-N37-L37</f>
        <v>#NAME?</v>
      </c>
      <c r="P37" s="37"/>
      <c r="Q37" s="133">
        <f>+J37-C37</f>
        <v>0</v>
      </c>
      <c r="R37" s="36"/>
      <c r="S37" s="36">
        <v>0</v>
      </c>
      <c r="T37" s="36" t="e">
        <f ca="1">D37-M37</f>
        <v>#NAME?</v>
      </c>
      <c r="U37" s="36">
        <v>0</v>
      </c>
      <c r="V37" s="135" t="e">
        <f ca="1">ROUND(SUM(Q37:U37),0)</f>
        <v>#NAME?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 ca="1">SUM(C35:C37)</f>
        <v>#NAME?</v>
      </c>
      <c r="D39" s="40" t="e">
        <f ca="1">SUM(D35:D37)</f>
        <v>#NAME?</v>
      </c>
      <c r="E39" s="41" t="e">
        <f ca="1">SUM(E35:E37)</f>
        <v>#NAME?</v>
      </c>
      <c r="F39" s="36"/>
      <c r="G39" s="39">
        <f t="shared" ref="G39:V39" si="13">SUM(G35:G37)</f>
        <v>8915.4639200000001</v>
      </c>
      <c r="H39" s="40">
        <f t="shared" si="13"/>
        <v>0</v>
      </c>
      <c r="I39" s="40">
        <f t="shared" si="13"/>
        <v>0</v>
      </c>
      <c r="J39" s="42">
        <f t="shared" si="13"/>
        <v>8915.4639200000001</v>
      </c>
      <c r="K39" s="40">
        <f t="shared" si="13"/>
        <v>0</v>
      </c>
      <c r="L39" s="39" t="e">
        <f t="shared" ca="1" si="13"/>
        <v>#NAME?</v>
      </c>
      <c r="M39" s="40" t="e">
        <f t="shared" ca="1" si="13"/>
        <v>#NAME?</v>
      </c>
      <c r="N39" s="40" t="e">
        <f t="shared" ca="1" si="13"/>
        <v>#NAME?</v>
      </c>
      <c r="O39" s="42" t="e">
        <f ca="1">J39-K39-M39-N39-L39</f>
        <v>#NAME?</v>
      </c>
      <c r="P39" s="37"/>
      <c r="Q39" s="39" t="e">
        <f t="shared" ca="1" si="13"/>
        <v>#NAME?</v>
      </c>
      <c r="R39" s="40">
        <f t="shared" si="13"/>
        <v>0</v>
      </c>
      <c r="S39" s="40" t="e">
        <f t="shared" ca="1" si="13"/>
        <v>#NAME?</v>
      </c>
      <c r="T39" s="40" t="e">
        <f t="shared" ca="1" si="13"/>
        <v>#NAME?</v>
      </c>
      <c r="U39" s="40" t="e">
        <f t="shared" ca="1" si="13"/>
        <v>#NAME?</v>
      </c>
      <c r="V39" s="41" t="e">
        <f t="shared" ca="1" si="13"/>
        <v>#NAME?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+'GM-WeeklyChnge'!C44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4"/>
  <sheetViews>
    <sheetView topLeftCell="A3" zoomScaleNormal="100" workbookViewId="0">
      <selection activeCell="D42" sqref="D42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December 14,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+GrossMargin!D10-[3]GrossMargin!D10</f>
        <v>4627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-197.19399999999999</v>
      </c>
      <c r="G9" s="138">
        <f>+GrossMargin!H10-[3]GrossMargin!H10</f>
        <v>0</v>
      </c>
      <c r="H9" s="134">
        <f t="shared" ref="H9:H14" si="0">SUM(C9:G9)</f>
        <v>4429.8059999999996</v>
      </c>
      <c r="I9" s="133">
        <f>GrossMargin!J10-[3]GrossMargin!J10</f>
        <v>0</v>
      </c>
      <c r="J9" s="36">
        <f>+GrossMargin!K10-[3]GrossMargin!K10</f>
        <v>0</v>
      </c>
      <c r="K9" s="135">
        <f t="shared" ref="K9:K14" si="1">SUM(H9:J9)</f>
        <v>4429.8059999999996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1476</v>
      </c>
      <c r="D10" s="36">
        <f>+GrossMargin!E11-[3]GrossMargin!E11</f>
        <v>18.572609999999997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1494.5726099999999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1494.5726099999999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39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39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39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-112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-112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-112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301">
        <f>+GrossMargin!D15-[3]GrossMargin!D15</f>
        <v>477</v>
      </c>
      <c r="D14" s="246">
        <f>+GrossMargin!E15-[3]GrossMargin!E15</f>
        <v>0</v>
      </c>
      <c r="E14" s="246">
        <f>+GrossMargin!F15-[3]GrossMargin!F15</f>
        <v>0</v>
      </c>
      <c r="F14" s="246">
        <f>+GrossMargin!G15-[3]GrossMargin!G15</f>
        <v>0</v>
      </c>
      <c r="G14" s="247">
        <f>+GrossMargin!H15-[3]GrossMargin!H15</f>
        <v>0</v>
      </c>
      <c r="H14" s="302">
        <f t="shared" si="0"/>
        <v>477</v>
      </c>
      <c r="I14" s="133">
        <f>GrossMargin!J15-[3]GrossMargin!J15</f>
        <v>0</v>
      </c>
      <c r="J14" s="246">
        <f>+GrossMargin!K15-[3]GrossMargin!K15</f>
        <v>0</v>
      </c>
      <c r="K14" s="303">
        <f t="shared" si="1"/>
        <v>477</v>
      </c>
    </row>
    <row r="15" spans="1:11" ht="13.5" hidden="1" customHeight="1">
      <c r="A15" s="242" t="s">
        <v>150</v>
      </c>
      <c r="B15" s="249"/>
      <c r="C15" s="244">
        <f>+GrossMargin!D16-[3]GrossMargin!D16</f>
        <v>322.50699999999995</v>
      </c>
      <c r="D15" s="246">
        <f>+GrossMargin!E16-[3]GrossMargin!E16</f>
        <v>0</v>
      </c>
      <c r="E15" s="246">
        <f>+GrossMargin!F16-[3]GrossMargin!F16</f>
        <v>0</v>
      </c>
      <c r="F15" s="246">
        <f>+GrossMargin!G16-[3]GrossMargin!G16</f>
        <v>0</v>
      </c>
      <c r="G15" s="247">
        <f>+GrossMargin!H16-[3]GrossMargin!H16</f>
        <v>0</v>
      </c>
      <c r="H15" s="302">
        <f>SUM(C15:G15)</f>
        <v>322.50699999999995</v>
      </c>
      <c r="I15" s="133">
        <f>GrossMargin!J16-[3]GrossMargin!J16</f>
        <v>0</v>
      </c>
      <c r="J15" s="246">
        <f>+GrossMargin!K16-[3]GrossMargin!K16</f>
        <v>0</v>
      </c>
      <c r="K15" s="303">
        <f>SUM(H15:J15)</f>
        <v>322.50699999999995</v>
      </c>
    </row>
    <row r="16" spans="1:11" ht="13.5" hidden="1" customHeight="1">
      <c r="A16" s="242" t="s">
        <v>84</v>
      </c>
      <c r="B16" s="249"/>
      <c r="C16" s="301">
        <f>+GrossMargin!D17-[3]GrossMargin!D17</f>
        <v>700</v>
      </c>
      <c r="D16" s="246">
        <f>+GrossMargin!E17-[3]GrossMargin!E17</f>
        <v>0</v>
      </c>
      <c r="E16" s="246">
        <f>+GrossMargin!F17-[3]GrossMargin!F17</f>
        <v>0</v>
      </c>
      <c r="F16" s="246">
        <f>+GrossMargin!G17-[3]GrossMargin!G17</f>
        <v>0</v>
      </c>
      <c r="G16" s="247">
        <f>+GrossMargin!H17-[3]GrossMargin!H17</f>
        <v>0</v>
      </c>
      <c r="H16" s="302">
        <f>SUM(C16:G16)</f>
        <v>700</v>
      </c>
      <c r="I16" s="133">
        <f>GrossMargin!J17-[3]GrossMargin!J17</f>
        <v>0</v>
      </c>
      <c r="J16" s="246">
        <f>+GrossMargin!K17-[3]GrossMargin!K17</f>
        <v>0</v>
      </c>
      <c r="K16" s="303">
        <f>SUM(H16:J16)</f>
        <v>700</v>
      </c>
    </row>
    <row r="17" spans="1:11" ht="13.5" hidden="1" customHeight="1">
      <c r="A17" s="242" t="s">
        <v>82</v>
      </c>
      <c r="B17" s="249"/>
      <c r="C17" s="301">
        <f>+GrossMargin!D18-[3]GrossMargin!D18</f>
        <v>0</v>
      </c>
      <c r="D17" s="246">
        <f>+GrossMargin!E18-[3]GrossMargin!E18</f>
        <v>0</v>
      </c>
      <c r="E17" s="246">
        <f>+GrossMargin!F18-[3]GrossMargin!F18</f>
        <v>0</v>
      </c>
      <c r="F17" s="246">
        <f>+GrossMargin!G18-[3]GrossMargin!G18</f>
        <v>0</v>
      </c>
      <c r="G17" s="247">
        <f>+GrossMargin!H18-[3]GrossMargin!H18</f>
        <v>0</v>
      </c>
      <c r="H17" s="302">
        <f>SUM(C17:G17)</f>
        <v>0</v>
      </c>
      <c r="I17" s="133">
        <f>GrossMargin!J18-[3]GrossMargin!J18</f>
        <v>0</v>
      </c>
      <c r="J17" s="246">
        <f>+GrossMargin!K18-[3]GrossMargin!K18</f>
        <v>0</v>
      </c>
      <c r="K17" s="303">
        <f>SUM(H17:J17)</f>
        <v>0</v>
      </c>
    </row>
    <row r="18" spans="1:11" ht="13.5" hidden="1" customHeight="1">
      <c r="A18" s="242" t="s">
        <v>83</v>
      </c>
      <c r="B18" s="249"/>
      <c r="C18" s="301">
        <f>+GrossMargin!D19-[3]GrossMargin!D19</f>
        <v>0</v>
      </c>
      <c r="D18" s="246">
        <f>+GrossMargin!E19-[3]GrossMargin!E19</f>
        <v>0</v>
      </c>
      <c r="E18" s="246">
        <f>+GrossMargin!F19-[3]GrossMargin!F19</f>
        <v>0</v>
      </c>
      <c r="F18" s="246">
        <f>+GrossMargin!G19-[3]GrossMargin!G19</f>
        <v>0</v>
      </c>
      <c r="G18" s="247">
        <f>+GrossMargin!H19-[3]GrossMargin!H19</f>
        <v>0</v>
      </c>
      <c r="H18" s="302">
        <f>SUM(C18:G18)</f>
        <v>0</v>
      </c>
      <c r="I18" s="133">
        <f>GrossMargin!J19-[3]GrossMargin!J19</f>
        <v>0</v>
      </c>
      <c r="J18" s="246">
        <f>+GrossMargin!K19-[3]GrossMargin!K19</f>
        <v>0</v>
      </c>
      <c r="K18" s="303">
        <f>SUM(H18:J18)</f>
        <v>0</v>
      </c>
    </row>
    <row r="19" spans="1:11" ht="13.5" hidden="1" customHeight="1">
      <c r="A19" s="242" t="s">
        <v>85</v>
      </c>
      <c r="B19" s="249"/>
      <c r="C19" s="304">
        <f>+GrossMargin!D20-[3]GrossMargin!D20</f>
        <v>0</v>
      </c>
      <c r="D19" s="256">
        <f>+GrossMargin!E20-[3]GrossMargin!E20</f>
        <v>0</v>
      </c>
      <c r="E19" s="256">
        <f>+GrossMargin!F20-[3]GrossMargin!F20</f>
        <v>0</v>
      </c>
      <c r="F19" s="256">
        <f>+GrossMargin!G20-[3]GrossMargin!G20</f>
        <v>0</v>
      </c>
      <c r="G19" s="257">
        <f>+GrossMargin!H20-[3]GrossMargin!H20</f>
        <v>0</v>
      </c>
      <c r="H19" s="305">
        <f>SUM(C19:G19)</f>
        <v>0</v>
      </c>
      <c r="I19" s="133">
        <f>GrossMargin!J20-[3]GrossMargin!J20</f>
        <v>0</v>
      </c>
      <c r="J19" s="256">
        <f>+GrossMargin!K20-[3]GrossMargin!K20</f>
        <v>0</v>
      </c>
      <c r="K19" s="306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1499.5070000000001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134">
        <f t="shared" si="2"/>
        <v>1499.5070000000001</v>
      </c>
      <c r="I20" s="307">
        <f t="shared" si="2"/>
        <v>0</v>
      </c>
      <c r="J20" s="36">
        <f t="shared" si="2"/>
        <v>0</v>
      </c>
      <c r="K20" s="135">
        <f t="shared" si="2"/>
        <v>1499.5070000000001</v>
      </c>
    </row>
    <row r="21" spans="1:11" s="190" customFormat="1" ht="13.5" customHeight="1">
      <c r="A21" s="107" t="s">
        <v>98</v>
      </c>
      <c r="B21" s="34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GrossMargin!J22-[3]GrossMargin!J22</f>
        <v>0</v>
      </c>
      <c r="J21" s="36">
        <f>+GrossMargin!K22-[3]GrossMargin!K22</f>
        <v>0</v>
      </c>
      <c r="K21" s="135">
        <f>SUM(H21:J21)</f>
        <v>0</v>
      </c>
    </row>
    <row r="22" spans="1:11" ht="13.5" customHeight="1">
      <c r="A22" s="107" t="s">
        <v>2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GrossMargin!J23-[3]GrossMargin!J23</f>
        <v>0</v>
      </c>
      <c r="J22" s="36">
        <f>GrossMargin!K23-[3]GrossMargin!K23</f>
        <v>0</v>
      </c>
      <c r="K22" s="135">
        <f>SUM(H22:J22)</f>
        <v>0</v>
      </c>
    </row>
    <row r="23" spans="1:11" ht="13.5" customHeight="1">
      <c r="A23" s="107" t="s">
        <v>11</v>
      </c>
      <c r="B23" s="168"/>
      <c r="C23" s="133">
        <f>+GrossMargin!D24-[3]GrossMargin!D24</f>
        <v>0</v>
      </c>
      <c r="D23" s="36">
        <f>+GrossMargin!E24-[3]GrossMargin!E24</f>
        <v>0</v>
      </c>
      <c r="E23" s="36">
        <f>+GrossMargin!F24-[3]GrossMargin!F24</f>
        <v>0</v>
      </c>
      <c r="F23" s="36">
        <f>+GrossMargin!G24-[3]GrossMargin!G24</f>
        <v>0</v>
      </c>
      <c r="G23" s="138">
        <f>+GrossMargin!H24-[3]GrossMargin!H24</f>
        <v>0</v>
      </c>
      <c r="H23" s="134">
        <f>SUM(C23:G23)</f>
        <v>0</v>
      </c>
      <c r="I23" s="133">
        <f>GrossMargin!J24-[3]GrossMargin!J24</f>
        <v>0</v>
      </c>
      <c r="J23" s="36">
        <f>+GrossMargin!K24-[3]GrossMargin!K28</f>
        <v>0</v>
      </c>
      <c r="K23" s="135">
        <f>SUM(H23:J23)</f>
        <v>0</v>
      </c>
    </row>
    <row r="24" spans="1:11" ht="3" customHeight="1">
      <c r="A24" s="107"/>
      <c r="B24" s="34"/>
      <c r="C24" s="133"/>
      <c r="D24" s="36"/>
      <c r="E24" s="36"/>
      <c r="F24" s="36"/>
      <c r="G24" s="138"/>
      <c r="H24" s="134"/>
      <c r="I24" s="133"/>
      <c r="J24" s="36"/>
      <c r="K24" s="138"/>
    </row>
    <row r="25" spans="1:11" ht="13.5" customHeight="1">
      <c r="A25" s="38" t="s">
        <v>108</v>
      </c>
      <c r="B25" s="34"/>
      <c r="C25" s="43">
        <f t="shared" ref="C25:K25" si="3">+C9+C10+C11+C12+C13+C20+C21+C22+C23</f>
        <v>7529.5069999999996</v>
      </c>
      <c r="D25" s="44">
        <f t="shared" si="3"/>
        <v>18.572609999999997</v>
      </c>
      <c r="E25" s="44">
        <f t="shared" si="3"/>
        <v>0</v>
      </c>
      <c r="F25" s="44">
        <f t="shared" si="3"/>
        <v>-197.19399999999999</v>
      </c>
      <c r="G25" s="45">
        <f t="shared" si="3"/>
        <v>0</v>
      </c>
      <c r="H25" s="46">
        <f t="shared" si="3"/>
        <v>7350.8856099999994</v>
      </c>
      <c r="I25" s="44">
        <f t="shared" si="3"/>
        <v>0</v>
      </c>
      <c r="J25" s="44">
        <f t="shared" si="3"/>
        <v>0</v>
      </c>
      <c r="K25" s="45">
        <f t="shared" si="3"/>
        <v>7350.8856099999994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s="190" customFormat="1" ht="13.5" customHeight="1">
      <c r="A27" s="107" t="s">
        <v>99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GrossMargin!J28-[3]GrossMargin!J28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100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>
        <f>GrossMargin!J29-[3]GrossMargin!J29</f>
        <v>0</v>
      </c>
      <c r="J28" s="36">
        <f>+GrossMargin!K29-[3]GrossMargin!K24</f>
        <v>0</v>
      </c>
      <c r="K28" s="135">
        <f>SUM(H28:J28)</f>
        <v>0</v>
      </c>
    </row>
    <row r="29" spans="1:11" s="190" customFormat="1" ht="13.5" customHeight="1">
      <c r="A29" s="107" t="s">
        <v>101</v>
      </c>
      <c r="B29" s="34"/>
      <c r="C29" s="133">
        <f>+GrossMargin!D30-[3]GrossMargin!D30</f>
        <v>0</v>
      </c>
      <c r="D29" s="36">
        <f>+GrossMargin!E30-[3]GrossMargin!E30</f>
        <v>0</v>
      </c>
      <c r="E29" s="36">
        <f>+GrossMargin!F30-[3]GrossMargin!F30</f>
        <v>0</v>
      </c>
      <c r="F29" s="36">
        <f>+GrossMargin!G30-[3]GrossMargin!G30</f>
        <v>0</v>
      </c>
      <c r="G29" s="138">
        <f>+GrossMargin!H30-[3]GrossMargin!H30</f>
        <v>0</v>
      </c>
      <c r="H29" s="134">
        <f>SUM(C29:G29)</f>
        <v>0</v>
      </c>
      <c r="I29" s="133">
        <f>GrossMargin!J30-[3]GrossMargin!J30</f>
        <v>0</v>
      </c>
      <c r="J29" s="36">
        <f>GrossMargin!K30-[3]GrossMargin!K30</f>
        <v>0</v>
      </c>
      <c r="K29" s="135">
        <f>SUM(H29:J29)</f>
        <v>0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114</v>
      </c>
      <c r="B31" s="34"/>
      <c r="C31" s="43">
        <f>SUM(C27:C30)</f>
        <v>0</v>
      </c>
      <c r="D31" s="44">
        <f t="shared" ref="D31:K31" si="4">SUM(D27:D30)</f>
        <v>0</v>
      </c>
      <c r="E31" s="44">
        <f t="shared" si="4"/>
        <v>0</v>
      </c>
      <c r="F31" s="44">
        <f t="shared" si="4"/>
        <v>0</v>
      </c>
      <c r="G31" s="45">
        <f t="shared" si="4"/>
        <v>0</v>
      </c>
      <c r="H31" s="46">
        <f t="shared" si="4"/>
        <v>0</v>
      </c>
      <c r="I31" s="44">
        <f t="shared" si="4"/>
        <v>0</v>
      </c>
      <c r="J31" s="44">
        <f t="shared" si="4"/>
        <v>0</v>
      </c>
      <c r="K31" s="45">
        <f t="shared" si="4"/>
        <v>0</v>
      </c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3" customHeight="1">
      <c r="A33" s="107"/>
      <c r="B33" s="34"/>
      <c r="C33" s="133"/>
      <c r="D33" s="36"/>
      <c r="E33" s="36"/>
      <c r="F33" s="36"/>
      <c r="G33" s="138"/>
      <c r="H33" s="134"/>
      <c r="I33" s="133"/>
      <c r="J33" s="36"/>
      <c r="K33" s="138"/>
    </row>
    <row r="34" spans="1:11" ht="13.5" customHeight="1">
      <c r="A34" s="38" t="s">
        <v>109</v>
      </c>
      <c r="B34" s="34"/>
      <c r="C34" s="43">
        <f>+C25+C31</f>
        <v>7529.5069999999996</v>
      </c>
      <c r="D34" s="44">
        <f t="shared" ref="D34:K34" si="5">+D25+D31</f>
        <v>18.572609999999997</v>
      </c>
      <c r="E34" s="44">
        <f t="shared" si="5"/>
        <v>0</v>
      </c>
      <c r="F34" s="44">
        <f t="shared" si="5"/>
        <v>-197.19399999999999</v>
      </c>
      <c r="G34" s="45">
        <f t="shared" si="5"/>
        <v>0</v>
      </c>
      <c r="H34" s="46">
        <f t="shared" si="5"/>
        <v>7350.8856099999994</v>
      </c>
      <c r="I34" s="44">
        <f t="shared" si="5"/>
        <v>0</v>
      </c>
      <c r="J34" s="44">
        <f t="shared" si="5"/>
        <v>0</v>
      </c>
      <c r="K34" s="45">
        <f t="shared" si="5"/>
        <v>7350.8856099999994</v>
      </c>
    </row>
    <row r="35" spans="1:11" ht="3" customHeight="1">
      <c r="A35" s="107"/>
      <c r="B35" s="34"/>
      <c r="C35" s="133"/>
      <c r="D35" s="36"/>
      <c r="E35" s="36"/>
      <c r="F35" s="36"/>
      <c r="G35" s="138"/>
      <c r="H35" s="134"/>
      <c r="I35" s="133"/>
      <c r="J35" s="36"/>
      <c r="K35" s="138"/>
    </row>
    <row r="36" spans="1:11" ht="13.5" customHeight="1">
      <c r="A36" s="107" t="s">
        <v>10</v>
      </c>
      <c r="B36" s="34"/>
      <c r="C36" s="133">
        <f>+GrossMargin!D37-[3]GrossMargin!D37</f>
        <v>0</v>
      </c>
      <c r="D36" s="36">
        <f>+GrossMargin!E37-[3]GrossMargin!E37</f>
        <v>0</v>
      </c>
      <c r="E36" s="36">
        <f>+GrossMargin!F37-[3]GrossMargin!F37</f>
        <v>0</v>
      </c>
      <c r="F36" s="36">
        <f>+GrossMargin!G37-[3]GrossMargin!G37</f>
        <v>0</v>
      </c>
      <c r="G36" s="138">
        <f>+GrossMargin!H37-[3]GrossMargin!H37</f>
        <v>0</v>
      </c>
      <c r="H36" s="134">
        <f>SUM(C36:G36)</f>
        <v>0</v>
      </c>
      <c r="I36" s="133">
        <f>GrossMargin!J37-[3]GrossMargin!J32</f>
        <v>0</v>
      </c>
      <c r="J36" s="36">
        <f>+GrossMargin!K37-[3]GrossMargin!K32</f>
        <v>0</v>
      </c>
      <c r="K36" s="135">
        <f>SUM(H36:J36)</f>
        <v>0</v>
      </c>
    </row>
    <row r="37" spans="1:11" ht="3" customHeight="1">
      <c r="A37" s="107"/>
      <c r="B37" s="34"/>
      <c r="C37" s="133"/>
      <c r="D37" s="36"/>
      <c r="E37" s="36"/>
      <c r="F37" s="36"/>
      <c r="G37" s="138"/>
      <c r="H37" s="134"/>
      <c r="I37" s="133"/>
      <c r="J37" s="36"/>
      <c r="K37" s="138"/>
    </row>
    <row r="38" spans="1:11" ht="13.5" customHeight="1">
      <c r="A38" s="38" t="s">
        <v>107</v>
      </c>
      <c r="B38" s="34"/>
      <c r="C38" s="39">
        <f>SUM(C34:C36)</f>
        <v>7529.5069999999996</v>
      </c>
      <c r="D38" s="40">
        <f>SUM(D34:D36)</f>
        <v>18.572609999999997</v>
      </c>
      <c r="E38" s="40">
        <f>SUM(E34:E37)</f>
        <v>0</v>
      </c>
      <c r="F38" s="40">
        <f>SUM(F34:F36)</f>
        <v>-197.19399999999999</v>
      </c>
      <c r="G38" s="41">
        <f>SUM(G34:G36)</f>
        <v>0</v>
      </c>
      <c r="H38" s="39">
        <f>SUM(C38:G38)</f>
        <v>7350.8856099999994</v>
      </c>
      <c r="I38" s="39">
        <f>SUM(I34:I36)</f>
        <v>0</v>
      </c>
      <c r="J38" s="40">
        <f>SUM(J34:J36)</f>
        <v>0</v>
      </c>
      <c r="K38" s="41">
        <f>SUM(H38:J38)</f>
        <v>7350.8856099999994</v>
      </c>
    </row>
    <row r="39" spans="1:11" ht="3" customHeight="1">
      <c r="A39" s="103"/>
      <c r="B39" s="32"/>
      <c r="C39" s="104"/>
      <c r="D39" s="105"/>
      <c r="E39" s="105"/>
      <c r="F39" s="105"/>
      <c r="G39" s="182"/>
      <c r="H39" s="104"/>
      <c r="I39" s="104"/>
      <c r="J39" s="105"/>
      <c r="K39" s="182"/>
    </row>
    <row r="40" spans="1:11" ht="13.5">
      <c r="A40" s="163" t="s">
        <v>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E41" s="187"/>
    </row>
    <row r="43" spans="1:11">
      <c r="G43" s="166"/>
    </row>
    <row r="44" spans="1:11" ht="15.75">
      <c r="D4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6"/>
  <sheetViews>
    <sheetView topLeftCell="B1" zoomScaleNormal="100" workbookViewId="0">
      <selection activeCell="D42" sqref="D41:D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December 14,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-7526</v>
      </c>
      <c r="E10" s="140">
        <v>0</v>
      </c>
      <c r="F10" s="140">
        <v>0</v>
      </c>
      <c r="G10" s="140">
        <f>-129.617-197.194</f>
        <v>-326.81099999999998</v>
      </c>
      <c r="H10" s="138">
        <v>0</v>
      </c>
      <c r="I10" s="136">
        <f t="shared" ref="I10:I20" si="0">SUM(D10:H10)</f>
        <v>-7852.8109999999997</v>
      </c>
      <c r="J10" s="137"/>
      <c r="K10" s="36">
        <v>0</v>
      </c>
      <c r="L10" s="36">
        <f>+I10+K10</f>
        <v>-7852.8109999999997</v>
      </c>
      <c r="M10" s="253">
        <v>30000</v>
      </c>
      <c r="N10" s="135">
        <f t="shared" ref="N10:N30" si="1">L10-M10</f>
        <v>-37852.811000000002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8391</v>
      </c>
      <c r="E11" s="140">
        <f>413.82992-262.279</f>
        <v>151.55092000000002</v>
      </c>
      <c r="F11" s="140">
        <v>79.724000000000004</v>
      </c>
      <c r="G11" s="140">
        <v>0</v>
      </c>
      <c r="H11" s="138">
        <v>0</v>
      </c>
      <c r="I11" s="136">
        <f t="shared" si="0"/>
        <v>8622.2749199999998</v>
      </c>
      <c r="J11" s="137"/>
      <c r="K11" s="36">
        <v>0</v>
      </c>
      <c r="L11" s="36">
        <f t="shared" ref="L11:L30" si="2">+I11+K11</f>
        <v>8622.2749199999998</v>
      </c>
      <c r="M11" s="253" t="e">
        <f ca="1">ROUND(_xll.HPVAL($A11,$A$1,$A$2,$A$3,$A$4,$A$6)/1000,3)</f>
        <v>#NAME?</v>
      </c>
      <c r="N11" s="135" t="e">
        <f t="shared" ca="1" si="1"/>
        <v>#NAME?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6807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6807</v>
      </c>
      <c r="J12" s="137"/>
      <c r="K12" s="36">
        <v>0</v>
      </c>
      <c r="L12" s="36">
        <f t="shared" si="2"/>
        <v>6807</v>
      </c>
      <c r="M12" s="253" t="e">
        <f ca="1">ROUND(_xll.HPVAL($A12,$A$1,$A$2,$A$3,$A$4,$A$6)/1000,1)</f>
        <v>#NAME?</v>
      </c>
      <c r="N12" s="135" t="e">
        <f t="shared" ca="1" si="1"/>
        <v>#NAME?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3105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3105</v>
      </c>
      <c r="J13" s="137"/>
      <c r="K13" s="36">
        <v>0</v>
      </c>
      <c r="L13" s="36">
        <f t="shared" si="2"/>
        <v>3105</v>
      </c>
      <c r="M13" s="253" t="e">
        <f ca="1">ROUND(_xll.HPVAL($A13,$A$1,$A$2,$A$3,$A$4,$A$6)/1000,3)</f>
        <v>#NAME?</v>
      </c>
      <c r="N13" s="135" t="e">
        <f t="shared" ca="1" si="1"/>
        <v>#NAME?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 t="e">
        <f ca="1">ROUND(_xll.HPVAL($A14,$A$1,$A$2,$A$3,$A$4,$A$6)/1000,3)</f>
        <v>#NAME?</v>
      </c>
      <c r="N14" s="135" t="e">
        <f t="shared" ca="1" si="1"/>
        <v>#NAME?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50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50</v>
      </c>
      <c r="J15" s="246"/>
      <c r="K15" s="246">
        <v>0</v>
      </c>
      <c r="L15" s="36">
        <f t="shared" si="2"/>
        <v>50</v>
      </c>
      <c r="M15" s="253">
        <v>0</v>
      </c>
      <c r="N15" s="247">
        <f>L15-M15</f>
        <v>50</v>
      </c>
    </row>
    <row r="16" spans="1:16" ht="13.5" hidden="1" customHeight="1">
      <c r="A16" s="12" t="s">
        <v>51</v>
      </c>
      <c r="B16" s="242" t="s">
        <v>150</v>
      </c>
      <c r="C16" s="243"/>
      <c r="D16" s="244">
        <v>-498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-498</v>
      </c>
      <c r="J16" s="246"/>
      <c r="K16" s="246">
        <v>0</v>
      </c>
      <c r="L16" s="36">
        <f>+I16+K16</f>
        <v>-498</v>
      </c>
      <c r="M16" s="253">
        <v>0</v>
      </c>
      <c r="N16" s="247">
        <f>L16-M16</f>
        <v>-498</v>
      </c>
    </row>
    <row r="17" spans="1:16" ht="13.5" hidden="1" customHeight="1">
      <c r="B17" s="242" t="s">
        <v>84</v>
      </c>
      <c r="C17" s="243"/>
      <c r="D17" s="244">
        <v>2176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2176</v>
      </c>
      <c r="J17" s="246"/>
      <c r="K17" s="246">
        <v>0</v>
      </c>
      <c r="L17" s="36">
        <f t="shared" si="2"/>
        <v>2176</v>
      </c>
      <c r="M17" s="255">
        <v>0</v>
      </c>
      <c r="N17" s="247">
        <f>L17-M17</f>
        <v>2176</v>
      </c>
      <c r="P17" s="166"/>
    </row>
    <row r="18" spans="1:16" ht="13.5" hidden="1" customHeight="1">
      <c r="B18" s="242" t="s">
        <v>82</v>
      </c>
      <c r="C18" s="243"/>
      <c r="D18" s="244">
        <v>-87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-87</v>
      </c>
      <c r="J18" s="246"/>
      <c r="K18" s="246">
        <v>0</v>
      </c>
      <c r="L18" s="36">
        <f t="shared" si="2"/>
        <v>-87</v>
      </c>
      <c r="M18" s="255">
        <v>0</v>
      </c>
      <c r="N18" s="247">
        <f t="shared" si="1"/>
        <v>-87</v>
      </c>
      <c r="O18" s="166"/>
    </row>
    <row r="19" spans="1:16" ht="13.5" hidden="1" customHeight="1">
      <c r="B19" s="242" t="s">
        <v>83</v>
      </c>
      <c r="C19" s="243"/>
      <c r="D19" s="244">
        <v>38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38</v>
      </c>
      <c r="J19" s="246"/>
      <c r="K19" s="246">
        <v>0</v>
      </c>
      <c r="L19" s="36">
        <f t="shared" si="2"/>
        <v>38</v>
      </c>
      <c r="M19" s="255">
        <v>0</v>
      </c>
      <c r="N19" s="247">
        <f t="shared" si="1"/>
        <v>38</v>
      </c>
    </row>
    <row r="20" spans="1:16" ht="13.5" hidden="1" customHeight="1">
      <c r="B20" s="242" t="s">
        <v>85</v>
      </c>
      <c r="C20" s="243"/>
      <c r="D20" s="252">
        <v>-54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-54</v>
      </c>
      <c r="J20" s="256"/>
      <c r="K20" s="256">
        <v>0</v>
      </c>
      <c r="L20" s="267">
        <f t="shared" si="2"/>
        <v>-54</v>
      </c>
      <c r="M20" s="268">
        <v>0</v>
      </c>
      <c r="N20" s="257">
        <f>L20-M20</f>
        <v>-54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1625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1625</v>
      </c>
      <c r="J21" s="137"/>
      <c r="K21" s="36">
        <f>SUM(K15:K20)</f>
        <v>0</v>
      </c>
      <c r="L21" s="36">
        <f t="shared" si="2"/>
        <v>1625</v>
      </c>
      <c r="M21" s="253">
        <f>33848.881-22365.668-2500.002+2500.002</f>
        <v>11483.213</v>
      </c>
      <c r="N21" s="135">
        <f>L21-M21</f>
        <v>-9858.2129999999997</v>
      </c>
    </row>
    <row r="22" spans="1:16" s="190" customFormat="1" ht="13.5" customHeight="1">
      <c r="A22" s="12"/>
      <c r="B22" s="107" t="s">
        <v>98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0</v>
      </c>
      <c r="N22" s="135">
        <f t="shared" si="1"/>
        <v>0</v>
      </c>
    </row>
    <row r="23" spans="1:16" s="190" customFormat="1" ht="12" customHeight="1">
      <c r="A23" s="188"/>
      <c r="B23" s="107" t="s">
        <v>2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0</v>
      </c>
      <c r="N23" s="135">
        <f>L23-M23</f>
        <v>0</v>
      </c>
    </row>
    <row r="24" spans="1:16" s="190" customFormat="1" ht="12" customHeight="1">
      <c r="A24" s="188"/>
      <c r="B24" s="107" t="s">
        <v>11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133">
        <v>0</v>
      </c>
      <c r="L24" s="36">
        <f>+I24+K24</f>
        <v>0</v>
      </c>
      <c r="M24" s="138">
        <v>10100</v>
      </c>
      <c r="N24" s="135">
        <f>L24-M24</f>
        <v>-10100</v>
      </c>
    </row>
    <row r="25" spans="1:16" ht="3" customHeight="1">
      <c r="B25" s="107"/>
      <c r="C25" s="34"/>
      <c r="D25" s="139"/>
      <c r="E25" s="140"/>
      <c r="F25" s="140"/>
      <c r="G25" s="140"/>
      <c r="H25" s="138"/>
      <c r="I25" s="136"/>
      <c r="J25" s="36"/>
      <c r="K25" s="133"/>
      <c r="L25" s="36"/>
      <c r="M25" s="138"/>
      <c r="N25" s="135"/>
    </row>
    <row r="26" spans="1:16" ht="12" customHeight="1">
      <c r="B26" s="263" t="s">
        <v>106</v>
      </c>
      <c r="C26" s="34"/>
      <c r="D26" s="43">
        <f>+D10+D11+D12+D13+D14+D21+D22+D23+D24</f>
        <v>12402</v>
      </c>
      <c r="E26" s="44">
        <f t="shared" ref="E26:N26" si="4">+E10+E11+E12+E13+E14+E21+E22+E23+E24</f>
        <v>151.55092000000002</v>
      </c>
      <c r="F26" s="44">
        <f t="shared" si="4"/>
        <v>79.724000000000004</v>
      </c>
      <c r="G26" s="44">
        <f t="shared" si="4"/>
        <v>-326.81099999999998</v>
      </c>
      <c r="H26" s="45">
        <f t="shared" si="4"/>
        <v>0</v>
      </c>
      <c r="I26" s="46">
        <f t="shared" si="4"/>
        <v>12306.46392</v>
      </c>
      <c r="J26" s="44">
        <f t="shared" si="4"/>
        <v>0</v>
      </c>
      <c r="K26" s="44">
        <f t="shared" si="4"/>
        <v>0</v>
      </c>
      <c r="L26" s="44">
        <f t="shared" si="4"/>
        <v>12306.46392</v>
      </c>
      <c r="M26" s="45" t="e">
        <f t="shared" ca="1" si="4"/>
        <v>#NAME?</v>
      </c>
      <c r="N26" s="45" t="e">
        <f t="shared" ca="1" si="4"/>
        <v>#NAME?</v>
      </c>
    </row>
    <row r="27" spans="1:16" ht="3" customHeight="1">
      <c r="B27" s="107"/>
      <c r="C27" s="34"/>
      <c r="D27" s="139"/>
      <c r="E27" s="140"/>
      <c r="F27" s="140"/>
      <c r="G27" s="140"/>
      <c r="H27" s="138"/>
      <c r="I27" s="136"/>
      <c r="J27" s="36"/>
      <c r="K27" s="133"/>
      <c r="L27" s="36"/>
      <c r="M27" s="138"/>
      <c r="N27" s="135"/>
    </row>
    <row r="28" spans="1:16" s="190" customFormat="1" ht="13.5" customHeight="1">
      <c r="A28" s="12"/>
      <c r="B28" s="107" t="s">
        <v>99</v>
      </c>
      <c r="C28" s="189"/>
      <c r="D28" s="139">
        <v>0</v>
      </c>
      <c r="E28" s="140">
        <v>0</v>
      </c>
      <c r="F28" s="140">
        <f>674-188-100-300</f>
        <v>86</v>
      </c>
      <c r="G28" s="140">
        <v>0</v>
      </c>
      <c r="H28" s="138">
        <v>0</v>
      </c>
      <c r="I28" s="136">
        <f>SUM(D28:H28)</f>
        <v>86</v>
      </c>
      <c r="J28" s="137"/>
      <c r="K28" s="36">
        <v>0</v>
      </c>
      <c r="L28" s="36">
        <f t="shared" si="2"/>
        <v>86</v>
      </c>
      <c r="M28" s="253">
        <f>1159-15</f>
        <v>1144</v>
      </c>
      <c r="N28" s="135">
        <f t="shared" si="1"/>
        <v>-1058</v>
      </c>
      <c r="O28" s="14"/>
    </row>
    <row r="29" spans="1:16" s="190" customFormat="1" ht="13.5" customHeight="1">
      <c r="A29" s="12"/>
      <c r="B29" s="107" t="s">
        <v>100</v>
      </c>
      <c r="C29" s="189"/>
      <c r="D29" s="139">
        <v>0</v>
      </c>
      <c r="E29" s="140">
        <v>0</v>
      </c>
      <c r="F29" s="140">
        <v>132</v>
      </c>
      <c r="G29" s="140">
        <v>0</v>
      </c>
      <c r="H29" s="138">
        <v>0</v>
      </c>
      <c r="I29" s="136">
        <f>SUM(D29:H29)</f>
        <v>132</v>
      </c>
      <c r="J29" s="137"/>
      <c r="K29" s="36">
        <v>0</v>
      </c>
      <c r="L29" s="36">
        <f t="shared" si="2"/>
        <v>132</v>
      </c>
      <c r="M29" s="138">
        <v>4617</v>
      </c>
      <c r="N29" s="135">
        <f t="shared" si="1"/>
        <v>-4485</v>
      </c>
      <c r="O29" s="14"/>
    </row>
    <row r="30" spans="1:16" s="190" customFormat="1" ht="13.5" customHeight="1">
      <c r="A30" s="12"/>
      <c r="B30" s="107" t="s">
        <v>101</v>
      </c>
      <c r="C30" s="189"/>
      <c r="D30" s="139">
        <v>0</v>
      </c>
      <c r="E30" s="140">
        <v>0</v>
      </c>
      <c r="F30" s="140">
        <v>-3089</v>
      </c>
      <c r="G30" s="140">
        <v>0</v>
      </c>
      <c r="H30" s="138">
        <v>0</v>
      </c>
      <c r="I30" s="136">
        <f>SUM(D30:H30)</f>
        <v>-3089</v>
      </c>
      <c r="J30" s="137"/>
      <c r="K30" s="36">
        <v>0</v>
      </c>
      <c r="L30" s="36">
        <f t="shared" si="2"/>
        <v>-3089</v>
      </c>
      <c r="M30" s="253">
        <v>530</v>
      </c>
      <c r="N30" s="135">
        <f t="shared" si="1"/>
        <v>-3619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263" t="s">
        <v>113</v>
      </c>
      <c r="C32" s="34"/>
      <c r="D32" s="43">
        <f>SUM(D28:D31)</f>
        <v>0</v>
      </c>
      <c r="E32" s="44">
        <f t="shared" ref="E32:N32" si="5">SUM(E28:E31)</f>
        <v>0</v>
      </c>
      <c r="F32" s="44">
        <f t="shared" si="5"/>
        <v>-2871</v>
      </c>
      <c r="G32" s="44">
        <f t="shared" si="5"/>
        <v>0</v>
      </c>
      <c r="H32" s="45">
        <f t="shared" si="5"/>
        <v>0</v>
      </c>
      <c r="I32" s="46">
        <f t="shared" si="5"/>
        <v>-2871</v>
      </c>
      <c r="J32" s="44">
        <f t="shared" si="5"/>
        <v>0</v>
      </c>
      <c r="K32" s="44">
        <f t="shared" si="5"/>
        <v>0</v>
      </c>
      <c r="L32" s="44">
        <f t="shared" si="5"/>
        <v>-2871</v>
      </c>
      <c r="M32" s="45">
        <f t="shared" si="5"/>
        <v>6291</v>
      </c>
      <c r="N32" s="45">
        <f t="shared" si="5"/>
        <v>-9162</v>
      </c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3" customHeight="1">
      <c r="B34" s="107"/>
      <c r="C34" s="34"/>
      <c r="D34" s="133"/>
      <c r="E34" s="36"/>
      <c r="F34" s="36"/>
      <c r="G34" s="36"/>
      <c r="H34" s="138"/>
      <c r="I34" s="136"/>
      <c r="J34" s="36"/>
      <c r="K34" s="133"/>
      <c r="L34" s="36"/>
      <c r="M34" s="138"/>
      <c r="N34" s="135"/>
    </row>
    <row r="35" spans="2:14" ht="12" customHeight="1">
      <c r="B35" s="263" t="s">
        <v>76</v>
      </c>
      <c r="C35" s="34"/>
      <c r="D35" s="43">
        <f>+D26+D32</f>
        <v>12402</v>
      </c>
      <c r="E35" s="44">
        <f t="shared" ref="E35:N35" si="6">+E26+E32</f>
        <v>151.55092000000002</v>
      </c>
      <c r="F35" s="44">
        <f t="shared" si="6"/>
        <v>-2791.2759999999998</v>
      </c>
      <c r="G35" s="44">
        <f t="shared" si="6"/>
        <v>-326.81099999999998</v>
      </c>
      <c r="H35" s="45">
        <f t="shared" si="6"/>
        <v>0</v>
      </c>
      <c r="I35" s="46">
        <f t="shared" si="6"/>
        <v>9435.4639200000001</v>
      </c>
      <c r="J35" s="44">
        <f t="shared" si="6"/>
        <v>0</v>
      </c>
      <c r="K35" s="44">
        <f t="shared" si="6"/>
        <v>0</v>
      </c>
      <c r="L35" s="44">
        <f t="shared" si="6"/>
        <v>9435.4639200000001</v>
      </c>
      <c r="M35" s="45" t="e">
        <f t="shared" ca="1" si="6"/>
        <v>#NAME?</v>
      </c>
      <c r="N35" s="45" t="e">
        <f t="shared" ca="1" si="6"/>
        <v>#NAME?</v>
      </c>
    </row>
    <row r="36" spans="2:14" ht="3" customHeight="1">
      <c r="B36" s="107"/>
      <c r="C36" s="34"/>
      <c r="D36" s="133"/>
      <c r="E36" s="36"/>
      <c r="F36" s="36"/>
      <c r="G36" s="36"/>
      <c r="H36" s="138"/>
      <c r="I36" s="136"/>
      <c r="J36" s="36"/>
      <c r="K36" s="133"/>
      <c r="L36" s="36"/>
      <c r="M36" s="138"/>
      <c r="N36" s="135"/>
    </row>
    <row r="37" spans="2:14" ht="13.5" customHeight="1">
      <c r="B37" s="107" t="s">
        <v>10</v>
      </c>
      <c r="C37" s="34"/>
      <c r="D37" s="133">
        <v>0</v>
      </c>
      <c r="E37" s="140">
        <v>0</v>
      </c>
      <c r="F37" s="140">
        <v>0</v>
      </c>
      <c r="G37" s="140">
        <v>-520</v>
      </c>
      <c r="H37" s="138">
        <v>0</v>
      </c>
      <c r="I37" s="136">
        <f>SUM(D37:H37)</f>
        <v>-520</v>
      </c>
      <c r="J37" s="36"/>
      <c r="K37" s="133">
        <v>0</v>
      </c>
      <c r="L37" s="36">
        <f>SUM(I37:K37)</f>
        <v>-520</v>
      </c>
      <c r="M37" s="138">
        <f>+G37</f>
        <v>-520</v>
      </c>
      <c r="N37" s="135">
        <f>L37-M37</f>
        <v>0</v>
      </c>
    </row>
    <row r="38" spans="2:14" ht="3" customHeight="1">
      <c r="B38" s="107"/>
      <c r="C38" s="34"/>
      <c r="D38" s="133"/>
      <c r="E38" s="36"/>
      <c r="F38" s="36"/>
      <c r="G38" s="36"/>
      <c r="H38" s="138"/>
      <c r="I38" s="136"/>
      <c r="J38" s="36"/>
      <c r="K38" s="133"/>
      <c r="L38" s="36"/>
      <c r="M38" s="138"/>
      <c r="N38" s="135"/>
    </row>
    <row r="39" spans="2:14" ht="12" customHeight="1">
      <c r="B39" s="38" t="s">
        <v>77</v>
      </c>
      <c r="C39" s="34"/>
      <c r="D39" s="39">
        <f>+D35+D37</f>
        <v>12402</v>
      </c>
      <c r="E39" s="40">
        <f>+E35+E37</f>
        <v>151.55092000000002</v>
      </c>
      <c r="F39" s="40">
        <f>+F35+F37</f>
        <v>-2791.2759999999998</v>
      </c>
      <c r="G39" s="40">
        <f>+G35+G37</f>
        <v>-846.81099999999992</v>
      </c>
      <c r="H39" s="41">
        <f>+H35+H37</f>
        <v>0</v>
      </c>
      <c r="I39" s="42">
        <f>SUM(I35:I37)</f>
        <v>8915.4639200000001</v>
      </c>
      <c r="J39" s="40">
        <f>SUM(J35:J37)</f>
        <v>0</v>
      </c>
      <c r="K39" s="39">
        <f>+K35+K37</f>
        <v>0</v>
      </c>
      <c r="L39" s="40">
        <f>+L35+L37</f>
        <v>8915.4639200000001</v>
      </c>
      <c r="M39" s="41" t="e">
        <f ca="1">+M35+M37</f>
        <v>#NAME?</v>
      </c>
      <c r="N39" s="41" t="e">
        <f ca="1">SUM(N35:N37)</f>
        <v>#NAME?</v>
      </c>
    </row>
    <row r="40" spans="2:14" ht="3" customHeight="1">
      <c r="B40" s="24"/>
      <c r="D40" s="25"/>
      <c r="E40" s="26"/>
      <c r="F40" s="26"/>
      <c r="G40" s="26"/>
      <c r="H40" s="27"/>
      <c r="I40" s="170"/>
      <c r="J40" s="26"/>
      <c r="K40" s="25"/>
      <c r="L40" s="26"/>
      <c r="M40" s="27"/>
      <c r="N40" s="27"/>
    </row>
    <row r="41" spans="2:14">
      <c r="B41" s="163" t="s">
        <v>60</v>
      </c>
      <c r="C41" s="5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B43" s="7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>
      <c r="D46" s="23"/>
      <c r="E46" s="23"/>
      <c r="F46" s="23"/>
      <c r="G46" s="23"/>
      <c r="H46" s="23"/>
      <c r="I46" s="23"/>
      <c r="J46" s="23"/>
      <c r="K46" s="23"/>
      <c r="L46" s="23" t="s">
        <v>63</v>
      </c>
      <c r="M46" s="23"/>
      <c r="N46" s="23"/>
    </row>
    <row r="47" spans="2:14">
      <c r="D47" s="23"/>
    </row>
    <row r="48" spans="2:14">
      <c r="D48" s="23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F17" sqref="F17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59</v>
      </c>
    </row>
    <row r="3" spans="1:37" ht="15">
      <c r="A3" s="11">
        <v>36861</v>
      </c>
      <c r="B3" s="327" t="s">
        <v>95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22</v>
      </c>
      <c r="B4" s="328" t="str">
        <f>+GrossMargin!B4</f>
        <v>Results based on activity through December 14, 2000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47</v>
      </c>
      <c r="B6" s="124"/>
      <c r="D6" s="320" t="s">
        <v>26</v>
      </c>
      <c r="E6" s="321"/>
      <c r="F6" s="322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3" t="s">
        <v>39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1" t="s">
        <v>153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+E11+1000+120+200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1" t="s">
        <v>105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+E13+250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1" t="s">
        <v>154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896.12600000000009</v>
      </c>
      <c r="E14" s="173">
        <f>2000.4-487.223-649.533+32.482</f>
        <v>896.12600000000009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v>1525</v>
      </c>
      <c r="E15" s="173">
        <v>0</v>
      </c>
      <c r="F15" s="177">
        <f t="shared" si="0"/>
        <v>-1525</v>
      </c>
      <c r="G15" s="52"/>
      <c r="H15" s="251" t="s">
        <v>152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115</v>
      </c>
      <c r="C18" s="50"/>
      <c r="D18" s="56" t="e">
        <f ca="1">SUM(D9:D17)</f>
        <v>#NAME?</v>
      </c>
      <c r="E18" s="57" t="e">
        <f ca="1">SUM(E9:E17)</f>
        <v>#NAME?</v>
      </c>
      <c r="F18" s="183" t="e">
        <f ca="1">SUM(F9:F17)</f>
        <v>#NAME?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147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2044+525</f>
        <v>2569</v>
      </c>
      <c r="E21" s="173">
        <v>1536</v>
      </c>
      <c r="F21" s="177">
        <f>E21-D21</f>
        <v>-1033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111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106</v>
      </c>
      <c r="C24" s="50"/>
      <c r="D24" s="56">
        <f>SUM(D20:D23)</f>
        <v>6498</v>
      </c>
      <c r="E24" s="57">
        <f>SUM(E20:E23)</f>
        <v>4522</v>
      </c>
      <c r="F24" s="183">
        <f>SUM(F20:F23)</f>
        <v>-1976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 t="e">
        <f ca="1">+D18+D24</f>
        <v>#NAME?</v>
      </c>
      <c r="E27" s="57" t="e">
        <f ca="1">+E18+E24</f>
        <v>#NAME?</v>
      </c>
      <c r="F27" s="183" t="e">
        <f ca="1">+F18+F24</f>
        <v>#NAME?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 t="e">
        <f ca="1">26030+'CapChrg-AllocExp'!M29+1188-998.93+12.872+4103-1600</f>
        <v>#NAME?</v>
      </c>
      <c r="E29" s="142">
        <f>26030+1188-998.93+12.872+4103-1600</f>
        <v>28734.941999999999</v>
      </c>
      <c r="F29" s="143" t="e">
        <f ca="1">E29-D29</f>
        <v>#NAME?</v>
      </c>
      <c r="G29" s="52"/>
      <c r="H29" s="251" t="s">
        <v>110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 t="e">
        <f ca="1">SUM(D27:D30)</f>
        <v>#NAME?</v>
      </c>
      <c r="E32" s="48" t="e">
        <f ca="1">SUM(E27:E30)</f>
        <v>#NAME?</v>
      </c>
      <c r="F32" s="49" t="e">
        <f ca="1">SUM(F27:F30)</f>
        <v>#NAME?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29" t="s">
        <v>49</v>
      </c>
      <c r="E35" s="330"/>
      <c r="F35" s="331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7" t="s">
        <v>39</v>
      </c>
      <c r="I36" s="318"/>
      <c r="J36" s="318"/>
      <c r="K36" s="319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F17" sqref="F17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6" t="s">
        <v>70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5">
      <c r="A3" s="327" t="s">
        <v>96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December 14, 2000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4"/>
      <c r="B6" s="50"/>
      <c r="C6" s="320" t="s">
        <v>26</v>
      </c>
      <c r="D6" s="321"/>
      <c r="E6" s="322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3" t="s">
        <v>39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 t="e">
        <f ca="1">+Expenses!E10-[3]Expenses!E10</f>
        <v>#NAME?</v>
      </c>
      <c r="E10" s="143" t="e">
        <f t="shared" ca="1" si="0"/>
        <v>#NAME?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+Expenses!D11-[3]Expenses!D11</f>
        <v>#NAME?</v>
      </c>
      <c r="D11" s="142" t="e">
        <f ca="1">+Expenses!E11-[3]Expenses!E11</f>
        <v>#NAME?</v>
      </c>
      <c r="E11" s="143" t="e">
        <f t="shared" ca="1" si="0"/>
        <v>#NAME?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+Expenses!D12-[3]Expenses!D12</f>
        <v>#NAME?</v>
      </c>
      <c r="D12" s="142" t="e">
        <f ca="1">+Expenses!E12-[3]Expenses!E12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+Expenses!D13-[3]Expenses!D13</f>
        <v>#NAME?</v>
      </c>
      <c r="D13" s="142" t="e">
        <f ca="1">+Expenses!E13-[3]Expenses!E13</f>
        <v>#NAME?</v>
      </c>
      <c r="E13" s="143" t="e">
        <f t="shared" ca="1" si="0"/>
        <v>#NAME?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115</v>
      </c>
      <c r="B18" s="50"/>
      <c r="C18" s="47" t="e">
        <f ca="1">SUM(C9:C17)</f>
        <v>#NAME?</v>
      </c>
      <c r="D18" s="48" t="e">
        <f ca="1">SUM(D9:D17)</f>
        <v>#NAME?</v>
      </c>
      <c r="E18" s="49" t="e">
        <f ca="1">SUM(E9:E17)</f>
        <v>#NAME?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106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 ca="1">+C18+C24</f>
        <v>#NAME?</v>
      </c>
      <c r="D27" s="48" t="e">
        <f ca="1">+D18+D24</f>
        <v>#NAME?</v>
      </c>
      <c r="E27" s="49" t="e">
        <f ca="1">+E18+E24</f>
        <v>#NAME?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 t="e">
        <f ca="1">+Expenses!D29-[3]Expenses!D29</f>
        <v>#NAME?</v>
      </c>
      <c r="D29" s="142">
        <f>+Expenses!E29-[3]Expenses!E29</f>
        <v>-1600</v>
      </c>
      <c r="E29" s="143" t="e">
        <f ca="1">D29-C29</f>
        <v>#NAME?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 ca="1">SUM(C27:C30)</f>
        <v>#NAME?</v>
      </c>
      <c r="D32" s="48" t="e">
        <f ca="1">SUM(D27:D30)</f>
        <v>#NAME?</v>
      </c>
      <c r="E32" s="49" t="e">
        <f ca="1">SUM(E27:E30)</f>
        <v>#NAME?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0" t="s">
        <v>49</v>
      </c>
      <c r="D35" s="321"/>
      <c r="E35" s="322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3" t="s">
        <v>39</v>
      </c>
      <c r="H36" s="324"/>
      <c r="I36" s="324"/>
      <c r="J36" s="325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F17" sqref="F17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t="s">
        <v>59</v>
      </c>
    </row>
    <row r="3" spans="1:20" ht="15">
      <c r="A3" s="10" t="s">
        <v>31</v>
      </c>
      <c r="B3" s="327" t="s">
        <v>97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'Mgmt Summary'!A3</f>
        <v>Results based on activity through December 14, 2000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3" t="s">
        <v>32</v>
      </c>
      <c r="E7" s="324"/>
      <c r="F7" s="324"/>
      <c r="G7" s="324"/>
      <c r="H7" s="324"/>
      <c r="I7" s="325"/>
      <c r="J7" s="50"/>
      <c r="K7" s="323" t="s">
        <v>55</v>
      </c>
      <c r="L7" s="324"/>
      <c r="M7" s="324"/>
      <c r="N7" s="324"/>
      <c r="O7" s="324"/>
      <c r="P7" s="325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2" t="s">
        <v>33</v>
      </c>
      <c r="H8" s="333"/>
      <c r="I8" s="334"/>
      <c r="J8" s="50"/>
      <c r="K8" s="86" t="s">
        <v>6</v>
      </c>
      <c r="L8" s="87" t="s">
        <v>8</v>
      </c>
      <c r="M8" s="74" t="s">
        <v>12</v>
      </c>
      <c r="N8" s="320" t="s">
        <v>33</v>
      </c>
      <c r="O8" s="321"/>
      <c r="P8" s="322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104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ca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ca="1">L14</f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L15</f>
        <v>911.0150000000001</v>
      </c>
      <c r="L15" s="173">
        <f>2090.152-193.079-998.93+12.872</f>
        <v>911.0150000000001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62" t="s">
        <v>115</v>
      </c>
      <c r="C17" s="50"/>
      <c r="D17" s="56" t="e">
        <f ca="1">SUM(D10:D16)</f>
        <v>#NAME?</v>
      </c>
      <c r="E17" s="57" t="e">
        <f ca="1">SUM(E10:E16)</f>
        <v>#NAME?</v>
      </c>
      <c r="F17" s="57" t="e">
        <f ca="1">SUM(F10:F16)</f>
        <v>#NAME?</v>
      </c>
      <c r="G17" s="54"/>
      <c r="H17" s="54"/>
      <c r="I17" s="55"/>
      <c r="J17" s="50"/>
      <c r="K17" s="56" t="e">
        <f ca="1">SUM(K10:K16)</f>
        <v>#NAME?</v>
      </c>
      <c r="L17" s="57" t="e">
        <f ca="1">SUM(L10:L16)</f>
        <v>#NAME?</v>
      </c>
      <c r="M17" s="57" t="e">
        <f ca="1">SUM(M10:M16)</f>
        <v>#NAME?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106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 t="e">
        <f ca="1">SUM(K17:K20)</f>
        <v>#NAME?</v>
      </c>
      <c r="L22" s="57" t="e">
        <f ca="1">SUM(L17:L20)</f>
        <v>#NAME?</v>
      </c>
      <c r="M22" s="57" t="e">
        <f ca="1">SUM(M17:M20)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 t="e">
        <f ca="1">+D17+D22</f>
        <v>#NAME?</v>
      </c>
      <c r="E26" s="57" t="e">
        <f ca="1">+E17+E22</f>
        <v>#NAME?</v>
      </c>
      <c r="F26" s="57" t="e">
        <f ca="1">+F17+F22</f>
        <v>#NAME?</v>
      </c>
      <c r="G26" s="54"/>
      <c r="H26" s="54"/>
      <c r="I26" s="55"/>
      <c r="J26" s="50"/>
      <c r="K26" s="56" t="e">
        <f ca="1">+K22+K24</f>
        <v>#NAME?</v>
      </c>
      <c r="L26" s="57" t="e">
        <f ca="1">+L22+L24</f>
        <v>#NAME?</v>
      </c>
      <c r="M26" s="57" t="e">
        <f ca="1">+M22+M24</f>
        <v>#NAME?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 t="e">
        <f ca="1">-(D26)</f>
        <v>#NAME?</v>
      </c>
      <c r="E28" s="142" t="e">
        <f ca="1">-(E26)</f>
        <v>#NAME?</v>
      </c>
      <c r="F28" s="158" t="e">
        <f ca="1">E28-D28</f>
        <v>#NAME?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 t="e">
        <f ca="1">-K26</f>
        <v>#NAME?</v>
      </c>
      <c r="L29" s="142" t="e">
        <f ca="1">-L26</f>
        <v>#NAME?</v>
      </c>
      <c r="M29" s="158" t="e">
        <f ca="1">L29-K29</f>
        <v>#NAME?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 t="e">
        <f ca="1">SUM(D26:D29)</f>
        <v>#NAME?</v>
      </c>
      <c r="E31" s="48" t="e">
        <f ca="1">SUM(E26:E29)</f>
        <v>#NAME?</v>
      </c>
      <c r="F31" s="48" t="e">
        <f ca="1">SUM(F26:F29)</f>
        <v>#NAME?</v>
      </c>
      <c r="G31" s="54"/>
      <c r="H31" s="54"/>
      <c r="I31" s="55"/>
      <c r="K31" s="47" t="e">
        <f ca="1">SUM(K26:K29)</f>
        <v>#NAME?</v>
      </c>
      <c r="L31" s="48" t="e">
        <f ca="1">SUM(L26:L29)</f>
        <v>#NAME?</v>
      </c>
      <c r="M31" s="48" t="e">
        <f ca="1">SUM(M26:M29)</f>
        <v>#NAME?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2000-12-15T18:23:43Z</cp:lastPrinted>
  <dcterms:created xsi:type="dcterms:W3CDTF">1999-10-18T12:36:30Z</dcterms:created>
  <dcterms:modified xsi:type="dcterms:W3CDTF">2014-09-05T10:49:29Z</dcterms:modified>
</cp:coreProperties>
</file>