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Summary'!$A$1:$M$34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'CapChrg-AllocExp'!$B$2:$P$29</definedName>
    <definedName name="_xlnm.Print_Area" localSheetId="6">'Expense Weekly Change'!$A$2:$J$35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Summary'!$A$1:$Q$34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0" i="4"/>
  <c r="K10" i="4"/>
  <c r="M10" i="4" s="1"/>
  <c r="D11" i="4"/>
  <c r="L10" i="1" s="1"/>
  <c r="K11" i="4"/>
  <c r="M11" i="4" s="1"/>
  <c r="U10" i="1" s="1"/>
  <c r="D12" i="4"/>
  <c r="F12" i="4" s="1"/>
  <c r="S11" i="1" s="1"/>
  <c r="S11" i="36" s="1"/>
  <c r="K12" i="4"/>
  <c r="M12" i="4" s="1"/>
  <c r="U11" i="1" s="1"/>
  <c r="D13" i="4"/>
  <c r="K13" i="4"/>
  <c r="M13" i="4" s="1"/>
  <c r="U12" i="1" s="1"/>
  <c r="F14" i="4"/>
  <c r="K14" i="4"/>
  <c r="M14" i="4"/>
  <c r="U13" i="1" s="1"/>
  <c r="D15" i="4"/>
  <c r="F15" i="4"/>
  <c r="S14" i="1" s="1"/>
  <c r="S14" i="36" s="1"/>
  <c r="K15" i="4"/>
  <c r="M15" i="4" s="1"/>
  <c r="U14" i="1" s="1"/>
  <c r="U14" i="36" s="1"/>
  <c r="F16" i="4"/>
  <c r="K16" i="4"/>
  <c r="M16" i="4" s="1"/>
  <c r="U15" i="1" s="1"/>
  <c r="D17" i="4"/>
  <c r="L16" i="1" s="1"/>
  <c r="K17" i="4"/>
  <c r="M17" i="4" s="1"/>
  <c r="U16" i="1" s="1"/>
  <c r="D18" i="4"/>
  <c r="F18" i="4" s="1"/>
  <c r="K18" i="4"/>
  <c r="M18" i="4" s="1"/>
  <c r="U17" i="1" s="1"/>
  <c r="D19" i="4"/>
  <c r="L18" i="1" s="1"/>
  <c r="L23" i="36" s="1"/>
  <c r="L25" i="36" s="1"/>
  <c r="K19" i="4"/>
  <c r="F20" i="4"/>
  <c r="K20" i="4"/>
  <c r="M20" i="4"/>
  <c r="F21" i="4"/>
  <c r="K21" i="4"/>
  <c r="M21" i="4" s="1"/>
  <c r="U20" i="1" s="1"/>
  <c r="D23" i="4"/>
  <c r="E23" i="4"/>
  <c r="E25" i="4" s="1"/>
  <c r="L23" i="4"/>
  <c r="M25" i="4"/>
  <c r="F26" i="4"/>
  <c r="L26" i="4"/>
  <c r="L28" i="4"/>
  <c r="D9" i="19"/>
  <c r="C10" i="19"/>
  <c r="D10" i="19"/>
  <c r="C12" i="19"/>
  <c r="D12" i="19"/>
  <c r="E12" i="19"/>
  <c r="C13" i="19"/>
  <c r="D13" i="19"/>
  <c r="E13" i="19" s="1"/>
  <c r="D14" i="19"/>
  <c r="E14" i="19"/>
  <c r="D15" i="19"/>
  <c r="C16" i="19"/>
  <c r="E16" i="19" s="1"/>
  <c r="D16" i="19"/>
  <c r="D17" i="19"/>
  <c r="C18" i="19"/>
  <c r="D18" i="19"/>
  <c r="E18" i="19" s="1"/>
  <c r="D19" i="19"/>
  <c r="D20" i="19"/>
  <c r="C25" i="19"/>
  <c r="D25" i="19"/>
  <c r="E25" i="19"/>
  <c r="C32" i="19"/>
  <c r="D32" i="19"/>
  <c r="E32" i="19"/>
  <c r="C33" i="19"/>
  <c r="D33" i="19"/>
  <c r="E33" i="19" s="1"/>
  <c r="C34" i="19"/>
  <c r="D34" i="19"/>
  <c r="E34" i="19" s="1"/>
  <c r="D9" i="3"/>
  <c r="D10" i="3"/>
  <c r="D11" i="3"/>
  <c r="C11" i="19" s="1"/>
  <c r="E11" i="3"/>
  <c r="D11" i="19" s="1"/>
  <c r="E11" i="19" s="1"/>
  <c r="D12" i="3"/>
  <c r="F12" i="3"/>
  <c r="D13" i="3"/>
  <c r="F13" i="3"/>
  <c r="D14" i="3"/>
  <c r="C14" i="19" s="1"/>
  <c r="D15" i="3"/>
  <c r="F15" i="3" s="1"/>
  <c r="T15" i="1" s="1"/>
  <c r="D16" i="3"/>
  <c r="F16" i="3"/>
  <c r="T16" i="1" s="1"/>
  <c r="D17" i="3"/>
  <c r="C17" i="19" s="1"/>
  <c r="F17" i="3"/>
  <c r="D18" i="3"/>
  <c r="E18" i="3"/>
  <c r="F18" i="3" s="1"/>
  <c r="D19" i="3"/>
  <c r="F19" i="3" s="1"/>
  <c r="D20" i="3"/>
  <c r="D22" i="3"/>
  <c r="D27" i="3" s="1"/>
  <c r="E22" i="3"/>
  <c r="D24" i="3"/>
  <c r="C24" i="19" s="1"/>
  <c r="E24" i="3"/>
  <c r="D24" i="19" s="1"/>
  <c r="F25" i="3"/>
  <c r="E27" i="3"/>
  <c r="F32" i="3"/>
  <c r="F33" i="3"/>
  <c r="F34" i="3"/>
  <c r="A3" i="9"/>
  <c r="C9" i="9"/>
  <c r="H9" i="9" s="1"/>
  <c r="D9" i="9"/>
  <c r="E9" i="9"/>
  <c r="F9" i="9"/>
  <c r="G9" i="9"/>
  <c r="I9" i="9"/>
  <c r="J9" i="9"/>
  <c r="K9" i="9"/>
  <c r="C10" i="9"/>
  <c r="D10" i="9"/>
  <c r="E10" i="9"/>
  <c r="F10" i="9"/>
  <c r="G10" i="9"/>
  <c r="I10" i="9"/>
  <c r="J10" i="9"/>
  <c r="C11" i="9"/>
  <c r="H11" i="9" s="1"/>
  <c r="K11" i="9" s="1"/>
  <c r="D11" i="9"/>
  <c r="E11" i="9"/>
  <c r="F11" i="9"/>
  <c r="G11" i="9"/>
  <c r="I11" i="9"/>
  <c r="J11" i="9"/>
  <c r="C12" i="9"/>
  <c r="D12" i="9"/>
  <c r="E12" i="9"/>
  <c r="F12" i="9"/>
  <c r="G12" i="9"/>
  <c r="H12" i="9"/>
  <c r="I12" i="9"/>
  <c r="J12" i="9"/>
  <c r="C13" i="9"/>
  <c r="H13" i="9" s="1"/>
  <c r="K13" i="9" s="1"/>
  <c r="D13" i="9"/>
  <c r="F13" i="9"/>
  <c r="G13" i="9"/>
  <c r="I13" i="9"/>
  <c r="J13" i="9"/>
  <c r="C14" i="9"/>
  <c r="D14" i="9"/>
  <c r="E14" i="9"/>
  <c r="F14" i="9"/>
  <c r="G14" i="9"/>
  <c r="I14" i="9"/>
  <c r="J14" i="9"/>
  <c r="C15" i="9"/>
  <c r="D15" i="9"/>
  <c r="E15" i="9"/>
  <c r="F15" i="9"/>
  <c r="G15" i="9"/>
  <c r="G20" i="9" s="1"/>
  <c r="I15" i="9"/>
  <c r="J15" i="9"/>
  <c r="C16" i="9"/>
  <c r="D16" i="9"/>
  <c r="E16" i="9"/>
  <c r="F16" i="9"/>
  <c r="G16" i="9"/>
  <c r="I16" i="9"/>
  <c r="J16" i="9"/>
  <c r="C17" i="9"/>
  <c r="H17" i="9" s="1"/>
  <c r="K17" i="9" s="1"/>
  <c r="D17" i="9"/>
  <c r="E17" i="9"/>
  <c r="F17" i="9"/>
  <c r="G17" i="9"/>
  <c r="I17" i="9"/>
  <c r="J17" i="9"/>
  <c r="C18" i="9"/>
  <c r="D18" i="9"/>
  <c r="H18" i="9" s="1"/>
  <c r="K18" i="9" s="1"/>
  <c r="E18" i="9"/>
  <c r="F18" i="9"/>
  <c r="G18" i="9"/>
  <c r="I18" i="9"/>
  <c r="J18" i="9"/>
  <c r="C19" i="9"/>
  <c r="H19" i="9" s="1"/>
  <c r="K19" i="9" s="1"/>
  <c r="D19" i="9"/>
  <c r="E19" i="9"/>
  <c r="F19" i="9"/>
  <c r="G19" i="9"/>
  <c r="I19" i="9"/>
  <c r="J19" i="9"/>
  <c r="J20" i="9"/>
  <c r="C21" i="9"/>
  <c r="D21" i="9"/>
  <c r="E21" i="9"/>
  <c r="F21" i="9"/>
  <c r="G21" i="9"/>
  <c r="I21" i="9"/>
  <c r="J21" i="9"/>
  <c r="C22" i="9"/>
  <c r="D22" i="9"/>
  <c r="E22" i="9"/>
  <c r="F22" i="9"/>
  <c r="G22" i="9"/>
  <c r="H22" i="9"/>
  <c r="K22" i="9" s="1"/>
  <c r="I22" i="9"/>
  <c r="J22" i="9"/>
  <c r="C23" i="9"/>
  <c r="D23" i="9"/>
  <c r="E23" i="9"/>
  <c r="F23" i="9"/>
  <c r="G23" i="9"/>
  <c r="I23" i="9"/>
  <c r="J23" i="9"/>
  <c r="C24" i="9"/>
  <c r="D24" i="9"/>
  <c r="H24" i="9" s="1"/>
  <c r="K24" i="9" s="1"/>
  <c r="E24" i="9"/>
  <c r="F24" i="9"/>
  <c r="G24" i="9"/>
  <c r="I24" i="9"/>
  <c r="J24" i="9"/>
  <c r="C25" i="9"/>
  <c r="D25" i="9"/>
  <c r="E25" i="9"/>
  <c r="F25" i="9"/>
  <c r="G25" i="9"/>
  <c r="I25" i="9"/>
  <c r="J25" i="9"/>
  <c r="C26" i="9"/>
  <c r="D26" i="9"/>
  <c r="H26" i="9" s="1"/>
  <c r="E26" i="9"/>
  <c r="F26" i="9"/>
  <c r="G26" i="9"/>
  <c r="I26" i="9"/>
  <c r="J26" i="9"/>
  <c r="C30" i="9"/>
  <c r="D30" i="9"/>
  <c r="E30" i="9"/>
  <c r="G30" i="9"/>
  <c r="I30" i="9"/>
  <c r="J30" i="9"/>
  <c r="B4" i="2"/>
  <c r="B4" i="3" s="1"/>
  <c r="A4" i="19" s="1"/>
  <c r="I10" i="2"/>
  <c r="L10" i="2" s="1"/>
  <c r="N10" i="2"/>
  <c r="E11" i="2"/>
  <c r="I11" i="2"/>
  <c r="I12" i="2"/>
  <c r="L12" i="2" s="1"/>
  <c r="M12" i="2"/>
  <c r="N12" i="2"/>
  <c r="I13" i="2"/>
  <c r="L13" i="2"/>
  <c r="N13" i="2" s="1"/>
  <c r="F14" i="2"/>
  <c r="E13" i="9" s="1"/>
  <c r="I14" i="2"/>
  <c r="L14" i="2" s="1"/>
  <c r="N14" i="2" s="1"/>
  <c r="I15" i="2"/>
  <c r="I16" i="2"/>
  <c r="L16" i="2" s="1"/>
  <c r="N16" i="2" s="1"/>
  <c r="I17" i="2"/>
  <c r="L17" i="2" s="1"/>
  <c r="N17" i="2"/>
  <c r="I18" i="2"/>
  <c r="L18" i="2"/>
  <c r="N18" i="2" s="1"/>
  <c r="I19" i="2"/>
  <c r="L19" i="2"/>
  <c r="N19" i="2" s="1"/>
  <c r="I20" i="2"/>
  <c r="L20" i="2"/>
  <c r="N20" i="2" s="1"/>
  <c r="D21" i="2"/>
  <c r="D29" i="2" s="1"/>
  <c r="D33" i="2" s="1"/>
  <c r="E21" i="2"/>
  <c r="F21" i="2"/>
  <c r="G21" i="2"/>
  <c r="H21" i="2"/>
  <c r="K21" i="2"/>
  <c r="I22" i="2"/>
  <c r="L22" i="2" s="1"/>
  <c r="N22" i="2" s="1"/>
  <c r="G23" i="2"/>
  <c r="I23" i="2" s="1"/>
  <c r="L23" i="2"/>
  <c r="N23" i="2" s="1"/>
  <c r="I24" i="2"/>
  <c r="L24" i="2" s="1"/>
  <c r="N24" i="2" s="1"/>
  <c r="I25" i="2"/>
  <c r="L25" i="2" s="1"/>
  <c r="M25" i="2"/>
  <c r="N25" i="2"/>
  <c r="I26" i="2"/>
  <c r="L26" i="2"/>
  <c r="N26" i="2" s="1"/>
  <c r="I27" i="2"/>
  <c r="L27" i="2"/>
  <c r="N27" i="2" s="1"/>
  <c r="E29" i="2"/>
  <c r="G29" i="2"/>
  <c r="G33" i="2" s="1"/>
  <c r="H29" i="2"/>
  <c r="J29" i="2"/>
  <c r="M29" i="2"/>
  <c r="G31" i="2"/>
  <c r="M31" i="2"/>
  <c r="E33" i="2"/>
  <c r="H33" i="2"/>
  <c r="J33" i="2"/>
  <c r="M33" i="2"/>
  <c r="F9" i="8"/>
  <c r="J9" i="8"/>
  <c r="L9" i="8"/>
  <c r="N9" i="8" s="1"/>
  <c r="M9" i="8"/>
  <c r="F15" i="8"/>
  <c r="J15" i="8"/>
  <c r="L15" i="8"/>
  <c r="M15" i="8"/>
  <c r="N15" i="8"/>
  <c r="F16" i="8"/>
  <c r="J16" i="8"/>
  <c r="L16" i="8"/>
  <c r="N16" i="8" s="1"/>
  <c r="M16" i="8"/>
  <c r="C9" i="1"/>
  <c r="D9" i="1"/>
  <c r="G9" i="1"/>
  <c r="H9" i="1"/>
  <c r="I9" i="1"/>
  <c r="L9" i="1"/>
  <c r="N9" i="1"/>
  <c r="S9" i="1"/>
  <c r="S9" i="36" s="1"/>
  <c r="C10" i="1"/>
  <c r="D10" i="1"/>
  <c r="E10" i="1" s="1"/>
  <c r="H10" i="1"/>
  <c r="I10" i="1"/>
  <c r="I10" i="36" s="1"/>
  <c r="N10" i="1"/>
  <c r="C11" i="1"/>
  <c r="D11" i="1"/>
  <c r="E11" i="1"/>
  <c r="G11" i="1"/>
  <c r="H11" i="1"/>
  <c r="I11" i="1"/>
  <c r="L11" i="1"/>
  <c r="M11" i="1"/>
  <c r="N11" i="1"/>
  <c r="C12" i="1"/>
  <c r="D12" i="1"/>
  <c r="E12" i="1" s="1"/>
  <c r="G12" i="1"/>
  <c r="H12" i="1"/>
  <c r="I12" i="1"/>
  <c r="M12" i="1"/>
  <c r="N12" i="1"/>
  <c r="N12" i="36" s="1"/>
  <c r="T12" i="1"/>
  <c r="C13" i="1"/>
  <c r="D13" i="1"/>
  <c r="E13" i="1" s="1"/>
  <c r="G13" i="1"/>
  <c r="H13" i="1"/>
  <c r="I13" i="1"/>
  <c r="L13" i="1"/>
  <c r="M13" i="1"/>
  <c r="N13" i="1"/>
  <c r="S13" i="1"/>
  <c r="T13" i="1"/>
  <c r="C14" i="1"/>
  <c r="D14" i="1"/>
  <c r="E14" i="1"/>
  <c r="H14" i="1"/>
  <c r="L14" i="1"/>
  <c r="M14" i="1"/>
  <c r="N14" i="1"/>
  <c r="N14" i="36" s="1"/>
  <c r="C15" i="1"/>
  <c r="D15" i="1"/>
  <c r="D15" i="36" s="1"/>
  <c r="E15" i="1"/>
  <c r="G15" i="1"/>
  <c r="J15" i="1" s="1"/>
  <c r="C14" i="37" s="1"/>
  <c r="O14" i="37" s="1"/>
  <c r="Q14" i="37" s="1"/>
  <c r="H15" i="1"/>
  <c r="I15" i="1"/>
  <c r="L15" i="1"/>
  <c r="M15" i="1"/>
  <c r="N15" i="1"/>
  <c r="S15" i="1"/>
  <c r="S15" i="36" s="1"/>
  <c r="C16" i="1"/>
  <c r="D16" i="1"/>
  <c r="E16" i="1"/>
  <c r="G16" i="1"/>
  <c r="H16" i="1"/>
  <c r="I16" i="1"/>
  <c r="M16" i="1"/>
  <c r="C17" i="1"/>
  <c r="D17" i="1"/>
  <c r="E17" i="1"/>
  <c r="H17" i="1"/>
  <c r="I17" i="1"/>
  <c r="L17" i="1"/>
  <c r="M17" i="1"/>
  <c r="N17" i="1"/>
  <c r="N22" i="36" s="1"/>
  <c r="S17" i="1"/>
  <c r="T17" i="1"/>
  <c r="C18" i="1"/>
  <c r="D18" i="1"/>
  <c r="E18" i="1" s="1"/>
  <c r="G18" i="1"/>
  <c r="H18" i="1"/>
  <c r="I18" i="1"/>
  <c r="M18" i="1"/>
  <c r="T18" i="1"/>
  <c r="C19" i="1"/>
  <c r="D19" i="1"/>
  <c r="E19" i="1" s="1"/>
  <c r="G19" i="1"/>
  <c r="H19" i="1"/>
  <c r="I19" i="1"/>
  <c r="L19" i="1"/>
  <c r="M19" i="1"/>
  <c r="N19" i="1"/>
  <c r="S19" i="1"/>
  <c r="T19" i="1"/>
  <c r="U19" i="1"/>
  <c r="C20" i="1"/>
  <c r="D20" i="1"/>
  <c r="E20" i="1"/>
  <c r="G20" i="1"/>
  <c r="J20" i="1" s="1"/>
  <c r="H20" i="1"/>
  <c r="I20" i="1"/>
  <c r="L20" i="1"/>
  <c r="N20" i="1"/>
  <c r="N17" i="36" s="1"/>
  <c r="Q20" i="1"/>
  <c r="S20" i="1"/>
  <c r="C22" i="1"/>
  <c r="K22" i="1"/>
  <c r="R22" i="1"/>
  <c r="R29" i="1" s="1"/>
  <c r="R33" i="1" s="1"/>
  <c r="D24" i="1"/>
  <c r="T24" i="1" s="1"/>
  <c r="E24" i="1"/>
  <c r="J24" i="1"/>
  <c r="L24" i="1"/>
  <c r="M24" i="1"/>
  <c r="D25" i="1"/>
  <c r="H24" i="37" s="1"/>
  <c r="L24" i="37" s="1"/>
  <c r="E25" i="1"/>
  <c r="J25" i="1"/>
  <c r="C26" i="1"/>
  <c r="D26" i="1"/>
  <c r="E26" i="1"/>
  <c r="H26" i="1"/>
  <c r="I26" i="1"/>
  <c r="M26" i="1"/>
  <c r="T26" i="1"/>
  <c r="J27" i="1"/>
  <c r="Q27" i="1"/>
  <c r="V28" i="1"/>
  <c r="K29" i="1"/>
  <c r="E31" i="1"/>
  <c r="G31" i="1"/>
  <c r="G37" i="36" s="1"/>
  <c r="J37" i="36" s="1"/>
  <c r="O37" i="36" s="1"/>
  <c r="H31" i="1"/>
  <c r="I31" i="1"/>
  <c r="T31" i="1"/>
  <c r="K33" i="1"/>
  <c r="G35" i="1"/>
  <c r="Q3" i="37"/>
  <c r="D8" i="37"/>
  <c r="G8" i="37"/>
  <c r="H8" i="37"/>
  <c r="L8" i="37"/>
  <c r="D9" i="37"/>
  <c r="G9" i="37"/>
  <c r="H9" i="37"/>
  <c r="I9" i="37" s="1"/>
  <c r="P9" i="37"/>
  <c r="D10" i="37"/>
  <c r="G10" i="37"/>
  <c r="P10" i="37" s="1"/>
  <c r="H10" i="37"/>
  <c r="L10" i="37"/>
  <c r="D11" i="37"/>
  <c r="L11" i="37" s="1"/>
  <c r="G11" i="37"/>
  <c r="P11" i="37" s="1"/>
  <c r="H11" i="37"/>
  <c r="D12" i="37"/>
  <c r="G12" i="37"/>
  <c r="I12" i="37" s="1"/>
  <c r="H12" i="37"/>
  <c r="L12" i="37"/>
  <c r="D13" i="37"/>
  <c r="L13" i="37" s="1"/>
  <c r="G13" i="37"/>
  <c r="H13" i="37"/>
  <c r="I13" i="37" s="1"/>
  <c r="P13" i="37"/>
  <c r="D14" i="37"/>
  <c r="E14" i="37"/>
  <c r="G14" i="37"/>
  <c r="P14" i="37" s="1"/>
  <c r="H14" i="37"/>
  <c r="I14" i="37" s="1"/>
  <c r="L14" i="37"/>
  <c r="D15" i="37"/>
  <c r="L15" i="37" s="1"/>
  <c r="G15" i="37"/>
  <c r="H15" i="37"/>
  <c r="I15" i="37" s="1"/>
  <c r="P15" i="37"/>
  <c r="D16" i="37"/>
  <c r="G16" i="37"/>
  <c r="I16" i="37" s="1"/>
  <c r="H16" i="37"/>
  <c r="L16" i="37"/>
  <c r="P16" i="37"/>
  <c r="D17" i="37"/>
  <c r="H17" i="37"/>
  <c r="D18" i="37"/>
  <c r="G18" i="37"/>
  <c r="P18" i="37" s="1"/>
  <c r="H18" i="37"/>
  <c r="I18" i="37"/>
  <c r="L18" i="37"/>
  <c r="C19" i="37"/>
  <c r="E19" i="37" s="1"/>
  <c r="D19" i="37"/>
  <c r="L19" i="37" s="1"/>
  <c r="G19" i="37"/>
  <c r="H19" i="37"/>
  <c r="I19" i="37" s="1"/>
  <c r="P19" i="37"/>
  <c r="H21" i="37"/>
  <c r="E23" i="37"/>
  <c r="G23" i="37"/>
  <c r="K23" i="37" s="1"/>
  <c r="H23" i="37"/>
  <c r="O23" i="37"/>
  <c r="P23" i="37"/>
  <c r="Q23" i="37"/>
  <c r="E24" i="37"/>
  <c r="O24" i="37"/>
  <c r="G25" i="37"/>
  <c r="P25" i="37" s="1"/>
  <c r="H25" i="37"/>
  <c r="C26" i="37"/>
  <c r="D26" i="37"/>
  <c r="E26" i="37" s="1"/>
  <c r="D30" i="37"/>
  <c r="G30" i="37"/>
  <c r="I40" i="37" s="1"/>
  <c r="H30" i="37"/>
  <c r="I30" i="37" s="1"/>
  <c r="L30" i="37"/>
  <c r="E45" i="37"/>
  <c r="I45" i="37"/>
  <c r="C9" i="36"/>
  <c r="C19" i="36" s="1"/>
  <c r="D9" i="36"/>
  <c r="G9" i="36"/>
  <c r="H9" i="36"/>
  <c r="I9" i="36"/>
  <c r="J9" i="36"/>
  <c r="L9" i="36"/>
  <c r="N9" i="36"/>
  <c r="N19" i="36" s="1"/>
  <c r="C10" i="36"/>
  <c r="H10" i="36"/>
  <c r="N10" i="36"/>
  <c r="U10" i="36"/>
  <c r="C11" i="36"/>
  <c r="D11" i="36"/>
  <c r="E11" i="36"/>
  <c r="G11" i="36"/>
  <c r="H11" i="36"/>
  <c r="I11" i="36"/>
  <c r="J11" i="36"/>
  <c r="O11" i="36" s="1"/>
  <c r="L11" i="36"/>
  <c r="M11" i="36"/>
  <c r="N11" i="36"/>
  <c r="U11" i="36"/>
  <c r="C12" i="36"/>
  <c r="G12" i="36"/>
  <c r="H12" i="36"/>
  <c r="I12" i="36"/>
  <c r="J12" i="36"/>
  <c r="M12" i="36"/>
  <c r="T12" i="36"/>
  <c r="U12" i="36"/>
  <c r="C13" i="36"/>
  <c r="D13" i="36"/>
  <c r="G13" i="36"/>
  <c r="J13" i="36" s="1"/>
  <c r="O13" i="36" s="1"/>
  <c r="H13" i="36"/>
  <c r="I13" i="36"/>
  <c r="L13" i="36"/>
  <c r="M13" i="36"/>
  <c r="N13" i="36"/>
  <c r="S13" i="36"/>
  <c r="T13" i="36"/>
  <c r="U13" i="36"/>
  <c r="C14" i="36"/>
  <c r="D14" i="36"/>
  <c r="E14" i="36"/>
  <c r="H14" i="36"/>
  <c r="L14" i="36"/>
  <c r="M14" i="36"/>
  <c r="C15" i="36"/>
  <c r="E15" i="36" s="1"/>
  <c r="H15" i="36"/>
  <c r="I15" i="36"/>
  <c r="L15" i="36"/>
  <c r="M15" i="36"/>
  <c r="N15" i="36"/>
  <c r="T15" i="36"/>
  <c r="U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V16" i="36" s="1"/>
  <c r="S16" i="36"/>
  <c r="T16" i="36"/>
  <c r="U16" i="36"/>
  <c r="C17" i="36"/>
  <c r="D17" i="36"/>
  <c r="E17" i="36"/>
  <c r="G17" i="36"/>
  <c r="J17" i="36" s="1"/>
  <c r="H17" i="36"/>
  <c r="I17" i="36"/>
  <c r="L17" i="36"/>
  <c r="S17" i="36"/>
  <c r="U17" i="36"/>
  <c r="H19" i="36"/>
  <c r="H28" i="36" s="1"/>
  <c r="H35" i="36" s="1"/>
  <c r="H39" i="36" s="1"/>
  <c r="K19" i="36"/>
  <c r="R19" i="36"/>
  <c r="R28" i="36" s="1"/>
  <c r="R35" i="36" s="1"/>
  <c r="R39" i="36" s="1"/>
  <c r="C21" i="36"/>
  <c r="C25" i="36" s="1"/>
  <c r="D21" i="36"/>
  <c r="D25" i="36" s="1"/>
  <c r="E21" i="36"/>
  <c r="E25" i="36" s="1"/>
  <c r="G21" i="36"/>
  <c r="H21" i="36"/>
  <c r="I21" i="36"/>
  <c r="L21" i="36"/>
  <c r="M21" i="36"/>
  <c r="M25" i="36" s="1"/>
  <c r="T21" i="36"/>
  <c r="U21" i="36"/>
  <c r="C22" i="36"/>
  <c r="D22" i="36"/>
  <c r="E22" i="36"/>
  <c r="H22" i="36"/>
  <c r="I22" i="36"/>
  <c r="I25" i="36" s="1"/>
  <c r="L22" i="36"/>
  <c r="M22" i="36"/>
  <c r="S22" i="36"/>
  <c r="T22" i="36"/>
  <c r="U22" i="36"/>
  <c r="C23" i="36"/>
  <c r="D23" i="36"/>
  <c r="E23" i="36"/>
  <c r="G23" i="36"/>
  <c r="J23" i="36" s="1"/>
  <c r="H23" i="36"/>
  <c r="I23" i="36"/>
  <c r="M23" i="36"/>
  <c r="T23" i="36"/>
  <c r="F25" i="36"/>
  <c r="H25" i="36"/>
  <c r="K25" i="36"/>
  <c r="R25" i="36"/>
  <c r="T25" i="36"/>
  <c r="F28" i="36"/>
  <c r="K28" i="36"/>
  <c r="C30" i="36"/>
  <c r="D30" i="36"/>
  <c r="E30" i="36"/>
  <c r="G30" i="36"/>
  <c r="H30" i="36"/>
  <c r="I30" i="36"/>
  <c r="L30" i="36"/>
  <c r="M30" i="36"/>
  <c r="N30" i="36"/>
  <c r="S30" i="36"/>
  <c r="T30" i="36"/>
  <c r="U30" i="36"/>
  <c r="C31" i="36"/>
  <c r="E31" i="36" s="1"/>
  <c r="D31" i="36"/>
  <c r="G31" i="36"/>
  <c r="H31" i="36"/>
  <c r="I31" i="36"/>
  <c r="L31" i="36"/>
  <c r="M31" i="36"/>
  <c r="S31" i="36"/>
  <c r="U31" i="36"/>
  <c r="C32" i="36"/>
  <c r="E32" i="36" s="1"/>
  <c r="D32" i="36"/>
  <c r="H32" i="36"/>
  <c r="I32" i="36"/>
  <c r="L32" i="36"/>
  <c r="M32" i="36"/>
  <c r="N32" i="36"/>
  <c r="S32" i="36"/>
  <c r="T32" i="36"/>
  <c r="U32" i="36"/>
  <c r="C33" i="36"/>
  <c r="G33" i="36"/>
  <c r="H33" i="36"/>
  <c r="I33" i="36"/>
  <c r="M33" i="36"/>
  <c r="N33" i="36"/>
  <c r="Q33" i="36"/>
  <c r="T33" i="36"/>
  <c r="U33" i="36"/>
  <c r="V34" i="36"/>
  <c r="K35" i="36"/>
  <c r="K39" i="36" s="1"/>
  <c r="C37" i="36"/>
  <c r="E37" i="36" s="1"/>
  <c r="D37" i="36"/>
  <c r="H37" i="36"/>
  <c r="I37" i="36"/>
  <c r="L37" i="36"/>
  <c r="M37" i="36"/>
  <c r="N37" i="36"/>
  <c r="S37" i="36"/>
  <c r="T37" i="36"/>
  <c r="U37" i="36"/>
  <c r="G41" i="36"/>
  <c r="I13" i="8"/>
  <c r="H14" i="8"/>
  <c r="D10" i="8"/>
  <c r="I14" i="8"/>
  <c r="E11" i="8"/>
  <c r="I10" i="8"/>
  <c r="I11" i="8"/>
  <c r="I12" i="8"/>
  <c r="H13" i="8"/>
  <c r="E13" i="8"/>
  <c r="D12" i="8"/>
  <c r="E12" i="8"/>
  <c r="E10" i="8"/>
  <c r="H10" i="8"/>
  <c r="H12" i="8"/>
  <c r="H11" i="8"/>
  <c r="D13" i="8"/>
  <c r="D14" i="8"/>
  <c r="E14" i="8"/>
  <c r="D11" i="8"/>
  <c r="L11" i="8" l="1"/>
  <c r="F11" i="8"/>
  <c r="M14" i="8"/>
  <c r="F14" i="8"/>
  <c r="L14" i="8"/>
  <c r="N14" i="8" s="1"/>
  <c r="F13" i="8"/>
  <c r="L13" i="8"/>
  <c r="N13" i="8" s="1"/>
  <c r="J11" i="8"/>
  <c r="J12" i="8"/>
  <c r="J10" i="8"/>
  <c r="J18" i="8" s="1"/>
  <c r="H18" i="8"/>
  <c r="M10" i="8"/>
  <c r="M18" i="8" s="1"/>
  <c r="E18" i="8"/>
  <c r="M12" i="8"/>
  <c r="L12" i="8"/>
  <c r="N12" i="8" s="1"/>
  <c r="F12" i="8"/>
  <c r="M13" i="8"/>
  <c r="J13" i="8"/>
  <c r="I18" i="8"/>
  <c r="M11" i="8"/>
  <c r="D18" i="8"/>
  <c r="F10" i="8"/>
  <c r="F18" i="8" s="1"/>
  <c r="L10" i="8"/>
  <c r="J14" i="8"/>
  <c r="O23" i="36"/>
  <c r="O17" i="36"/>
  <c r="C28" i="36"/>
  <c r="C35" i="36" s="1"/>
  <c r="C39" i="36" s="1"/>
  <c r="V20" i="1"/>
  <c r="D22" i="1"/>
  <c r="D29" i="1" s="1"/>
  <c r="D33" i="1" s="1"/>
  <c r="M19" i="4"/>
  <c r="U18" i="1" s="1"/>
  <c r="U23" i="36" s="1"/>
  <c r="U25" i="36" s="1"/>
  <c r="N18" i="1"/>
  <c r="N23" i="36" s="1"/>
  <c r="D12" i="36"/>
  <c r="E12" i="36" s="1"/>
  <c r="E9" i="36"/>
  <c r="P30" i="37"/>
  <c r="I25" i="37"/>
  <c r="G17" i="37"/>
  <c r="P17" i="37" s="1"/>
  <c r="I11" i="37"/>
  <c r="I8" i="37"/>
  <c r="P8" i="37"/>
  <c r="Q25" i="1"/>
  <c r="I28" i="9"/>
  <c r="I32" i="9" s="1"/>
  <c r="E13" i="36"/>
  <c r="D10" i="36"/>
  <c r="E10" i="36" s="1"/>
  <c r="O26" i="37"/>
  <c r="J18" i="1"/>
  <c r="Q15" i="1"/>
  <c r="K19" i="37"/>
  <c r="M19" i="37" s="1"/>
  <c r="O15" i="1"/>
  <c r="E9" i="19"/>
  <c r="Q17" i="36"/>
  <c r="V17" i="36" s="1"/>
  <c r="D21" i="37"/>
  <c r="D28" i="37" s="1"/>
  <c r="D32" i="37" s="1"/>
  <c r="L9" i="37"/>
  <c r="L21" i="37" s="1"/>
  <c r="D27" i="1"/>
  <c r="L17" i="37"/>
  <c r="L11" i="2"/>
  <c r="N11" i="2" s="1"/>
  <c r="G10" i="1"/>
  <c r="F20" i="9"/>
  <c r="F28" i="9" s="1"/>
  <c r="H14" i="9"/>
  <c r="O19" i="37"/>
  <c r="Q19" i="37" s="1"/>
  <c r="J31" i="36"/>
  <c r="K14" i="37"/>
  <c r="M14" i="37" s="1"/>
  <c r="P12" i="37"/>
  <c r="I21" i="2"/>
  <c r="L15" i="2"/>
  <c r="N15" i="2" s="1"/>
  <c r="J33" i="36"/>
  <c r="G15" i="36"/>
  <c r="J15" i="36" s="1"/>
  <c r="O15" i="36" s="1"/>
  <c r="L23" i="37"/>
  <c r="M23" i="37" s="1"/>
  <c r="I23" i="37"/>
  <c r="G21" i="37"/>
  <c r="O24" i="1"/>
  <c r="Q24" i="1"/>
  <c r="K29" i="2"/>
  <c r="K33" i="2" s="1"/>
  <c r="I14" i="1"/>
  <c r="J30" i="36"/>
  <c r="O30" i="36" s="1"/>
  <c r="J21" i="36"/>
  <c r="H26" i="37"/>
  <c r="I17" i="37"/>
  <c r="I10" i="37"/>
  <c r="J31" i="1"/>
  <c r="H22" i="1"/>
  <c r="H29" i="1" s="1"/>
  <c r="H33" i="1" s="1"/>
  <c r="H15" i="9"/>
  <c r="K15" i="9" s="1"/>
  <c r="E20" i="9"/>
  <c r="E28" i="9" s="1"/>
  <c r="E32" i="9" s="1"/>
  <c r="G17" i="1"/>
  <c r="N16" i="1"/>
  <c r="N21" i="36" s="1"/>
  <c r="N25" i="36" s="1"/>
  <c r="N28" i="36" s="1"/>
  <c r="N35" i="36" s="1"/>
  <c r="N39" i="36" s="1"/>
  <c r="H25" i="9"/>
  <c r="K25" i="9" s="1"/>
  <c r="H10" i="9"/>
  <c r="K10" i="9" s="1"/>
  <c r="E24" i="19"/>
  <c r="E15" i="19"/>
  <c r="E10" i="19"/>
  <c r="L12" i="1"/>
  <c r="L12" i="36" s="1"/>
  <c r="O12" i="36" s="1"/>
  <c r="F13" i="4"/>
  <c r="S12" i="1" s="1"/>
  <c r="S12" i="36" s="1"/>
  <c r="J13" i="1"/>
  <c r="J9" i="1"/>
  <c r="J28" i="9"/>
  <c r="J32" i="9" s="1"/>
  <c r="D25" i="4"/>
  <c r="F25" i="4" s="1"/>
  <c r="S27" i="1" s="1"/>
  <c r="D28" i="4"/>
  <c r="J16" i="1"/>
  <c r="J11" i="1"/>
  <c r="E9" i="1"/>
  <c r="E22" i="1" s="1"/>
  <c r="H23" i="9"/>
  <c r="K23" i="9" s="1"/>
  <c r="H16" i="9"/>
  <c r="K16" i="9" s="1"/>
  <c r="D20" i="9"/>
  <c r="D28" i="9" s="1"/>
  <c r="D32" i="9" s="1"/>
  <c r="E39" i="37" s="1"/>
  <c r="C20" i="9"/>
  <c r="C28" i="9" s="1"/>
  <c r="C32" i="9" s="1"/>
  <c r="C20" i="19"/>
  <c r="E20" i="19" s="1"/>
  <c r="I38" i="37" s="1"/>
  <c r="M20" i="1"/>
  <c r="M17" i="36" s="1"/>
  <c r="F20" i="3"/>
  <c r="T20" i="1" s="1"/>
  <c r="T17" i="36" s="1"/>
  <c r="M10" i="1"/>
  <c r="M10" i="36" s="1"/>
  <c r="F10" i="3"/>
  <c r="T10" i="1" s="1"/>
  <c r="T10" i="36" s="1"/>
  <c r="L10" i="36"/>
  <c r="H21" i="9"/>
  <c r="K21" i="9" s="1"/>
  <c r="K12" i="9"/>
  <c r="G28" i="9"/>
  <c r="G32" i="9" s="1"/>
  <c r="C9" i="19"/>
  <c r="M9" i="1"/>
  <c r="F9" i="3"/>
  <c r="E17" i="19"/>
  <c r="D22" i="19"/>
  <c r="D27" i="19" s="1"/>
  <c r="M23" i="4"/>
  <c r="U9" i="1"/>
  <c r="I20" i="9"/>
  <c r="C29" i="1"/>
  <c r="C33" i="1" s="1"/>
  <c r="D25" i="37"/>
  <c r="J19" i="1"/>
  <c r="J12" i="1"/>
  <c r="F30" i="9"/>
  <c r="H30" i="9" s="1"/>
  <c r="K30" i="9" s="1"/>
  <c r="I31" i="2"/>
  <c r="K26" i="9"/>
  <c r="C19" i="19"/>
  <c r="C22" i="19" s="1"/>
  <c r="C27" i="19" s="1"/>
  <c r="K23" i="4"/>
  <c r="F14" i="3"/>
  <c r="T14" i="1" s="1"/>
  <c r="T14" i="36" s="1"/>
  <c r="F11" i="4"/>
  <c r="F29" i="2"/>
  <c r="F33" i="2" s="1"/>
  <c r="C15" i="19"/>
  <c r="E28" i="4"/>
  <c r="F19" i="4"/>
  <c r="S18" i="1" s="1"/>
  <c r="S23" i="36" s="1"/>
  <c r="F17" i="4"/>
  <c r="S16" i="1" s="1"/>
  <c r="S21" i="36" s="1"/>
  <c r="S25" i="36" s="1"/>
  <c r="F24" i="3"/>
  <c r="F11" i="3"/>
  <c r="T11" i="1" s="1"/>
  <c r="T11" i="36" s="1"/>
  <c r="S33" i="36" l="1"/>
  <c r="V33" i="36" s="1"/>
  <c r="V27" i="1"/>
  <c r="I42" i="37"/>
  <c r="C12" i="37"/>
  <c r="Q13" i="1"/>
  <c r="O13" i="1"/>
  <c r="Q30" i="36"/>
  <c r="V30" i="36" s="1"/>
  <c r="V24" i="1"/>
  <c r="L21" i="2"/>
  <c r="N21" i="2" s="1"/>
  <c r="N29" i="2" s="1"/>
  <c r="N33" i="2" s="1"/>
  <c r="G14" i="1"/>
  <c r="I21" i="37"/>
  <c r="F23" i="4"/>
  <c r="F28" i="4" s="1"/>
  <c r="S10" i="1"/>
  <c r="O16" i="1"/>
  <c r="Q16" i="1"/>
  <c r="C15" i="37"/>
  <c r="J10" i="1"/>
  <c r="G22" i="1"/>
  <c r="G10" i="36"/>
  <c r="C18" i="37"/>
  <c r="Q19" i="1"/>
  <c r="V19" i="1" s="1"/>
  <c r="O19" i="1"/>
  <c r="J17" i="1"/>
  <c r="G22" i="36"/>
  <c r="I29" i="2"/>
  <c r="I33" i="2" s="1"/>
  <c r="E46" i="37" s="1"/>
  <c r="E48" i="37" s="1"/>
  <c r="L25" i="37"/>
  <c r="F22" i="3"/>
  <c r="F27" i="3" s="1"/>
  <c r="T9" i="1"/>
  <c r="M22" i="1"/>
  <c r="M29" i="1" s="1"/>
  <c r="M33" i="1" s="1"/>
  <c r="M9" i="36"/>
  <c r="L29" i="2"/>
  <c r="I22" i="1"/>
  <c r="I29" i="1" s="1"/>
  <c r="I33" i="1" s="1"/>
  <c r="I14" i="36"/>
  <c r="I19" i="36" s="1"/>
  <c r="I28" i="36" s="1"/>
  <c r="I35" i="36" s="1"/>
  <c r="I39" i="36" s="1"/>
  <c r="Q31" i="36"/>
  <c r="E19" i="36"/>
  <c r="E28" i="36" s="1"/>
  <c r="E35" i="36" s="1"/>
  <c r="E39" i="36" s="1"/>
  <c r="E29" i="1"/>
  <c r="E33" i="1" s="1"/>
  <c r="O31" i="1"/>
  <c r="Q31" i="1"/>
  <c r="C30" i="37"/>
  <c r="E27" i="1"/>
  <c r="D33" i="36"/>
  <c r="E33" i="36" s="1"/>
  <c r="V15" i="1"/>
  <c r="Q15" i="36"/>
  <c r="V15" i="36" s="1"/>
  <c r="D19" i="36"/>
  <c r="D28" i="36" s="1"/>
  <c r="D35" i="36" s="1"/>
  <c r="D39" i="36" s="1"/>
  <c r="N11" i="8"/>
  <c r="L31" i="2"/>
  <c r="N31" i="2" s="1"/>
  <c r="G26" i="1"/>
  <c r="U22" i="1"/>
  <c r="U29" i="1" s="1"/>
  <c r="U33" i="1" s="1"/>
  <c r="U9" i="36"/>
  <c r="U19" i="36" s="1"/>
  <c r="U28" i="36" s="1"/>
  <c r="U35" i="36" s="1"/>
  <c r="U39" i="36" s="1"/>
  <c r="C8" i="37"/>
  <c r="O9" i="1"/>
  <c r="Q9" i="1"/>
  <c r="O20" i="1"/>
  <c r="K14" i="9"/>
  <c r="K20" i="9" s="1"/>
  <c r="K28" i="9" s="1"/>
  <c r="H20" i="9"/>
  <c r="H28" i="9" s="1"/>
  <c r="N22" i="1"/>
  <c r="O18" i="1"/>
  <c r="Q18" i="1"/>
  <c r="C17" i="37"/>
  <c r="P21" i="37"/>
  <c r="L28" i="37"/>
  <c r="L32" i="37" s="1"/>
  <c r="N10" i="8"/>
  <c r="N18" i="8" s="1"/>
  <c r="L18" i="8"/>
  <c r="L22" i="1"/>
  <c r="L29" i="1" s="1"/>
  <c r="L33" i="1" s="1"/>
  <c r="L26" i="37"/>
  <c r="H28" i="37"/>
  <c r="H32" i="37" s="1"/>
  <c r="C10" i="37"/>
  <c r="O11" i="1"/>
  <c r="Q11" i="1"/>
  <c r="E38" i="37"/>
  <c r="E22" i="19"/>
  <c r="E27" i="19" s="1"/>
  <c r="I39" i="37"/>
  <c r="F32" i="9"/>
  <c r="E40" i="37" s="1"/>
  <c r="K28" i="4"/>
  <c r="K26" i="4"/>
  <c r="L27" i="1"/>
  <c r="G26" i="37"/>
  <c r="I26" i="37" s="1"/>
  <c r="Q12" i="1"/>
  <c r="C11" i="37"/>
  <c r="O12" i="1"/>
  <c r="L19" i="36"/>
  <c r="L28" i="36" s="1"/>
  <c r="L35" i="36" s="1"/>
  <c r="L39" i="36" s="1"/>
  <c r="O21" i="36"/>
  <c r="O10" i="1" l="1"/>
  <c r="Q10" i="1"/>
  <c r="C9" i="37"/>
  <c r="V12" i="1"/>
  <c r="Q12" i="36"/>
  <c r="V12" i="36" s="1"/>
  <c r="V18" i="1"/>
  <c r="Q23" i="36"/>
  <c r="V23" i="36" s="1"/>
  <c r="C16" i="37"/>
  <c r="Q17" i="1"/>
  <c r="O17" i="1"/>
  <c r="K15" i="37"/>
  <c r="M15" i="37" s="1"/>
  <c r="O15" i="37"/>
  <c r="Q15" i="37" s="1"/>
  <c r="E15" i="37"/>
  <c r="E42" i="37"/>
  <c r="O8" i="37"/>
  <c r="K8" i="37"/>
  <c r="E8" i="37"/>
  <c r="V16" i="1"/>
  <c r="Q21" i="36"/>
  <c r="O27" i="1"/>
  <c r="L33" i="36"/>
  <c r="O33" i="36" s="1"/>
  <c r="H32" i="9"/>
  <c r="K32" i="9" s="1"/>
  <c r="T22" i="1"/>
  <c r="T9" i="36"/>
  <c r="T19" i="36" s="1"/>
  <c r="T28" i="36" s="1"/>
  <c r="T35" i="36" s="1"/>
  <c r="T39" i="36" s="1"/>
  <c r="N25" i="1"/>
  <c r="M26" i="4"/>
  <c r="M28" i="4" s="1"/>
  <c r="O18" i="37"/>
  <c r="Q18" i="37" s="1"/>
  <c r="K18" i="37"/>
  <c r="M18" i="37" s="1"/>
  <c r="E18" i="37"/>
  <c r="S10" i="36"/>
  <c r="S19" i="36" s="1"/>
  <c r="S28" i="36" s="1"/>
  <c r="S35" i="36" s="1"/>
  <c r="S39" i="36" s="1"/>
  <c r="S22" i="1"/>
  <c r="S29" i="1" s="1"/>
  <c r="S33" i="1" s="1"/>
  <c r="V13" i="1"/>
  <c r="Q13" i="36"/>
  <c r="V13" i="36" s="1"/>
  <c r="O12" i="37"/>
  <c r="Q12" i="37" s="1"/>
  <c r="K12" i="37"/>
  <c r="M12" i="37" s="1"/>
  <c r="E12" i="37"/>
  <c r="V11" i="1"/>
  <c r="Q11" i="36"/>
  <c r="V11" i="36" s="1"/>
  <c r="G32" i="36"/>
  <c r="J32" i="36" s="1"/>
  <c r="O32" i="36" s="1"/>
  <c r="J26" i="1"/>
  <c r="J10" i="36"/>
  <c r="G19" i="36"/>
  <c r="G29" i="1"/>
  <c r="G33" i="1" s="1"/>
  <c r="V9" i="1"/>
  <c r="Q9" i="36"/>
  <c r="V31" i="1"/>
  <c r="Q37" i="36"/>
  <c r="V37" i="36" s="1"/>
  <c r="K11" i="37"/>
  <c r="M11" i="37" s="1"/>
  <c r="O11" i="37"/>
  <c r="Q11" i="37" s="1"/>
  <c r="E11" i="37"/>
  <c r="K17" i="37"/>
  <c r="M17" i="37" s="1"/>
  <c r="O17" i="37"/>
  <c r="Q17" i="37" s="1"/>
  <c r="E17" i="37"/>
  <c r="M19" i="36"/>
  <c r="M28" i="36" s="1"/>
  <c r="M35" i="36" s="1"/>
  <c r="M39" i="36" s="1"/>
  <c r="O9" i="36"/>
  <c r="J22" i="36"/>
  <c r="G25" i="36"/>
  <c r="K30" i="37"/>
  <c r="M30" i="37" s="1"/>
  <c r="O30" i="37"/>
  <c r="Q30" i="37" s="1"/>
  <c r="E30" i="37"/>
  <c r="O10" i="37"/>
  <c r="Q10" i="37" s="1"/>
  <c r="E10" i="37"/>
  <c r="K10" i="37"/>
  <c r="M10" i="37" s="1"/>
  <c r="L33" i="2"/>
  <c r="J14" i="1"/>
  <c r="G14" i="36"/>
  <c r="J14" i="36" s="1"/>
  <c r="O14" i="36" s="1"/>
  <c r="J22" i="1"/>
  <c r="P26" i="37"/>
  <c r="Q26" i="37" s="1"/>
  <c r="K26" i="37"/>
  <c r="M26" i="37" s="1"/>
  <c r="N29" i="1"/>
  <c r="N33" i="1" s="1"/>
  <c r="O22" i="36" l="1"/>
  <c r="O25" i="36" s="1"/>
  <c r="J25" i="36"/>
  <c r="V9" i="36"/>
  <c r="Q14" i="1"/>
  <c r="O14" i="1"/>
  <c r="O22" i="1" s="1"/>
  <c r="C13" i="37"/>
  <c r="O10" i="36"/>
  <c r="J19" i="36"/>
  <c r="J28" i="36" s="1"/>
  <c r="J35" i="36" s="1"/>
  <c r="T25" i="1"/>
  <c r="N31" i="36"/>
  <c r="O31" i="36" s="1"/>
  <c r="G24" i="37"/>
  <c r="O25" i="1"/>
  <c r="K9" i="37"/>
  <c r="M9" i="37" s="1"/>
  <c r="O9" i="37"/>
  <c r="Q9" i="37" s="1"/>
  <c r="E9" i="37"/>
  <c r="V10" i="1"/>
  <c r="Q10" i="36"/>
  <c r="V10" i="36" s="1"/>
  <c r="G28" i="36"/>
  <c r="G35" i="36" s="1"/>
  <c r="G39" i="36" s="1"/>
  <c r="T29" i="1"/>
  <c r="T33" i="1" s="1"/>
  <c r="M8" i="37"/>
  <c r="V17" i="1"/>
  <c r="Q22" i="36"/>
  <c r="V22" i="36" s="1"/>
  <c r="O19" i="36"/>
  <c r="O28" i="36" s="1"/>
  <c r="Q8" i="37"/>
  <c r="O16" i="37"/>
  <c r="Q16" i="37" s="1"/>
  <c r="K16" i="37"/>
  <c r="M16" i="37" s="1"/>
  <c r="E16" i="37"/>
  <c r="V21" i="36"/>
  <c r="C25" i="37"/>
  <c r="Q26" i="1"/>
  <c r="O26" i="1"/>
  <c r="J29" i="1"/>
  <c r="J33" i="1" s="1"/>
  <c r="O33" i="1" s="1"/>
  <c r="C21" i="37"/>
  <c r="C28" i="37" s="1"/>
  <c r="C32" i="37" s="1"/>
  <c r="O29" i="1" l="1"/>
  <c r="V26" i="1"/>
  <c r="Q32" i="36"/>
  <c r="V32" i="36" s="1"/>
  <c r="O25" i="37"/>
  <c r="Q25" i="37" s="1"/>
  <c r="K25" i="37"/>
  <c r="M25" i="37" s="1"/>
  <c r="E25" i="37"/>
  <c r="T31" i="36"/>
  <c r="V31" i="36" s="1"/>
  <c r="V25" i="1"/>
  <c r="Q25" i="36"/>
  <c r="O35" i="36"/>
  <c r="J39" i="36"/>
  <c r="O39" i="36" s="1"/>
  <c r="V25" i="36"/>
  <c r="P24" i="37"/>
  <c r="K24" i="37"/>
  <c r="M24" i="37" s="1"/>
  <c r="I24" i="37"/>
  <c r="I28" i="37" s="1"/>
  <c r="I32" i="37" s="1"/>
  <c r="G28" i="37"/>
  <c r="G32" i="37" s="1"/>
  <c r="I46" i="37" s="1"/>
  <c r="I48" i="37" s="1"/>
  <c r="V14" i="1"/>
  <c r="V22" i="1" s="1"/>
  <c r="V29" i="1" s="1"/>
  <c r="V33" i="1" s="1"/>
  <c r="Q14" i="36"/>
  <c r="V14" i="36" s="1"/>
  <c r="V19" i="36" s="1"/>
  <c r="V28" i="36" s="1"/>
  <c r="V35" i="36" s="1"/>
  <c r="V39" i="36" s="1"/>
  <c r="Q22" i="1"/>
  <c r="Q29" i="1" s="1"/>
  <c r="Q33" i="1" s="1"/>
  <c r="K13" i="37"/>
  <c r="M13" i="37" s="1"/>
  <c r="M21" i="37" s="1"/>
  <c r="M28" i="37" s="1"/>
  <c r="M32" i="37" s="1"/>
  <c r="O13" i="37"/>
  <c r="E13" i="37"/>
  <c r="E21" i="37" s="1"/>
  <c r="E28" i="37" s="1"/>
  <c r="E32" i="37" s="1"/>
  <c r="Q24" i="37" l="1"/>
  <c r="P28" i="37"/>
  <c r="P32" i="37" s="1"/>
  <c r="Q19" i="36"/>
  <c r="Q28" i="36" s="1"/>
  <c r="Q35" i="36" s="1"/>
  <c r="Q39" i="36" s="1"/>
  <c r="K21" i="37"/>
  <c r="K28" i="37" s="1"/>
  <c r="K32" i="37" s="1"/>
  <c r="Q13" i="37"/>
  <c r="Q21" i="37" s="1"/>
  <c r="Q28" i="37" s="1"/>
  <c r="Q32" i="37" s="1"/>
  <c r="O21" i="37"/>
  <c r="O28" i="37" s="1"/>
  <c r="O32" i="37" s="1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<sst xmlns="http://schemas.openxmlformats.org/spreadsheetml/2006/main" count="427" uniqueCount="133">
  <si>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</si>
  <si>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</si>
  <si>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</si>
  <si>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</si>
  <si>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</si>
  <si>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</si>
  <si>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</si>
  <si>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</si>
  <si>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</si>
  <si>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</si>
  <si>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</si>
  <si>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</si>
  <si>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</si>
  <si>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</si>
  <si>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</si>
  <si>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</si>
  <si>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</si>
  <si>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</si>
  <si>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</si>
  <si>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</si>
  <si>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</si>
  <si>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</si>
  <si>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</si>
  <si>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</si>
  <si>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</si>
  <si>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</si>
  <si>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</si>
  <si>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</si>
  <si>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</si>
  <si>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</si>
  <si>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</si>
  <si>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</si>
  <si>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</si>
  <si>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</si>
  <si>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</si>
  <si>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</si>
  <si>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</si>
  <si>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</si>
  <si>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</si>
  <si>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</si>
  <si>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</si>
  <si>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</si>
  <si>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</si>
  <si>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</si>
  <si>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</si>
  <si>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</si>
  <si>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</si>
  <si>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</si>
  <si>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</si>
  <si>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</si>
  <si>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</si>
  <si>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</si>
  <si>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</si>
  <si>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</si>
  <si>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</si>
  <si>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</si>
  <si>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</si>
  <si>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</si>
  <si>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</si>
  <si>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</si>
  <si>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</si>
  <si>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</si>
  <si>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</si>
  <si>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</si>
  <si>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</si>
  <si>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</si>
  <si>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</si>
  <si>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</si>
  <si>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</si>
  <si>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</si>
  <si>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</si>
  <si>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</si>
  <si>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</si>
  <si>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</si>
  <si>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</si>
  <si>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</si>
  <si>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</si>
  <si>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</si>
  <si>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</si>
  <si>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</si>
  <si>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</si>
  <si>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</si>
  <si>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</si>
  <si>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</si>
  <si>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</si>
  <si>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</si>
  <si>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</si>
  <si>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</si>
  <si>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</si>
  <si>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</si>
  <si>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</si>
  <si>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</si>
  <si>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</si>
  <si>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</si>
  <si>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</si>
  <si>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</si>
  <si>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</si>
  <si>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</si>
  <si>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</si>
  <si>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</si>
  <si>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</si>
  <si>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</si>
  <si>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</si>
  <si>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</si>
  <si>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</si>
  <si>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</si>
  <si>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</si>
  <si>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</si>
  <si>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</si>
  <si>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</si>
  <si>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</si>
  <si>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</si>
  <si>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</si>
  <si>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</si>
  <si>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</si>
  <si>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</si>
  <si>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</si>
  <si>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</si>
  <si>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</si>
  <si>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</si>
  <si>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</si>
  <si>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</si>
  <si>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</si>
  <si>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</si>
  <si>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</si>
  <si>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</si>
  <si>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</si>
  <si>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Finance and Structuring</t>
  </si>
  <si>
    <t>Crude &amp; Products</t>
  </si>
  <si>
    <t>Freight</t>
  </si>
  <si>
    <t>Peaker expenses to ENA</t>
  </si>
  <si>
    <t>Envera Service Fee</t>
  </si>
  <si>
    <t>Results based on activity through March 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</si>
</sst>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39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8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8" xfId="1" applyNumberFormat="1" applyFont="1" applyBorder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165" fontId="18" fillId="0" borderId="8" xfId="1" applyNumberFormat="1" applyFont="1" applyFill="1" applyBorder="1"/>
    <xf numFmtId="165" fontId="47" fillId="0" borderId="8" xfId="1" applyNumberFormat="1" applyFont="1" applyFill="1" applyBorder="1"/>
    <xf numFmtId="165" fontId="47" fillId="0" borderId="10" xfId="1" applyNumberFormat="1" applyFont="1" applyFill="1" applyBorder="1"/>
    <xf numFmtId="165" fontId="17" fillId="0" borderId="0" xfId="1" applyNumberFormat="1" applyFont="1" applyFill="1" applyBorder="1" applyAlignment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6" fontId="11" fillId="4" borderId="0" xfId="0" quotePrefix="1" applyNumberFormat="1" applyFont="1" applyFill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1" name="Text Box 7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2" name="Text Box 8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2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>
        <row r="8">
          <cell r="C8">
            <v>9598</v>
          </cell>
          <cell r="G8">
            <v>16841.212</v>
          </cell>
        </row>
        <row r="9">
          <cell r="C9">
            <v>-1591.0340000000001</v>
          </cell>
          <cell r="G9">
            <v>8166.1699999999992</v>
          </cell>
        </row>
        <row r="10">
          <cell r="C10">
            <v>-4589</v>
          </cell>
          <cell r="G10">
            <v>2123.4380000000001</v>
          </cell>
        </row>
        <row r="11">
          <cell r="C11">
            <v>4807</v>
          </cell>
          <cell r="G11">
            <v>4048.2690000000002</v>
          </cell>
        </row>
        <row r="12">
          <cell r="C12">
            <v>114.292</v>
          </cell>
          <cell r="G12">
            <v>1965.9789999999998</v>
          </cell>
        </row>
        <row r="13">
          <cell r="C13">
            <v>7376</v>
          </cell>
          <cell r="G13">
            <v>5545.3940000000002</v>
          </cell>
        </row>
        <row r="14">
          <cell r="C14">
            <v>0</v>
          </cell>
          <cell r="G14">
            <v>633.803</v>
          </cell>
        </row>
        <row r="15">
          <cell r="C15">
            <v>1082</v>
          </cell>
          <cell r="G15">
            <v>2634.0640000000003</v>
          </cell>
        </row>
        <row r="16">
          <cell r="C16">
            <v>165</v>
          </cell>
          <cell r="G16">
            <v>1600.923</v>
          </cell>
        </row>
        <row r="17">
          <cell r="C17">
            <v>-829</v>
          </cell>
          <cell r="G17">
            <v>1433.066</v>
          </cell>
        </row>
        <row r="18">
          <cell r="C18">
            <v>0</v>
          </cell>
          <cell r="G18">
            <v>783.779</v>
          </cell>
        </row>
        <row r="23">
          <cell r="C23">
            <v>0</v>
          </cell>
          <cell r="G23">
            <v>27406.815999999999</v>
          </cell>
        </row>
        <row r="24">
          <cell r="C24">
            <v>0</v>
          </cell>
          <cell r="G24">
            <v>-22667.67</v>
          </cell>
        </row>
        <row r="25">
          <cell r="C25">
            <v>-500</v>
          </cell>
          <cell r="G25">
            <v>0</v>
          </cell>
        </row>
        <row r="26">
          <cell r="C26">
            <v>0</v>
          </cell>
          <cell r="G26">
            <v>-1383.4870000000001</v>
          </cell>
        </row>
        <row r="30">
          <cell r="C30">
            <v>0</v>
          </cell>
          <cell r="G30">
            <v>308</v>
          </cell>
        </row>
      </sheetData>
      <sheetData sheetId="2" refreshError="1"/>
      <sheetData sheetId="3" refreshError="1"/>
      <sheetData sheetId="4">
        <row r="10">
          <cell r="D10">
            <v>8609</v>
          </cell>
          <cell r="E10">
            <v>989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-1705</v>
          </cell>
          <cell r="E11">
            <v>113.96599999999999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-4589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4807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114.292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1876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2341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3173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-14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1044</v>
          </cell>
          <cell r="E23">
            <v>0</v>
          </cell>
          <cell r="F23">
            <v>0</v>
          </cell>
          <cell r="G23">
            <v>38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165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-829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-500</v>
          </cell>
          <cell r="H31">
            <v>0</v>
          </cell>
          <cell r="K31">
            <v>0</v>
          </cell>
        </row>
      </sheetData>
      <sheetData sheetId="5">
        <row r="9">
          <cell r="D9">
            <v>6858.77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1152.6479999999999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272.54199999999997</v>
          </cell>
          <cell r="E18">
            <v>272.54199999999997</v>
          </cell>
        </row>
        <row r="19">
          <cell r="D19">
            <v>712.17</v>
          </cell>
          <cell r="E19">
            <v>712.17</v>
          </cell>
        </row>
        <row r="20">
          <cell r="D20">
            <v>783.36900000000003</v>
          </cell>
          <cell r="E20">
            <v>533.36900000000003</v>
          </cell>
        </row>
        <row r="24">
          <cell r="D24">
            <v>27406.815999999999</v>
          </cell>
          <cell r="E24">
            <v>27406.815999999999</v>
          </cell>
        </row>
        <row r="25">
          <cell r="D25">
            <v>0</v>
          </cell>
          <cell r="E25">
            <v>0</v>
          </cell>
        </row>
        <row r="30">
          <cell r="D30" t="str">
            <v>Operating Expenses</v>
          </cell>
        </row>
        <row r="31">
          <cell r="D31" t="str">
            <v>Forecast</v>
          </cell>
          <cell r="E31" t="str">
            <v>Plan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6.5">
      <c r="A2" s="308" t="s">
        <v>122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6.5">
      <c r="A3" s="309" t="s">
        <v>123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16750.212</v>
      </c>
      <c r="E9" s="135">
        <f>C9-D9</f>
        <v>23249.788</v>
      </c>
      <c r="F9" s="36"/>
      <c r="G9" s="133">
        <f>+'Mgmt Summary'!G9</f>
        <v>11508</v>
      </c>
      <c r="H9" s="36">
        <f>GrossMargin!J10</f>
        <v>0</v>
      </c>
      <c r="I9" s="36">
        <f>+'Mgmt Summary'!I9</f>
        <v>0</v>
      </c>
      <c r="J9" s="136">
        <f>SUM(G9:I9)</f>
        <v>11508</v>
      </c>
      <c r="K9" s="137"/>
      <c r="L9" s="139">
        <f>+'Mgmt Summary'!L9</f>
        <v>0</v>
      </c>
      <c r="M9" s="140">
        <f>+'Mgmt Summary'!M9</f>
        <v>6858.77</v>
      </c>
      <c r="N9" s="140">
        <f>+'Mgmt Summary'!N9</f>
        <v>9982.4419999999991</v>
      </c>
      <c r="O9" s="136">
        <f>J9-K9-M9-N9-L9</f>
        <v>-5333.2119999999995</v>
      </c>
      <c r="P9" s="37"/>
      <c r="Q9" s="133">
        <f>+'Mgmt Summary'!Q9</f>
        <v>-28492</v>
      </c>
      <c r="R9" s="36"/>
      <c r="S9" s="36">
        <f>+'Mgmt Summary'!S9</f>
        <v>0</v>
      </c>
      <c r="T9" s="36">
        <f>+'Mgmt Summary'!T9</f>
        <v>-91</v>
      </c>
      <c r="U9" s="36">
        <f>+'Mgmt Summary'!U9</f>
        <v>0</v>
      </c>
      <c r="V9" s="135">
        <f>ROUND(SUM(Q9:U9),0)</f>
        <v>-28583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8166.17</v>
      </c>
      <c r="E10" s="135">
        <f t="shared" ref="E10:E17" si="0">C10-D10</f>
        <v>5583.83</v>
      </c>
      <c r="F10" s="36"/>
      <c r="G10" s="133">
        <f>+'Mgmt Summary'!G10</f>
        <v>-2477.0340000000001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-2477.0340000000001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3399.6529999999998</v>
      </c>
      <c r="O10" s="136">
        <f t="shared" ref="O10:O17" si="2">J10-K10-M10-N10-L10</f>
        <v>-10643.204000000002</v>
      </c>
      <c r="P10" s="37"/>
      <c r="Q10" s="133">
        <f>+'Mgmt Summary'!Q10</f>
        <v>-16227.034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-16227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2123.4380000000001</v>
      </c>
      <c r="E11" s="135">
        <f t="shared" si="0"/>
        <v>2876.5619999999999</v>
      </c>
      <c r="F11" s="36"/>
      <c r="G11" s="133">
        <f>+'Mgmt Summary'!G11</f>
        <v>-5131</v>
      </c>
      <c r="H11" s="36">
        <f>GrossMargin!J12</f>
        <v>0</v>
      </c>
      <c r="I11" s="36">
        <f>+'Mgmt Summary'!I11</f>
        <v>0</v>
      </c>
      <c r="J11" s="136">
        <f t="shared" si="1"/>
        <v>-5131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870.75699999999995</v>
      </c>
      <c r="O11" s="136">
        <f t="shared" si="2"/>
        <v>-7254.4380000000001</v>
      </c>
      <c r="P11" s="37"/>
      <c r="Q11" s="133">
        <f>+'Mgmt Summary'!Q11</f>
        <v>-10131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-10131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4048.2690000000002</v>
      </c>
      <c r="E12" s="135">
        <f t="shared" si="0"/>
        <v>4460.982</v>
      </c>
      <c r="F12" s="36"/>
      <c r="G12" s="133">
        <f>+'Mgmt Summary'!G12</f>
        <v>4420</v>
      </c>
      <c r="H12" s="36">
        <f>GrossMargin!J13</f>
        <v>0</v>
      </c>
      <c r="I12" s="36">
        <f>+'Mgmt Summary'!I12</f>
        <v>0</v>
      </c>
      <c r="J12" s="136">
        <f t="shared" si="1"/>
        <v>4420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2239.7460000000001</v>
      </c>
      <c r="O12" s="136">
        <f t="shared" si="2"/>
        <v>371.73099999999977</v>
      </c>
      <c r="P12" s="37"/>
      <c r="Q12" s="133">
        <f>+'Mgmt Summary'!Q12</f>
        <v>-4089.2510000000002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-4089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2615.9789999999998</v>
      </c>
      <c r="E13" s="135">
        <f t="shared" si="0"/>
        <v>2259.0210000000002</v>
      </c>
      <c r="F13" s="36"/>
      <c r="G13" s="133">
        <f>+'Mgmt Summary'!G13</f>
        <v>114.292</v>
      </c>
      <c r="H13" s="36">
        <f>GrossMargin!J14</f>
        <v>0</v>
      </c>
      <c r="I13" s="36">
        <f>+'Mgmt Summary'!I13</f>
        <v>0</v>
      </c>
      <c r="J13" s="136">
        <f t="shared" si="1"/>
        <v>114.292</v>
      </c>
      <c r="K13" s="137"/>
      <c r="L13" s="139">
        <f>+'Mgmt Summary'!L13</f>
        <v>0</v>
      </c>
      <c r="M13" s="140">
        <f>+'Mgmt Summary'!M13</f>
        <v>1152.6479999999999</v>
      </c>
      <c r="N13" s="140">
        <f>+'Mgmt Summary'!N13</f>
        <v>813.33100000000002</v>
      </c>
      <c r="O13" s="136">
        <f t="shared" si="2"/>
        <v>-1851.6869999999999</v>
      </c>
      <c r="P13" s="37"/>
      <c r="Q13" s="133">
        <f>+'Mgmt Summary'!Q13</f>
        <v>-4760.7079999999996</v>
      </c>
      <c r="R13" s="36"/>
      <c r="S13" s="36">
        <f>+'Mgmt Summary'!S13</f>
        <v>0</v>
      </c>
      <c r="T13" s="36">
        <f>+'Mgmt Summary'!T13</f>
        <v>650</v>
      </c>
      <c r="U13" s="36">
        <f>+'Mgmt Summary'!U13</f>
        <v>0</v>
      </c>
      <c r="V13" s="135">
        <f t="shared" si="3"/>
        <v>-4111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5545.3940000000002</v>
      </c>
      <c r="E14" s="135">
        <f t="shared" si="0"/>
        <v>14454.606</v>
      </c>
      <c r="F14" s="36"/>
      <c r="G14" s="133">
        <f>+'Mgmt Summary'!G14</f>
        <v>8356</v>
      </c>
      <c r="H14" s="36">
        <f>GrossMargin!J15</f>
        <v>0</v>
      </c>
      <c r="I14" s="36">
        <f>+'Mgmt Summary'!I14</f>
        <v>0</v>
      </c>
      <c r="J14" s="136">
        <f t="shared" si="1"/>
        <v>8356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2078.0079999999998</v>
      </c>
      <c r="O14" s="136">
        <f t="shared" si="2"/>
        <v>2810.6059999999998</v>
      </c>
      <c r="P14" s="37"/>
      <c r="Q14" s="133">
        <f>+'Mgmt Summary'!Q14</f>
        <v>-11644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-11644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633.803</v>
      </c>
      <c r="E15" s="135">
        <f t="shared" si="0"/>
        <v>-133.803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172.096</v>
      </c>
      <c r="O15" s="136">
        <f t="shared" si="2"/>
        <v>-633.803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Summary'!C20</f>
        <v>0</v>
      </c>
      <c r="D17" s="36">
        <f>+'Mgmt Summary'!D20</f>
        <v>1008.636</v>
      </c>
      <c r="E17" s="135">
        <f t="shared" si="0"/>
        <v>-1008.636</v>
      </c>
      <c r="F17" s="36"/>
      <c r="G17" s="133">
        <f>+'Mgmt Summary'!G20</f>
        <v>0</v>
      </c>
      <c r="H17" s="36">
        <f>GrossMargin!J18</f>
        <v>0</v>
      </c>
      <c r="I17" s="36">
        <f>+'Mgmt Summary'!I20</f>
        <v>0</v>
      </c>
      <c r="J17" s="136">
        <f t="shared" si="1"/>
        <v>0</v>
      </c>
      <c r="K17" s="137"/>
      <c r="L17" s="139">
        <f>+'Mgmt Summary'!L20</f>
        <v>0</v>
      </c>
      <c r="M17" s="140">
        <f>+'Mgmt Summary'!M20</f>
        <v>783.36900000000003</v>
      </c>
      <c r="N17" s="140">
        <f>+'Mgmt Summary'!N20</f>
        <v>475.267</v>
      </c>
      <c r="O17" s="136">
        <f t="shared" si="2"/>
        <v>-1258.636</v>
      </c>
      <c r="P17" s="37"/>
      <c r="Q17" s="133">
        <f>+'Mgmt Summary'!Q20</f>
        <v>0</v>
      </c>
      <c r="R17" s="36"/>
      <c r="S17" s="36">
        <f>+'Mgmt Summary'!S20</f>
        <v>0</v>
      </c>
      <c r="T17" s="36">
        <f>+'Mgmt Summary'!T20</f>
        <v>-250</v>
      </c>
      <c r="U17" s="36">
        <f>+'Mgmt Summary'!U20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2634.0640000000003</v>
      </c>
      <c r="E21" s="135">
        <f>C21-D21</f>
        <v>365.93599999999969</v>
      </c>
      <c r="F21" s="36"/>
      <c r="G21" s="133">
        <f>+'Mgmt Summary'!G16</f>
        <v>1568</v>
      </c>
      <c r="H21" s="36">
        <f>GrossMargin!J22</f>
        <v>0</v>
      </c>
      <c r="I21" s="36">
        <f>+'Mgmt Summary'!I16</f>
        <v>0</v>
      </c>
      <c r="J21" s="136">
        <f>SUM(G21:I21)</f>
        <v>1568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1203.8140000000001</v>
      </c>
      <c r="O21" s="136">
        <f>J21-K21-M21-N21-L21</f>
        <v>-1066.0640000000001</v>
      </c>
      <c r="P21" s="37"/>
      <c r="Q21" s="133">
        <f>+'Mgmt Summary'!Q16</f>
        <v>-1432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-1432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1600.923</v>
      </c>
      <c r="E22" s="135">
        <f>C22-D22</f>
        <v>-187.923</v>
      </c>
      <c r="F22" s="36"/>
      <c r="G22" s="133">
        <f>+'Mgmt Summary'!G17</f>
        <v>165</v>
      </c>
      <c r="H22" s="36">
        <f>GrossMargin!J27</f>
        <v>0</v>
      </c>
      <c r="I22" s="36">
        <f>+'Mgmt Summary'!I17</f>
        <v>0</v>
      </c>
      <c r="J22" s="136">
        <f>SUM(G22:I22)</f>
        <v>165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791.423</v>
      </c>
      <c r="O22" s="136">
        <f>J22-K22-M22-N22-L22</f>
        <v>-1435.923</v>
      </c>
      <c r="P22" s="37"/>
      <c r="Q22" s="133">
        <f>+'Mgmt Summary'!Q17</f>
        <v>-1248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-1248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1433.0659999999998</v>
      </c>
      <c r="E23" s="135">
        <f>C23-D23</f>
        <v>-2291.567</v>
      </c>
      <c r="F23" s="36"/>
      <c r="G23" s="133">
        <f>+'Mgmt Summary'!G18</f>
        <v>-829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272.54199999999997</v>
      </c>
      <c r="N23" s="140">
        <f>+'Mgmt Summary'!N18</f>
        <v>569.524</v>
      </c>
      <c r="O23" s="136" t="e">
        <f>J23-K23-M23-N23-L23</f>
        <v>#REF!</v>
      </c>
      <c r="P23" s="37"/>
      <c r="Q23" s="133">
        <f>+'Mgmt Summary'!Q18</f>
        <v>29.501000000000204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30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5668.0529999999999</v>
      </c>
      <c r="E25" s="45">
        <f>SUM(E21:E24)</f>
        <v>-2113.5540000000001</v>
      </c>
      <c r="F25" s="36">
        <f>SUM(F19:F23)</f>
        <v>0</v>
      </c>
      <c r="G25" s="43">
        <f t="shared" ref="G25:O25" si="6">SUM(G21:G24)</f>
        <v>904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2512.2919999999999</v>
      </c>
      <c r="N25" s="44">
        <f t="shared" si="6"/>
        <v>2564.761</v>
      </c>
      <c r="O25" s="46" t="e">
        <f t="shared" si="6"/>
        <v>#REF!</v>
      </c>
      <c r="P25" s="180"/>
      <c r="Q25" s="43">
        <f t="shared" ref="Q25:V25" si="7">SUM(Q21:Q24)</f>
        <v>-2650.4989999999998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-2650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Summary'!C24</f>
        <v>0</v>
      </c>
      <c r="D30" s="36">
        <f>+'Mgmt Summary'!D24</f>
        <v>27406.815999999999</v>
      </c>
      <c r="E30" s="135">
        <f>C30-D30</f>
        <v>-27406.815999999999</v>
      </c>
      <c r="F30" s="36"/>
      <c r="G30" s="133">
        <f>+'Mgmt Summary'!G24</f>
        <v>0</v>
      </c>
      <c r="H30" s="36" t="e">
        <f>GrossMargin!#REF!</f>
        <v>#REF!</v>
      </c>
      <c r="I30" s="36">
        <f>+'Mgmt Summary'!I24</f>
        <v>0</v>
      </c>
      <c r="J30" s="136" t="e">
        <f>SUM(G30:I30)</f>
        <v>#REF!</v>
      </c>
      <c r="K30" s="137"/>
      <c r="L30" s="139">
        <f>+'Mgmt Summary'!L24</f>
        <v>0</v>
      </c>
      <c r="M30" s="140">
        <f>+'Mgmt Summary'!M24</f>
        <v>27406.815999999999</v>
      </c>
      <c r="N30" s="140">
        <f>+'Mgmt Summary'!N24</f>
        <v>0</v>
      </c>
      <c r="O30" s="136" t="e">
        <f>J30-K30-M30-N30-L30</f>
        <v>#REF!</v>
      </c>
      <c r="P30" s="37"/>
      <c r="Q30" s="133">
        <f>+'Mgmt Summary'!Q24</f>
        <v>0</v>
      </c>
      <c r="R30" s="36"/>
      <c r="S30" s="36">
        <f>+'Mgmt Summary'!S24</f>
        <v>0</v>
      </c>
      <c r="T30" s="36">
        <f>+'Mgmt Summary'!T24</f>
        <v>0</v>
      </c>
      <c r="U30" s="36">
        <f>+'Mgmt Summary'!U24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Summary'!C25</f>
        <v>0</v>
      </c>
      <c r="D31" s="36">
        <f>+'Mgmt Summary'!D25</f>
        <v>-22667.67</v>
      </c>
      <c r="E31" s="135">
        <f>C31-D31</f>
        <v>22667.67</v>
      </c>
      <c r="F31" s="36"/>
      <c r="G31" s="133">
        <f>+'Mgmt Summary'!G25</f>
        <v>0</v>
      </c>
      <c r="H31" s="36" t="e">
        <f>GrossMargin!#REF!</f>
        <v>#REF!</v>
      </c>
      <c r="I31" s="36">
        <f>+'Mgmt Summary'!I25</f>
        <v>0</v>
      </c>
      <c r="J31" s="136" t="e">
        <f>SUM(G31:I31)</f>
        <v>#REF!</v>
      </c>
      <c r="K31" s="137"/>
      <c r="L31" s="139">
        <f>+'Mgmt Summary'!L25</f>
        <v>0</v>
      </c>
      <c r="M31" s="140">
        <f>+'Mgmt Summary'!M25</f>
        <v>0</v>
      </c>
      <c r="N31" s="140">
        <f>+'Mgmt Summary'!N25</f>
        <v>-22667.67</v>
      </c>
      <c r="O31" s="136" t="e">
        <f>J31-K31-M31-N31-L31</f>
        <v>#REF!</v>
      </c>
      <c r="P31" s="37"/>
      <c r="Q31" s="133">
        <f>+'Mgmt Summary'!Q25</f>
        <v>0</v>
      </c>
      <c r="R31" s="36"/>
      <c r="S31" s="36">
        <f>+'Mgmt Summary'!S25</f>
        <v>0</v>
      </c>
      <c r="T31" s="36">
        <f>+'Mgmt Summary'!T25</f>
        <v>0</v>
      </c>
      <c r="U31" s="36">
        <f>+'Mgmt Summary'!U25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Summary'!C26</f>
        <v>-500</v>
      </c>
      <c r="D32" s="36">
        <f>+'Mgmt Summary'!D26</f>
        <v>0</v>
      </c>
      <c r="E32" s="135">
        <f>C32-D32</f>
        <v>-500</v>
      </c>
      <c r="F32" s="36"/>
      <c r="G32" s="133">
        <f>+'Mgmt Summary'!G26</f>
        <v>-500</v>
      </c>
      <c r="H32" s="36" t="e">
        <f>GrossMargin!#REF!</f>
        <v>#REF!</v>
      </c>
      <c r="I32" s="36">
        <f>+'Mgmt Summary'!I26</f>
        <v>0</v>
      </c>
      <c r="J32" s="136" t="e">
        <f>SUM(G32:I32)</f>
        <v>#REF!</v>
      </c>
      <c r="K32" s="137"/>
      <c r="L32" s="139">
        <f>+'Mgmt Summary'!L26</f>
        <v>0</v>
      </c>
      <c r="M32" s="140">
        <f>+'Mgmt Summary'!M26</f>
        <v>0</v>
      </c>
      <c r="N32" s="140">
        <f>+'Mgmt Summary'!N26</f>
        <v>0</v>
      </c>
      <c r="O32" s="136" t="e">
        <f>J32-K32-M32-N32-L32</f>
        <v>#REF!</v>
      </c>
      <c r="P32" s="37"/>
      <c r="Q32" s="133">
        <f>+'Mgmt Summary'!Q26</f>
        <v>0</v>
      </c>
      <c r="R32" s="36"/>
      <c r="S32" s="36">
        <f>+'Mgmt Summary'!S26</f>
        <v>0</v>
      </c>
      <c r="T32" s="36">
        <f>+'Mgmt Summary'!T26</f>
        <v>0</v>
      </c>
      <c r="U32" s="36">
        <f>+'Mgmt Summary'!U26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Summary'!C27</f>
        <v>0</v>
      </c>
      <c r="D33" s="36">
        <f>+'Mgmt Summary'!D27</f>
        <v>-1383.4870000000001</v>
      </c>
      <c r="E33" s="135">
        <f>C33-D33</f>
        <v>1383.4870000000001</v>
      </c>
      <c r="F33" s="36"/>
      <c r="G33" s="133">
        <f>+'Mgmt Summary'!G27</f>
        <v>0</v>
      </c>
      <c r="H33" s="36">
        <f>GrossMargin!J28</f>
        <v>0</v>
      </c>
      <c r="I33" s="36">
        <f>+'Mgmt Summary'!I27</f>
        <v>0</v>
      </c>
      <c r="J33" s="136">
        <f>SUM(G33:I33)</f>
        <v>0</v>
      </c>
      <c r="K33" s="137"/>
      <c r="L33" s="139">
        <f>+'Mgmt Summary'!L27</f>
        <v>-1383.4870000000001</v>
      </c>
      <c r="M33" s="140">
        <f>+'Mgmt Summary'!M27</f>
        <v>0</v>
      </c>
      <c r="N33" s="140">
        <f>+'Mgmt Summary'!N27</f>
        <v>0</v>
      </c>
      <c r="O33" s="136">
        <f>J33-K33-M33-N33-L33</f>
        <v>1383.4870000000001</v>
      </c>
      <c r="P33" s="37"/>
      <c r="Q33" s="133">
        <f>+'Mgmt Summary'!Q27</f>
        <v>0</v>
      </c>
      <c r="R33" s="36"/>
      <c r="S33" s="36">
        <f>+'Mgmt Summary'!S27</f>
        <v>0</v>
      </c>
      <c r="T33" s="36">
        <f>+'Mgmt Summary'!T27</f>
        <v>0</v>
      </c>
      <c r="U33" s="36">
        <f>+'Mgmt Summary'!U27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Summary'!C31</f>
        <v>0</v>
      </c>
      <c r="D37" s="36">
        <f>+'Mgmt Summary'!D31</f>
        <v>308</v>
      </c>
      <c r="E37" s="135">
        <f>C37-D37</f>
        <v>-308</v>
      </c>
      <c r="F37" s="36"/>
      <c r="G37" s="133">
        <f>+'Mgmt Summary'!G31</f>
        <v>0</v>
      </c>
      <c r="H37" s="36">
        <f>GrossMargin!J32</f>
        <v>0</v>
      </c>
      <c r="I37" s="36">
        <f>+'Mgmt Summary'!I31</f>
        <v>0</v>
      </c>
      <c r="J37" s="136">
        <f>SUM(G37:I37)</f>
        <v>0</v>
      </c>
      <c r="K37" s="137"/>
      <c r="L37" s="139">
        <f>+'Mgmt Summary'!L31</f>
        <v>0</v>
      </c>
      <c r="M37" s="140">
        <f>+'Mgmt Summary'!M31</f>
        <v>308</v>
      </c>
      <c r="N37" s="140">
        <f>+'Mgmt Summary'!N31</f>
        <v>0</v>
      </c>
      <c r="O37" s="136">
        <f>J37-K37-M37-N37-L37</f>
        <v>-308</v>
      </c>
      <c r="P37" s="37"/>
      <c r="Q37" s="133">
        <f>+'Mgmt Summary'!Q31</f>
        <v>0</v>
      </c>
      <c r="R37" s="36"/>
      <c r="S37" s="36">
        <f>+'Mgmt Summary'!S31</f>
        <v>0</v>
      </c>
      <c r="T37" s="36">
        <f>+'Mgmt Summary'!T31</f>
        <v>0</v>
      </c>
      <c r="U37" s="36">
        <f>+'Mgmt Summary'!U31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+'GM-WeeklyChnge'!C38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9"/>
  <sheetViews>
    <sheetView tabSelected="1" zoomScale="95" workbookViewId="0">
      <selection activeCell="A3" sqref="A3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117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March 2,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1" t="s">
        <v>87</v>
      </c>
      <c r="L5" s="312"/>
      <c r="M5" s="313"/>
      <c r="N5" s="288"/>
      <c r="O5" s="311" t="s">
        <v>116</v>
      </c>
      <c r="P5" s="312"/>
      <c r="Q5" s="313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114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128</v>
      </c>
      <c r="B8" s="224"/>
      <c r="C8" s="225">
        <f>+'Mgmt Summary'!J9</f>
        <v>11508</v>
      </c>
      <c r="D8" s="226">
        <f>+'Mgmt Summary'!C9</f>
        <v>40000</v>
      </c>
      <c r="E8" s="227">
        <f t="shared" ref="E8:E13" si="0">-D8+C8</f>
        <v>-28492</v>
      </c>
      <c r="F8" s="228"/>
      <c r="G8" s="225">
        <f>+Expenses!D9+'CapChrg-AllocExp'!K10+'CapChrg-AllocExp'!D10</f>
        <v>16841.212</v>
      </c>
      <c r="H8" s="226">
        <f>+Expenses!E9+'CapChrg-AllocExp'!L10+'CapChrg-AllocExp'!E10</f>
        <v>16750.212</v>
      </c>
      <c r="I8" s="227">
        <f t="shared" ref="I8:I14" si="1">+H8-G8</f>
        <v>-91</v>
      </c>
      <c r="J8" s="228"/>
      <c r="K8" s="225">
        <f>+C8-G8</f>
        <v>-5333.2119999999995</v>
      </c>
      <c r="L8" s="226">
        <f t="shared" ref="K8:L13" si="2">D8-H8</f>
        <v>23249.788</v>
      </c>
      <c r="M8" s="227">
        <f t="shared" ref="M8:M13" si="3">K8-L8</f>
        <v>-28583</v>
      </c>
      <c r="N8" s="290"/>
      <c r="O8" s="225">
        <f>+C8-'[1]QTD Mgmt Summary'!C8</f>
        <v>1910</v>
      </c>
      <c r="P8" s="226">
        <f>-G8+'[1]QTD Mgmt Summary'!G8</f>
        <v>0</v>
      </c>
      <c r="Q8" s="227">
        <f>+O8+P8</f>
        <v>1910</v>
      </c>
    </row>
    <row r="9" spans="1:22" s="32" customFormat="1" ht="13.5" customHeight="1">
      <c r="A9" s="223" t="s">
        <v>1</v>
      </c>
      <c r="B9" s="224"/>
      <c r="C9" s="225">
        <f>+'Mgmt Summary'!J10</f>
        <v>-2477.0340000000001</v>
      </c>
      <c r="D9" s="226">
        <f>+'Mgmt Summary'!C10</f>
        <v>13750</v>
      </c>
      <c r="E9" s="227">
        <f t="shared" si="0"/>
        <v>-16227.034</v>
      </c>
      <c r="F9" s="228"/>
      <c r="G9" s="225">
        <f>+Expenses!D10+'CapChrg-AllocExp'!K11+'CapChrg-AllocExp'!D11</f>
        <v>8166.1699999999992</v>
      </c>
      <c r="H9" s="226">
        <f>+Expenses!E10+'CapChrg-AllocExp'!L11+'CapChrg-AllocExp'!E11</f>
        <v>8166.1699999999992</v>
      </c>
      <c r="I9" s="227">
        <f t="shared" si="1"/>
        <v>0</v>
      </c>
      <c r="J9" s="228"/>
      <c r="K9" s="225">
        <f t="shared" si="2"/>
        <v>-10643.204</v>
      </c>
      <c r="L9" s="226">
        <f t="shared" si="2"/>
        <v>5583.8300000000008</v>
      </c>
      <c r="M9" s="227">
        <f t="shared" si="3"/>
        <v>-16227.034</v>
      </c>
      <c r="N9" s="290"/>
      <c r="O9" s="225">
        <f>+C9-'[1]QTD Mgmt Summary'!C9</f>
        <v>-886</v>
      </c>
      <c r="P9" s="226">
        <f>-G9+'[1]QTD Mgmt Summary'!G9</f>
        <v>0</v>
      </c>
      <c r="Q9" s="227">
        <f t="shared" ref="Q9:Q16" si="4">+O9+P9</f>
        <v>-886</v>
      </c>
    </row>
    <row r="10" spans="1:22" s="32" customFormat="1" ht="13.5" customHeight="1">
      <c r="A10" s="223" t="s">
        <v>44</v>
      </c>
      <c r="B10" s="224"/>
      <c r="C10" s="225">
        <f>+'Mgmt Summary'!J11</f>
        <v>-5131</v>
      </c>
      <c r="D10" s="226">
        <f>+'Mgmt Summary'!C11</f>
        <v>5000</v>
      </c>
      <c r="E10" s="227">
        <f t="shared" si="0"/>
        <v>-10131</v>
      </c>
      <c r="F10" s="228"/>
      <c r="G10" s="225">
        <f>+Expenses!D11+'CapChrg-AllocExp'!K12+'CapChrg-AllocExp'!D12</f>
        <v>2123.4380000000001</v>
      </c>
      <c r="H10" s="226">
        <f>+Expenses!E11+'CapChrg-AllocExp'!L12+'CapChrg-AllocExp'!E12</f>
        <v>2123.4380000000001</v>
      </c>
      <c r="I10" s="227">
        <f t="shared" si="1"/>
        <v>0</v>
      </c>
      <c r="J10" s="228"/>
      <c r="K10" s="225">
        <f t="shared" si="2"/>
        <v>-7254.4380000000001</v>
      </c>
      <c r="L10" s="226">
        <f t="shared" si="2"/>
        <v>2876.5619999999999</v>
      </c>
      <c r="M10" s="227">
        <f t="shared" si="3"/>
        <v>-10131</v>
      </c>
      <c r="N10" s="290"/>
      <c r="O10" s="225">
        <f>+C10-'[1]QTD Mgmt Summary'!C10</f>
        <v>-542</v>
      </c>
      <c r="P10" s="226">
        <f>-G10+'[1]QTD Mgmt Summary'!G10</f>
        <v>0</v>
      </c>
      <c r="Q10" s="227">
        <f t="shared" si="4"/>
        <v>-542</v>
      </c>
    </row>
    <row r="11" spans="1:22" s="32" customFormat="1" ht="13.5" customHeight="1">
      <c r="A11" s="223" t="s">
        <v>64</v>
      </c>
      <c r="B11" s="224"/>
      <c r="C11" s="225">
        <f>+'Mgmt Summary'!J12</f>
        <v>4420</v>
      </c>
      <c r="D11" s="226">
        <f>+'Mgmt Summary'!C12</f>
        <v>8509.2510000000002</v>
      </c>
      <c r="E11" s="227">
        <f t="shared" si="0"/>
        <v>-4089.2510000000002</v>
      </c>
      <c r="F11" s="228"/>
      <c r="G11" s="225">
        <f>+Expenses!D12+'CapChrg-AllocExp'!K13+'CapChrg-AllocExp'!D13</f>
        <v>4048.2690000000002</v>
      </c>
      <c r="H11" s="226">
        <f>+Expenses!E12+'CapChrg-AllocExp'!L13+'CapChrg-AllocExp'!E13</f>
        <v>4048.2690000000002</v>
      </c>
      <c r="I11" s="227">
        <f t="shared" si="1"/>
        <v>0</v>
      </c>
      <c r="J11" s="228"/>
      <c r="K11" s="225">
        <f t="shared" si="2"/>
        <v>371.73099999999977</v>
      </c>
      <c r="L11" s="226">
        <f t="shared" si="2"/>
        <v>4460.982</v>
      </c>
      <c r="M11" s="227">
        <f t="shared" si="3"/>
        <v>-4089.2510000000002</v>
      </c>
      <c r="N11" s="290"/>
      <c r="O11" s="225">
        <f>+C11-'[1]QTD Mgmt Summary'!C11</f>
        <v>-387</v>
      </c>
      <c r="P11" s="226">
        <f>-G11+'[1]QTD Mgmt Summary'!G11</f>
        <v>0</v>
      </c>
      <c r="Q11" s="227">
        <f t="shared" si="4"/>
        <v>-387</v>
      </c>
    </row>
    <row r="12" spans="1:22" s="32" customFormat="1" ht="13.5" customHeight="1">
      <c r="A12" s="223" t="s">
        <v>71</v>
      </c>
      <c r="B12" s="224"/>
      <c r="C12" s="225">
        <f>+'Mgmt Summary'!J13</f>
        <v>114.292</v>
      </c>
      <c r="D12" s="226">
        <f>+'Mgmt Summary'!C13</f>
        <v>4875</v>
      </c>
      <c r="E12" s="227">
        <f t="shared" si="0"/>
        <v>-4760.7079999999996</v>
      </c>
      <c r="F12" s="228"/>
      <c r="G12" s="225">
        <f>+Expenses!D13+'CapChrg-AllocExp'!K14+'CapChrg-AllocExp'!D14</f>
        <v>1965.9789999999998</v>
      </c>
      <c r="H12" s="226">
        <f>+Expenses!E13+'CapChrg-AllocExp'!L14+'CapChrg-AllocExp'!E14</f>
        <v>2615.9789999999998</v>
      </c>
      <c r="I12" s="227">
        <f t="shared" si="1"/>
        <v>650</v>
      </c>
      <c r="J12" s="228"/>
      <c r="K12" s="225">
        <f t="shared" si="2"/>
        <v>-1851.6869999999999</v>
      </c>
      <c r="L12" s="226">
        <f t="shared" si="2"/>
        <v>2259.0210000000002</v>
      </c>
      <c r="M12" s="227">
        <f t="shared" si="3"/>
        <v>-4110.7080000000005</v>
      </c>
      <c r="N12" s="290"/>
      <c r="O12" s="225">
        <f>+C12-'[1]QTD Mgmt Summary'!C12</f>
        <v>0</v>
      </c>
      <c r="P12" s="226">
        <f>-G12+'[1]QTD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8356</v>
      </c>
      <c r="D13" s="226">
        <f>+'Mgmt Summary'!C14</f>
        <v>20000</v>
      </c>
      <c r="E13" s="227">
        <f t="shared" si="0"/>
        <v>-11644</v>
      </c>
      <c r="F13" s="228"/>
      <c r="G13" s="225">
        <f>+Expenses!D14+'CapChrg-AllocExp'!K15+'CapChrg-AllocExp'!D15</f>
        <v>5545.3940000000002</v>
      </c>
      <c r="H13" s="226">
        <f>+Expenses!E14+'CapChrg-AllocExp'!L15+'CapChrg-AllocExp'!E15</f>
        <v>5545.3940000000002</v>
      </c>
      <c r="I13" s="227">
        <f t="shared" si="1"/>
        <v>0</v>
      </c>
      <c r="J13" s="228"/>
      <c r="K13" s="225">
        <f t="shared" si="2"/>
        <v>2810.6059999999998</v>
      </c>
      <c r="L13" s="226">
        <f t="shared" si="2"/>
        <v>14454.606</v>
      </c>
      <c r="M13" s="227">
        <f t="shared" si="3"/>
        <v>-11644</v>
      </c>
      <c r="N13" s="290"/>
      <c r="O13" s="225">
        <f>+C13-'[1]QTD Mgmt Summary'!C13</f>
        <v>980</v>
      </c>
      <c r="P13" s="294">
        <f>(-G13+'[1]QTD Mgmt Summary'!G13)*0</f>
        <v>0</v>
      </c>
      <c r="Q13" s="227">
        <f t="shared" si="4"/>
        <v>980</v>
      </c>
    </row>
    <row r="14" spans="1:22" s="32" customFormat="1" ht="13.5" customHeight="1">
      <c r="A14" s="223" t="s">
        <v>129</v>
      </c>
      <c r="B14" s="224"/>
      <c r="C14" s="225">
        <f>+'Mgmt Summary'!J15</f>
        <v>0</v>
      </c>
      <c r="D14" s="226">
        <f>+'Mgmt Summary'!C15</f>
        <v>500</v>
      </c>
      <c r="E14" s="227">
        <f t="shared" ref="E14:E19" si="5">-D14+C14</f>
        <v>-500</v>
      </c>
      <c r="F14" s="228"/>
      <c r="G14" s="225">
        <f>+Expenses!D15+'CapChrg-AllocExp'!K16+'CapChrg-AllocExp'!D16</f>
        <v>633.803</v>
      </c>
      <c r="H14" s="226">
        <f>+Expenses!E15+'CapChrg-AllocExp'!L16+'CapChrg-AllocExp'!E16</f>
        <v>633.803</v>
      </c>
      <c r="I14" s="227">
        <f t="shared" si="1"/>
        <v>0</v>
      </c>
      <c r="J14" s="228"/>
      <c r="K14" s="225">
        <f>C14-G14</f>
        <v>-633.803</v>
      </c>
      <c r="L14" s="226">
        <f>D14-H14</f>
        <v>-133.803</v>
      </c>
      <c r="M14" s="227">
        <f t="shared" ref="M14:M19" si="6"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1568</v>
      </c>
      <c r="D15" s="226">
        <f>+'Mgmt Summary'!C16</f>
        <v>3000</v>
      </c>
      <c r="E15" s="227">
        <f t="shared" si="5"/>
        <v>-1432</v>
      </c>
      <c r="F15" s="228"/>
      <c r="G15" s="225">
        <f>+Expenses!D16+'CapChrg-AllocExp'!K17+'CapChrg-AllocExp'!D17</f>
        <v>2634.0640000000003</v>
      </c>
      <c r="H15" s="226">
        <f>+Expenses!E16+'CapChrg-AllocExp'!L17+'CapChrg-AllocExp'!E17</f>
        <v>2634.0640000000003</v>
      </c>
      <c r="I15" s="227">
        <f>+H15-G15</f>
        <v>0</v>
      </c>
      <c r="J15" s="228"/>
      <c r="K15" s="225">
        <f t="shared" ref="K15:L17" si="7">C15-G15</f>
        <v>-1066.0640000000003</v>
      </c>
      <c r="L15" s="226">
        <f t="shared" si="7"/>
        <v>365.93599999999969</v>
      </c>
      <c r="M15" s="227">
        <f t="shared" si="6"/>
        <v>-1432</v>
      </c>
      <c r="N15" s="290"/>
      <c r="O15" s="225">
        <f>+C15-'[1]QTD Mgmt Summary'!C15</f>
        <v>486</v>
      </c>
      <c r="P15" s="226">
        <f>-G15+'[1]QTD Mgmt Summary'!G15</f>
        <v>0</v>
      </c>
      <c r="Q15" s="227">
        <f t="shared" si="4"/>
        <v>486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165</v>
      </c>
      <c r="D16" s="226">
        <f>+'Mgmt Summary'!C17</f>
        <v>1413</v>
      </c>
      <c r="E16" s="227">
        <f t="shared" si="5"/>
        <v>-1248</v>
      </c>
      <c r="F16" s="228"/>
      <c r="G16" s="225">
        <f>+Expenses!D17+'CapChrg-AllocExp'!K18+'CapChrg-AllocExp'!D18</f>
        <v>1600.923</v>
      </c>
      <c r="H16" s="226">
        <f>+Expenses!E17+'CapChrg-AllocExp'!L18+'CapChrg-AllocExp'!E18</f>
        <v>1600.923</v>
      </c>
      <c r="I16" s="227">
        <f>+H16-G16</f>
        <v>0</v>
      </c>
      <c r="J16" s="228"/>
      <c r="K16" s="225">
        <f t="shared" si="7"/>
        <v>-1435.923</v>
      </c>
      <c r="L16" s="226">
        <f t="shared" si="7"/>
        <v>-187.923</v>
      </c>
      <c r="M16" s="227">
        <f t="shared" si="6"/>
        <v>-1248</v>
      </c>
      <c r="N16" s="290"/>
      <c r="O16" s="225">
        <f>+C16-'[1]QTD Mgmt Summary'!C16</f>
        <v>0</v>
      </c>
      <c r="P16" s="226">
        <f>-G16+'[1]QTD Mgmt Summary'!G16</f>
        <v>0</v>
      </c>
      <c r="Q16" s="227">
        <f t="shared" si="4"/>
        <v>0</v>
      </c>
    </row>
    <row r="17" spans="1:17" s="32" customFormat="1" ht="13.5" customHeight="1">
      <c r="A17" s="223" t="s">
        <v>93</v>
      </c>
      <c r="B17" s="224"/>
      <c r="C17" s="258">
        <f>+'Mgmt Summary'!J18</f>
        <v>-829</v>
      </c>
      <c r="D17" s="259">
        <f>+'Mgmt Summary'!C18</f>
        <v>-858.5010000000002</v>
      </c>
      <c r="E17" s="260">
        <f t="shared" si="5"/>
        <v>29.501000000000204</v>
      </c>
      <c r="F17" s="228"/>
      <c r="G17" s="258">
        <f>+Expenses!D18+'CapChrg-AllocExp'!K19+'CapChrg-AllocExp'!D19</f>
        <v>1433.066</v>
      </c>
      <c r="H17" s="259">
        <f>+Expenses!E18+'CapChrg-AllocExp'!L19+'CapChrg-AllocExp'!E19</f>
        <v>1433.066</v>
      </c>
      <c r="I17" s="260">
        <f>+H17-G17</f>
        <v>0</v>
      </c>
      <c r="J17" s="228"/>
      <c r="K17" s="258">
        <f t="shared" si="7"/>
        <v>-2262.0659999999998</v>
      </c>
      <c r="L17" s="259">
        <f t="shared" si="7"/>
        <v>-2291.567</v>
      </c>
      <c r="M17" s="260">
        <f t="shared" si="6"/>
        <v>29.501000000000204</v>
      </c>
      <c r="N17" s="290"/>
      <c r="O17" s="225">
        <f>+C17-'[1]QTD Mgmt Summary'!C17</f>
        <v>0</v>
      </c>
      <c r="P17" s="226">
        <f>-G17+'[1]QTD Mgmt Summary'!G17</f>
        <v>0</v>
      </c>
      <c r="Q17" s="227">
        <f>+O17+P17</f>
        <v>0</v>
      </c>
    </row>
    <row r="18" spans="1:17" s="32" customFormat="1" ht="13.5" customHeight="1">
      <c r="A18" s="223" t="s">
        <v>127</v>
      </c>
      <c r="B18" s="224"/>
      <c r="C18" s="258">
        <f>+'Mgmt Summary'!J19</f>
        <v>0</v>
      </c>
      <c r="D18" s="259">
        <f>+'Mgmt Summary'!C19</f>
        <v>0</v>
      </c>
      <c r="E18" s="260">
        <f t="shared" si="5"/>
        <v>0</v>
      </c>
      <c r="F18" s="228"/>
      <c r="G18" s="258">
        <f>+Expenses!D19+'CapChrg-AllocExp'!K20+'CapChrg-AllocExp'!D20</f>
        <v>783.779</v>
      </c>
      <c r="H18" s="259">
        <f>+Expenses!E19+'CapChrg-AllocExp'!L20+'CapChrg-AllocExp'!E20</f>
        <v>783.779</v>
      </c>
      <c r="I18" s="260">
        <f>+H18-G18</f>
        <v>0</v>
      </c>
      <c r="J18" s="228"/>
      <c r="K18" s="258">
        <f>C18-G18</f>
        <v>-783.779</v>
      </c>
      <c r="L18" s="259">
        <f>D18-H18</f>
        <v>-783.779</v>
      </c>
      <c r="M18" s="260">
        <f t="shared" si="6"/>
        <v>0</v>
      </c>
      <c r="N18" s="290"/>
      <c r="O18" s="225">
        <f>+C18-'[1]QTD Mgmt Summary'!C18</f>
        <v>0</v>
      </c>
      <c r="P18" s="226">
        <f>(-G18+'[1]QTD Mgmt Summary'!G18)*0</f>
        <v>0</v>
      </c>
      <c r="Q18" s="227">
        <f>+O18+P18</f>
        <v>0</v>
      </c>
    </row>
    <row r="19" spans="1:17" s="32" customFormat="1" ht="13.5" customHeight="1">
      <c r="A19" s="223" t="s">
        <v>2</v>
      </c>
      <c r="B19" s="224"/>
      <c r="C19" s="225">
        <f>+'Mgmt Summary'!J20</f>
        <v>0</v>
      </c>
      <c r="D19" s="226">
        <f>+'Mgmt Summary'!C20</f>
        <v>0</v>
      </c>
      <c r="E19" s="227">
        <f t="shared" si="5"/>
        <v>0</v>
      </c>
      <c r="F19" s="228"/>
      <c r="G19" s="225">
        <f>+Expenses!D20+'CapChrg-AllocExp'!K21</f>
        <v>1258.636</v>
      </c>
      <c r="H19" s="226">
        <f>+Expenses!E20+'CapChrg-AllocExp'!L21</f>
        <v>1008.636</v>
      </c>
      <c r="I19" s="227">
        <f>+H19-G19</f>
        <v>-250</v>
      </c>
      <c r="J19" s="228"/>
      <c r="K19" s="225">
        <f>C19-G19</f>
        <v>-1258.636</v>
      </c>
      <c r="L19" s="226">
        <f>D19-H19</f>
        <v>-1008.636</v>
      </c>
      <c r="M19" s="227">
        <f t="shared" si="6"/>
        <v>-250</v>
      </c>
      <c r="N19" s="290"/>
      <c r="O19" s="225">
        <f>+C19-'[1]QTD Mgmt Summary'!C18</f>
        <v>0</v>
      </c>
      <c r="P19" s="226">
        <f>(-G19+'[1]QTD Mgmt Summary'!G18)*0</f>
        <v>0</v>
      </c>
      <c r="Q19" s="227">
        <f>+O19+P19</f>
        <v>0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89"/>
      <c r="O20" s="215"/>
      <c r="P20" s="216"/>
      <c r="Q20" s="217"/>
    </row>
    <row r="21" spans="1:17" s="220" customFormat="1" ht="16.5">
      <c r="A21" s="229" t="s">
        <v>3</v>
      </c>
      <c r="B21" s="219"/>
      <c r="C21" s="234">
        <f>SUM(C8:C20)</f>
        <v>17694.258000000002</v>
      </c>
      <c r="D21" s="235">
        <f>SUM(D8:D20)</f>
        <v>96188.75</v>
      </c>
      <c r="E21" s="236">
        <f>SUM(E8:E20)</f>
        <v>-78494.491999999998</v>
      </c>
      <c r="F21" s="237"/>
      <c r="G21" s="234">
        <f>SUM(G8:G20)</f>
        <v>47034.733</v>
      </c>
      <c r="H21" s="235">
        <f>SUM(H8:H20)</f>
        <v>47343.733</v>
      </c>
      <c r="I21" s="236">
        <f>SUM(I8:I20)</f>
        <v>309</v>
      </c>
      <c r="J21" s="237"/>
      <c r="K21" s="234">
        <f>SUM(K8:K20)</f>
        <v>-29340.474999999991</v>
      </c>
      <c r="L21" s="235">
        <f>SUM(L8:L20)</f>
        <v>48845.016999999993</v>
      </c>
      <c r="M21" s="236">
        <f>SUM(M8:M20)</f>
        <v>-78185.491999999998</v>
      </c>
      <c r="N21" s="291"/>
      <c r="O21" s="234">
        <f>SUM(O8:O20)</f>
        <v>1561</v>
      </c>
      <c r="P21" s="235">
        <f>SUM(P8:P20)</f>
        <v>0</v>
      </c>
      <c r="Q21" s="236">
        <f>SUM(Q8:Q20)</f>
        <v>1561</v>
      </c>
    </row>
    <row r="22" spans="1:17" ht="4.5" customHeight="1">
      <c r="A22" s="211"/>
      <c r="B22" s="206"/>
      <c r="C22" s="215"/>
      <c r="D22" s="216"/>
      <c r="E22" s="217"/>
      <c r="F22" s="218"/>
      <c r="G22" s="221"/>
      <c r="H22" s="216"/>
      <c r="I22" s="217"/>
      <c r="J22" s="218"/>
      <c r="K22" s="215"/>
      <c r="L22" s="216"/>
      <c r="M22" s="217"/>
      <c r="N22" s="289"/>
      <c r="O22" s="215"/>
      <c r="P22" s="216"/>
      <c r="Q22" s="217"/>
    </row>
    <row r="23" spans="1:17" s="32" customFormat="1" ht="13.5" customHeight="1">
      <c r="A23" s="223" t="s">
        <v>99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27406.815999999999</v>
      </c>
      <c r="H23" s="226">
        <f>+'Mgmt Summary'!D24</f>
        <v>27406.815999999999</v>
      </c>
      <c r="I23" s="227">
        <f>+H23-G23</f>
        <v>0</v>
      </c>
      <c r="J23" s="228"/>
      <c r="K23" s="225">
        <f>C23-G23</f>
        <v>-27406.815999999999</v>
      </c>
      <c r="L23" s="226">
        <f>D23-H23</f>
        <v>-27406.815999999999</v>
      </c>
      <c r="M23" s="227">
        <f>K23-L23</f>
        <v>0</v>
      </c>
      <c r="N23" s="290"/>
      <c r="O23" s="225">
        <f>+C23-'[1]QTD Mgmt Summary'!C23</f>
        <v>0</v>
      </c>
      <c r="P23" s="226">
        <f>-G23+'[1]QTD Mgmt Summary'!G23</f>
        <v>0</v>
      </c>
      <c r="Q23" s="227">
        <f>+O23+P23</f>
        <v>0</v>
      </c>
    </row>
    <row r="24" spans="1:17" s="32" customFormat="1" ht="13.5" customHeight="1">
      <c r="A24" s="223" t="s">
        <v>95</v>
      </c>
      <c r="B24" s="224"/>
      <c r="C24" s="225">
        <v>0</v>
      </c>
      <c r="D24" s="226">
        <v>0</v>
      </c>
      <c r="E24" s="227">
        <f>-D24+C24</f>
        <v>0</v>
      </c>
      <c r="F24" s="228"/>
      <c r="G24" s="225">
        <f>+'Mgmt Summary'!L25+'Mgmt Summary'!M25+'Mgmt Summary'!N25</f>
        <v>-22667.67</v>
      </c>
      <c r="H24" s="226">
        <f>+'Mgmt Summary'!D25</f>
        <v>-22667.67</v>
      </c>
      <c r="I24" s="227">
        <f>+H24-G24</f>
        <v>0</v>
      </c>
      <c r="J24" s="228"/>
      <c r="K24" s="225">
        <f t="shared" ref="K24:L26" si="8">C24-G24</f>
        <v>22667.67</v>
      </c>
      <c r="L24" s="226">
        <f t="shared" si="8"/>
        <v>22667.67</v>
      </c>
      <c r="M24" s="227">
        <f>K24-L24</f>
        <v>0</v>
      </c>
      <c r="N24" s="290"/>
      <c r="O24" s="225">
        <f>+C24-'[1]QTD Mgmt Summary'!C24</f>
        <v>0</v>
      </c>
      <c r="P24" s="226">
        <f>-G24+'[1]QTD Mgmt Summary'!G24</f>
        <v>0</v>
      </c>
      <c r="Q24" s="227">
        <f>+O24+P24</f>
        <v>0</v>
      </c>
    </row>
    <row r="25" spans="1:17" s="32" customFormat="1" ht="13.5" customHeight="1">
      <c r="A25" s="223" t="s">
        <v>10</v>
      </c>
      <c r="B25" s="224"/>
      <c r="C25" s="225">
        <f>+'Mgmt Summary'!J26</f>
        <v>-500</v>
      </c>
      <c r="D25" s="226">
        <f>+'Mgmt Summary'!C26</f>
        <v>-500</v>
      </c>
      <c r="E25" s="227">
        <f>-D25+C25</f>
        <v>0</v>
      </c>
      <c r="F25" s="228"/>
      <c r="G25" s="225">
        <f>+Expenses!D25</f>
        <v>0</v>
      </c>
      <c r="H25" s="226">
        <f>+Expenses!E25</f>
        <v>0</v>
      </c>
      <c r="I25" s="227">
        <f>+H25-G25</f>
        <v>0</v>
      </c>
      <c r="J25" s="228"/>
      <c r="K25" s="225">
        <f t="shared" si="8"/>
        <v>-500</v>
      </c>
      <c r="L25" s="226">
        <f t="shared" si="8"/>
        <v>-500</v>
      </c>
      <c r="M25" s="227">
        <f>K25-L25</f>
        <v>0</v>
      </c>
      <c r="N25" s="290"/>
      <c r="O25" s="225">
        <f>+C25-'[1]QTD Mgmt Summary'!C25</f>
        <v>0</v>
      </c>
      <c r="P25" s="226">
        <f>-G25+'[1]QTD Mgmt Summary'!G25</f>
        <v>0</v>
      </c>
      <c r="Q25" s="227">
        <f>+O25+P25</f>
        <v>0</v>
      </c>
    </row>
    <row r="26" spans="1:17" s="32" customFormat="1" ht="13.5" customHeight="1">
      <c r="A26" s="223" t="s">
        <v>35</v>
      </c>
      <c r="B26" s="224"/>
      <c r="C26" s="225">
        <f>+'Mgmt Summary'!J27</f>
        <v>0</v>
      </c>
      <c r="D26" s="226">
        <f>+'Mgmt Summary'!C27</f>
        <v>0</v>
      </c>
      <c r="E26" s="227">
        <f>-D26+C26</f>
        <v>0</v>
      </c>
      <c r="F26" s="228"/>
      <c r="G26" s="225">
        <f>+'CapChrg-AllocExp'!D25</f>
        <v>-1383.4870000000001</v>
      </c>
      <c r="H26" s="226">
        <f>+'CapChrg-AllocExp'!E25</f>
        <v>-1383.4870000000001</v>
      </c>
      <c r="I26" s="227">
        <f>+H26-G26</f>
        <v>0</v>
      </c>
      <c r="J26" s="228"/>
      <c r="K26" s="225">
        <f t="shared" si="8"/>
        <v>1383.4870000000001</v>
      </c>
      <c r="L26" s="226">
        <f t="shared" si="8"/>
        <v>1383.4870000000001</v>
      </c>
      <c r="M26" s="227">
        <f>K26-L26</f>
        <v>0</v>
      </c>
      <c r="N26" s="290"/>
      <c r="O26" s="225">
        <f>+C26-'[1]QTD Mgmt Summary'!C26</f>
        <v>0</v>
      </c>
      <c r="P26" s="226">
        <f>-G26+'[1]QTD Mgmt Summary'!G26</f>
        <v>0</v>
      </c>
      <c r="Q26" s="227">
        <f>+O26+P26</f>
        <v>0</v>
      </c>
    </row>
    <row r="27" spans="1:17" ht="4.5" customHeight="1">
      <c r="A27" s="211"/>
      <c r="B27" s="206"/>
      <c r="C27" s="215"/>
      <c r="D27" s="216"/>
      <c r="E27" s="217"/>
      <c r="F27" s="218"/>
      <c r="G27" s="221"/>
      <c r="H27" s="216"/>
      <c r="I27" s="217"/>
      <c r="J27" s="218"/>
      <c r="K27" s="215"/>
      <c r="L27" s="216"/>
      <c r="M27" s="217"/>
      <c r="N27" s="289"/>
      <c r="O27" s="215"/>
      <c r="P27" s="216"/>
      <c r="Q27" s="217"/>
    </row>
    <row r="28" spans="1:17" s="220" customFormat="1" ht="16.5">
      <c r="A28" s="229" t="s">
        <v>74</v>
      </c>
      <c r="B28" s="219"/>
      <c r="C28" s="234">
        <f>SUM(C21:C26)</f>
        <v>17194.258000000002</v>
      </c>
      <c r="D28" s="235">
        <f>SUM(D21:D26)</f>
        <v>95688.75</v>
      </c>
      <c r="E28" s="236">
        <f>SUM(E21:E26)</f>
        <v>-78494.491999999998</v>
      </c>
      <c r="F28" s="237"/>
      <c r="G28" s="234">
        <f>SUM(G21:G26)</f>
        <v>50390.392</v>
      </c>
      <c r="H28" s="235">
        <f>SUM(H21:H26)</f>
        <v>50699.392</v>
      </c>
      <c r="I28" s="236">
        <f>SUM(I21:I26)</f>
        <v>309</v>
      </c>
      <c r="J28" s="237"/>
      <c r="K28" s="234">
        <f>SUM(K21:K26)</f>
        <v>-33196.133999999991</v>
      </c>
      <c r="L28" s="235">
        <f>SUM(L21:L26)</f>
        <v>44989.357999999993</v>
      </c>
      <c r="M28" s="236">
        <f>SUM(M21:M26)</f>
        <v>-78185.491999999998</v>
      </c>
      <c r="N28" s="291"/>
      <c r="O28" s="234">
        <f>SUM(O21:O26)</f>
        <v>1561</v>
      </c>
      <c r="P28" s="235">
        <f>SUM(P21:P26)</f>
        <v>0</v>
      </c>
      <c r="Q28" s="236">
        <f>SUM(Q21:Q26)</f>
        <v>1561</v>
      </c>
    </row>
    <row r="29" spans="1:17" ht="4.5" customHeight="1">
      <c r="A29" s="211"/>
      <c r="B29" s="206"/>
      <c r="C29" s="225"/>
      <c r="D29" s="226"/>
      <c r="E29" s="227"/>
      <c r="F29" s="228"/>
      <c r="G29" s="238"/>
      <c r="H29" s="226"/>
      <c r="I29" s="227"/>
      <c r="J29" s="228"/>
      <c r="K29" s="225"/>
      <c r="L29" s="226"/>
      <c r="M29" s="227"/>
      <c r="N29" s="289"/>
      <c r="O29" s="225"/>
      <c r="P29" s="226"/>
      <c r="Q29" s="227"/>
    </row>
    <row r="30" spans="1:17" s="32" customFormat="1" ht="13.5" customHeight="1">
      <c r="A30" s="223" t="s">
        <v>57</v>
      </c>
      <c r="B30" s="224"/>
      <c r="C30" s="225">
        <f>+'Mgmt Summary'!J31</f>
        <v>0</v>
      </c>
      <c r="D30" s="226">
        <f>+'Mgmt Summary'!C31</f>
        <v>0</v>
      </c>
      <c r="E30" s="227">
        <f>D30-C30</f>
        <v>0</v>
      </c>
      <c r="F30" s="228"/>
      <c r="G30" s="225">
        <f>+'Mgmt Summary'!M31</f>
        <v>308</v>
      </c>
      <c r="H30" s="226">
        <f>+'Mgmt Summary'!D31</f>
        <v>308</v>
      </c>
      <c r="I30" s="227">
        <f>+H30-G30</f>
        <v>0</v>
      </c>
      <c r="J30" s="228"/>
      <c r="K30" s="225">
        <f>C30-G30</f>
        <v>-308</v>
      </c>
      <c r="L30" s="226">
        <f>D30-H30</f>
        <v>-308</v>
      </c>
      <c r="M30" s="227">
        <f>K30-L30</f>
        <v>0</v>
      </c>
      <c r="N30" s="290"/>
      <c r="O30" s="225">
        <f>+C30-'[1]QTD Mgmt Summary'!C30</f>
        <v>0</v>
      </c>
      <c r="P30" s="226">
        <f>-G30+'[1]QTD Mgmt Summary'!G30</f>
        <v>0</v>
      </c>
      <c r="Q30" s="227">
        <f>+O30+P30</f>
        <v>0</v>
      </c>
    </row>
    <row r="31" spans="1:17" ht="4.5" customHeight="1" thickBot="1">
      <c r="A31" s="211"/>
      <c r="B31" s="206"/>
      <c r="C31" s="225"/>
      <c r="D31" s="226"/>
      <c r="E31" s="227"/>
      <c r="F31" s="228"/>
      <c r="G31" s="238"/>
      <c r="H31" s="226"/>
      <c r="I31" s="227"/>
      <c r="J31" s="228"/>
      <c r="K31" s="225"/>
      <c r="L31" s="226"/>
      <c r="M31" s="227"/>
      <c r="N31" s="289"/>
      <c r="O31" s="225"/>
      <c r="P31" s="226"/>
      <c r="Q31" s="227"/>
    </row>
    <row r="32" spans="1:17" s="220" customFormat="1" ht="17.25" thickBot="1">
      <c r="A32" s="230" t="s">
        <v>75</v>
      </c>
      <c r="B32" s="222"/>
      <c r="C32" s="239">
        <f>+C28-C30</f>
        <v>17194.258000000002</v>
      </c>
      <c r="D32" s="240">
        <f>+D28-D30</f>
        <v>95688.75</v>
      </c>
      <c r="E32" s="264">
        <f>+E28-E30</f>
        <v>-78494.491999999998</v>
      </c>
      <c r="F32" s="241"/>
      <c r="G32" s="239">
        <f>SUM(G28:G30)</f>
        <v>50698.392</v>
      </c>
      <c r="H32" s="240">
        <f>SUM(H28:H30)</f>
        <v>51007.392</v>
      </c>
      <c r="I32" s="264">
        <f>SUM(I28:I30)</f>
        <v>309</v>
      </c>
      <c r="J32" s="241"/>
      <c r="K32" s="239">
        <f>SUM(K28:K30)</f>
        <v>-33504.133999999991</v>
      </c>
      <c r="L32" s="240">
        <f>SUM(L28:L30)</f>
        <v>44681.357999999993</v>
      </c>
      <c r="M32" s="264">
        <f>SUM(M28:M30)</f>
        <v>-78185.491999999998</v>
      </c>
      <c r="N32" s="291"/>
      <c r="O32" s="239">
        <f>SUM(O28:O30)</f>
        <v>1561</v>
      </c>
      <c r="P32" s="240">
        <f>SUM(P28:P30)</f>
        <v>0</v>
      </c>
      <c r="Q32" s="264">
        <f>SUM(Q28:Q30)</f>
        <v>1561</v>
      </c>
    </row>
    <row r="33" spans="1:17" ht="3" customHeight="1">
      <c r="A33" s="66"/>
      <c r="C33" s="67"/>
      <c r="D33" s="22"/>
      <c r="E33" s="66"/>
      <c r="F33" s="23"/>
      <c r="I33" s="66"/>
    </row>
    <row r="34" spans="1:17">
      <c r="A34" s="250" t="s">
        <v>88</v>
      </c>
      <c r="C34" s="23"/>
      <c r="D34" s="22"/>
      <c r="E34" s="23"/>
      <c r="F34" s="23"/>
      <c r="I34" s="23"/>
    </row>
    <row r="35" spans="1:17">
      <c r="M35" s="187"/>
      <c r="Q35" s="187"/>
    </row>
    <row r="36" spans="1:17">
      <c r="L36" s="166"/>
    </row>
    <row r="37" spans="1:17" ht="13.5" hidden="1">
      <c r="C37" s="282" t="s">
        <v>112</v>
      </c>
      <c r="D37" s="283"/>
      <c r="E37" s="284"/>
      <c r="G37" s="282" t="s">
        <v>113</v>
      </c>
      <c r="H37" s="283"/>
      <c r="I37" s="283"/>
      <c r="J37" s="284"/>
    </row>
    <row r="38" spans="1:17" hidden="1">
      <c r="C38" s="269" t="s">
        <v>101</v>
      </c>
      <c r="D38" s="270"/>
      <c r="E38" s="271">
        <f>+'GM-WeeklyChnge'!C32</f>
        <v>7</v>
      </c>
      <c r="G38" s="269" t="s">
        <v>102</v>
      </c>
      <c r="H38" s="270"/>
      <c r="I38" s="272">
        <f>+'Expense Weekly Change'!E20+'Expense Weekly Change'!E18</f>
        <v>0</v>
      </c>
      <c r="J38" s="287"/>
    </row>
    <row r="39" spans="1:17" hidden="1">
      <c r="C39" s="269" t="s">
        <v>103</v>
      </c>
      <c r="D39" s="270"/>
      <c r="E39" s="271">
        <f>+'GM-WeeklyChnge'!D32</f>
        <v>0</v>
      </c>
      <c r="G39" s="269" t="s">
        <v>104</v>
      </c>
      <c r="H39" s="270"/>
      <c r="I39" s="272">
        <f>+'Expense Weekly Change'!E9+'Expense Weekly Change'!E10+'Expense Weekly Change'!E11+'Expense Weekly Change'!E12+'Expense Weekly Change'!E13+'Expense Weekly Change'!E14+'Expense Weekly Change'!E15+'Expense Weekly Change'!E16+'Expense Weekly Change'!E17</f>
        <v>0</v>
      </c>
      <c r="J39" s="273"/>
    </row>
    <row r="40" spans="1:17" hidden="1">
      <c r="C40" s="269" t="s">
        <v>105</v>
      </c>
      <c r="D40" s="270"/>
      <c r="E40" s="271">
        <f>+'GM-WeeklyChnge'!E32+'GM-WeeklyChnge'!F32+'GM-WeeklyChnge'!G32</f>
        <v>1554</v>
      </c>
      <c r="G40" s="269" t="s">
        <v>28</v>
      </c>
      <c r="H40" s="270"/>
      <c r="I40" s="272">
        <f>-G30+'[1]QTD Mgmt Summary'!$G$29</f>
        <v>-308</v>
      </c>
      <c r="J40" s="273"/>
    </row>
    <row r="41" spans="1:17" hidden="1">
      <c r="C41" s="274"/>
      <c r="D41" s="275"/>
      <c r="E41" s="276"/>
      <c r="G41" s="274"/>
      <c r="H41" s="275"/>
      <c r="I41" s="277"/>
      <c r="J41" s="278"/>
    </row>
    <row r="42" spans="1:17" ht="13.5" hidden="1">
      <c r="C42" s="279" t="s">
        <v>106</v>
      </c>
      <c r="D42" s="280"/>
      <c r="E42" s="281">
        <f>SUM(E38:E41)</f>
        <v>1561</v>
      </c>
      <c r="G42" s="279" t="s">
        <v>106</v>
      </c>
      <c r="H42" s="280"/>
      <c r="I42" s="285">
        <f>SUM(I38:I41)</f>
        <v>-308</v>
      </c>
      <c r="J42" s="286"/>
    </row>
    <row r="43" spans="1:17" hidden="1"/>
    <row r="44" spans="1:17" ht="13.5" hidden="1">
      <c r="C44" s="282" t="s">
        <v>110</v>
      </c>
      <c r="D44" s="283"/>
      <c r="E44" s="284"/>
      <c r="G44" s="282" t="s">
        <v>111</v>
      </c>
      <c r="H44" s="283"/>
      <c r="I44" s="283"/>
      <c r="J44" s="284"/>
    </row>
    <row r="45" spans="1:17" hidden="1">
      <c r="C45" s="269" t="s">
        <v>107</v>
      </c>
      <c r="D45" s="270"/>
      <c r="E45" s="271">
        <f>+[1]GrossMargin!$I$32</f>
        <v>0</v>
      </c>
      <c r="G45" s="269" t="s">
        <v>107</v>
      </c>
      <c r="H45" s="270"/>
      <c r="I45" s="272">
        <f>+'[1]QTD Mgmt Summary'!$G$31</f>
        <v>0</v>
      </c>
      <c r="J45" s="287"/>
    </row>
    <row r="46" spans="1:17" hidden="1">
      <c r="C46" s="269" t="s">
        <v>108</v>
      </c>
      <c r="D46" s="270"/>
      <c r="E46" s="271">
        <f>+GrossMargin!I33</f>
        <v>17194.258000000002</v>
      </c>
      <c r="G46" s="269" t="s">
        <v>108</v>
      </c>
      <c r="H46" s="270"/>
      <c r="I46" s="272">
        <f>+G32</f>
        <v>50698.392</v>
      </c>
      <c r="J46" s="273"/>
    </row>
    <row r="47" spans="1:17" hidden="1">
      <c r="C47" s="269"/>
      <c r="D47" s="270"/>
      <c r="E47" s="271"/>
      <c r="G47" s="269"/>
      <c r="H47" s="270"/>
      <c r="I47" s="272"/>
      <c r="J47" s="273"/>
    </row>
    <row r="48" spans="1:17" ht="13.5" hidden="1">
      <c r="C48" s="279" t="s">
        <v>109</v>
      </c>
      <c r="D48" s="280"/>
      <c r="E48" s="281">
        <f>+E46-E45</f>
        <v>17194.258000000002</v>
      </c>
      <c r="G48" s="279" t="s">
        <v>109</v>
      </c>
      <c r="H48" s="280"/>
      <c r="I48" s="285">
        <f>+I46-I45</f>
        <v>50698.392</v>
      </c>
      <c r="J48" s="286"/>
    </row>
    <row r="49" spans="9:9">
      <c r="I49" s="166"/>
    </row>
  </sheetData>
  <mergeCells count="2">
    <mergeCell ref="K5:M5"/>
    <mergeCell ref="O5:Q5"/>
  </mergeCells>
  <phoneticPr fontId="26" type="noConversion"/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A5" sqref="A5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6.5">
      <c r="A2" s="308" t="s">
        <v>118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3.5">
      <c r="A3" s="314" t="s">
        <v>132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128</v>
      </c>
      <c r="B9" s="35"/>
      <c r="C9" s="133">
        <f>GrossMargin!M10</f>
        <v>40000</v>
      </c>
      <c r="D9" s="36">
        <f>Expenses!E9+'CapChrg-AllocExp'!E10+'CapChrg-AllocExp'!L10</f>
        <v>16750.212</v>
      </c>
      <c r="E9" s="135">
        <f t="shared" ref="E9:E15" si="0">C9-D9</f>
        <v>23249.788</v>
      </c>
      <c r="F9" s="36"/>
      <c r="G9" s="133">
        <f>GrossMargin!I10</f>
        <v>11508</v>
      </c>
      <c r="H9" s="36">
        <f>GrossMargin!J10</f>
        <v>0</v>
      </c>
      <c r="I9" s="36">
        <f>GrossMargin!K10</f>
        <v>0</v>
      </c>
      <c r="J9" s="136">
        <f t="shared" ref="J9:J15" si="1">SUM(G9:I9)</f>
        <v>11508</v>
      </c>
      <c r="K9" s="137"/>
      <c r="L9" s="139">
        <f>'CapChrg-AllocExp'!D10</f>
        <v>0</v>
      </c>
      <c r="M9" s="140">
        <f>Expenses!D9</f>
        <v>6858.77</v>
      </c>
      <c r="N9" s="140">
        <f>'CapChrg-AllocExp'!K10</f>
        <v>9982.4419999999991</v>
      </c>
      <c r="O9" s="136">
        <f t="shared" ref="O9:O15" si="2">J9-K9-M9-N9-L9</f>
        <v>-5333.2119999999995</v>
      </c>
      <c r="P9" s="37"/>
      <c r="Q9" s="133">
        <f t="shared" ref="Q9:Q15" si="3">+J9-C9</f>
        <v>-28492</v>
      </c>
      <c r="R9" s="36"/>
      <c r="S9" s="36">
        <f>'CapChrg-AllocExp'!F10</f>
        <v>0</v>
      </c>
      <c r="T9" s="36">
        <f>Expenses!F9</f>
        <v>-91</v>
      </c>
      <c r="U9" s="36">
        <f>'CapChrg-AllocExp'!M10</f>
        <v>0</v>
      </c>
      <c r="V9" s="135">
        <f t="shared" ref="V9:V15" si="4">ROUND(SUM(Q9:U9),0)</f>
        <v>-28583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8166.17</v>
      </c>
      <c r="E10" s="135">
        <f t="shared" si="0"/>
        <v>5583.83</v>
      </c>
      <c r="F10" s="36"/>
      <c r="G10" s="133">
        <f>GrossMargin!I11</f>
        <v>-2477.0340000000001</v>
      </c>
      <c r="H10" s="36">
        <f>GrossMargin!J11</f>
        <v>0</v>
      </c>
      <c r="I10" s="36">
        <f>GrossMargin!K11</f>
        <v>0</v>
      </c>
      <c r="J10" s="136">
        <f t="shared" si="1"/>
        <v>-2477.0340000000001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3399.6529999999998</v>
      </c>
      <c r="O10" s="136">
        <f t="shared" si="2"/>
        <v>-10643.204000000002</v>
      </c>
      <c r="P10" s="37"/>
      <c r="Q10" s="133">
        <f t="shared" si="3"/>
        <v>-16227.034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-16227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2123.4380000000001</v>
      </c>
      <c r="E11" s="135">
        <f t="shared" si="0"/>
        <v>2876.5619999999999</v>
      </c>
      <c r="F11" s="36"/>
      <c r="G11" s="133">
        <f>GrossMargin!I12</f>
        <v>-5131</v>
      </c>
      <c r="H11" s="36">
        <f>GrossMargin!J12</f>
        <v>0</v>
      </c>
      <c r="I11" s="36">
        <f>GrossMargin!K12</f>
        <v>0</v>
      </c>
      <c r="J11" s="136">
        <f t="shared" si="1"/>
        <v>-5131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870.75699999999995</v>
      </c>
      <c r="O11" s="136">
        <f t="shared" si="2"/>
        <v>-7254.4380000000001</v>
      </c>
      <c r="P11" s="37"/>
      <c r="Q11" s="133">
        <f t="shared" si="3"/>
        <v>-10131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-10131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4048.2690000000002</v>
      </c>
      <c r="E12" s="135">
        <f t="shared" si="0"/>
        <v>4460.982</v>
      </c>
      <c r="F12" s="36"/>
      <c r="G12" s="133">
        <f>GrossMargin!I13</f>
        <v>4420</v>
      </c>
      <c r="H12" s="36">
        <f>GrossMargin!J13</f>
        <v>0</v>
      </c>
      <c r="I12" s="36">
        <f>GrossMargin!K13</f>
        <v>0</v>
      </c>
      <c r="J12" s="136">
        <f t="shared" si="1"/>
        <v>4420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2239.7460000000001</v>
      </c>
      <c r="O12" s="136">
        <f t="shared" si="2"/>
        <v>371.73099999999977</v>
      </c>
      <c r="P12" s="37"/>
      <c r="Q12" s="133">
        <f t="shared" si="3"/>
        <v>-4089.2510000000002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-4089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2615.9789999999998</v>
      </c>
      <c r="E13" s="135">
        <f t="shared" si="0"/>
        <v>2259.0210000000002</v>
      </c>
      <c r="F13" s="36"/>
      <c r="G13" s="133">
        <f>GrossMargin!I14</f>
        <v>114.292</v>
      </c>
      <c r="H13" s="36">
        <f>GrossMargin!J14</f>
        <v>0</v>
      </c>
      <c r="I13" s="36">
        <f>GrossMargin!K14</f>
        <v>0</v>
      </c>
      <c r="J13" s="136">
        <f t="shared" si="1"/>
        <v>114.292</v>
      </c>
      <c r="K13" s="137"/>
      <c r="L13" s="133">
        <f>'CapChrg-AllocExp'!D14</f>
        <v>0</v>
      </c>
      <c r="M13" s="36">
        <f>Expenses!D13</f>
        <v>1152.6479999999999</v>
      </c>
      <c r="N13" s="36">
        <f>'CapChrg-AllocExp'!K14</f>
        <v>813.33100000000002</v>
      </c>
      <c r="O13" s="136">
        <f t="shared" si="2"/>
        <v>-1851.6869999999999</v>
      </c>
      <c r="P13" s="37"/>
      <c r="Q13" s="133">
        <f t="shared" si="3"/>
        <v>-4760.7079999999996</v>
      </c>
      <c r="R13" s="36"/>
      <c r="S13" s="36">
        <f>'CapChrg-AllocExp'!F14</f>
        <v>0</v>
      </c>
      <c r="T13" s="36">
        <f>Expenses!F13</f>
        <v>650</v>
      </c>
      <c r="U13" s="36">
        <f>'CapChrg-AllocExp'!M14</f>
        <v>0</v>
      </c>
      <c r="V13" s="135">
        <f t="shared" si="4"/>
        <v>-4111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5545.3940000000002</v>
      </c>
      <c r="E14" s="164">
        <f t="shared" si="0"/>
        <v>14454.606</v>
      </c>
      <c r="F14" s="140"/>
      <c r="G14" s="139">
        <f>+GrossMargin!I21</f>
        <v>8356</v>
      </c>
      <c r="H14" s="140">
        <f>GrossMargin!J15</f>
        <v>0</v>
      </c>
      <c r="I14" s="140">
        <f>+GrossMargin!K21</f>
        <v>0</v>
      </c>
      <c r="J14" s="179">
        <f t="shared" si="1"/>
        <v>8356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2078.0079999999998</v>
      </c>
      <c r="O14" s="179">
        <f t="shared" si="2"/>
        <v>2810.6059999999998</v>
      </c>
      <c r="P14" s="181"/>
      <c r="Q14" s="139">
        <f t="shared" si="3"/>
        <v>-11644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-11644</v>
      </c>
      <c r="W14" s="63"/>
      <c r="X14" s="169"/>
    </row>
    <row r="15" spans="1:24" s="64" customFormat="1" ht="13.5" customHeight="1">
      <c r="A15" s="167" t="s">
        <v>129</v>
      </c>
      <c r="B15" s="178"/>
      <c r="C15" s="139">
        <f>+GrossMargin!M22</f>
        <v>500</v>
      </c>
      <c r="D15" s="140">
        <f>+Expenses!E15+'CapChrg-AllocExp'!E16+'CapChrg-AllocExp'!L16</f>
        <v>633.803</v>
      </c>
      <c r="E15" s="164">
        <f t="shared" si="0"/>
        <v>-133.803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172.096</v>
      </c>
      <c r="O15" s="179">
        <f t="shared" si="2"/>
        <v>-633.803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2634.0640000000003</v>
      </c>
      <c r="E16" s="164">
        <f>C16-D16</f>
        <v>365.93599999999969</v>
      </c>
      <c r="F16" s="140"/>
      <c r="G16" s="139">
        <f>+GrossMargin!I23</f>
        <v>1568</v>
      </c>
      <c r="H16" s="140">
        <f>GrossMargin!J18</f>
        <v>0</v>
      </c>
      <c r="I16" s="140">
        <f>+GrossMargin!K23</f>
        <v>0</v>
      </c>
      <c r="J16" s="179">
        <f>SUM(G16:I16)</f>
        <v>1568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1203.8140000000001</v>
      </c>
      <c r="O16" s="179">
        <f>J16-K16-M16-N16-L16</f>
        <v>-1066.0640000000001</v>
      </c>
      <c r="P16" s="181"/>
      <c r="Q16" s="139">
        <f>+J16-C16</f>
        <v>-1432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-1432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1600.923</v>
      </c>
      <c r="E17" s="164">
        <f>C17-D17</f>
        <v>-187.923</v>
      </c>
      <c r="F17" s="140"/>
      <c r="G17" s="139">
        <f>+GrossMargin!I24</f>
        <v>165</v>
      </c>
      <c r="H17" s="140">
        <f>GrossMargin!J19</f>
        <v>0</v>
      </c>
      <c r="I17" s="140">
        <f>+GrossMargin!K24</f>
        <v>0</v>
      </c>
      <c r="J17" s="179">
        <f>SUM(G17:I17)</f>
        <v>165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791.423</v>
      </c>
      <c r="O17" s="179">
        <f>J17-K17-M17-N17-L17</f>
        <v>-1435.923</v>
      </c>
      <c r="P17" s="181"/>
      <c r="Q17" s="139">
        <f>+J17-C17</f>
        <v>-1248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-1248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1433.0659999999998</v>
      </c>
      <c r="E18" s="164">
        <f>C18-D18</f>
        <v>-2291.567</v>
      </c>
      <c r="F18" s="140"/>
      <c r="G18" s="139">
        <f>+GrossMargin!I25</f>
        <v>-829</v>
      </c>
      <c r="H18" s="140">
        <f>GrossMargin!J20</f>
        <v>0</v>
      </c>
      <c r="I18" s="140">
        <f>+GrossMargin!K25</f>
        <v>0</v>
      </c>
      <c r="J18" s="179">
        <f>SUM(G18:I18)</f>
        <v>-829</v>
      </c>
      <c r="K18" s="180"/>
      <c r="L18" s="139">
        <f>+'CapChrg-AllocExp'!D19</f>
        <v>591</v>
      </c>
      <c r="M18" s="36">
        <f>Expenses!D18</f>
        <v>272.54199999999997</v>
      </c>
      <c r="N18" s="140">
        <f>+'CapChrg-AllocExp'!K19</f>
        <v>569.524</v>
      </c>
      <c r="O18" s="179">
        <f>J18-K18-M18-N18-L18</f>
        <v>-2262.0659999999998</v>
      </c>
      <c r="P18" s="181"/>
      <c r="Q18" s="139">
        <f>+J18-C18</f>
        <v>29.501000000000204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30</v>
      </c>
      <c r="W18" s="63"/>
      <c r="X18" s="169"/>
    </row>
    <row r="19" spans="1:24" s="64" customFormat="1" ht="13.5" customHeight="1">
      <c r="A19" s="167" t="s">
        <v>127</v>
      </c>
      <c r="B19" s="178"/>
      <c r="C19" s="139">
        <f>+GrossMargin!M26</f>
        <v>0</v>
      </c>
      <c r="D19" s="140">
        <f>+Expenses!E19+'CapChrg-AllocExp'!E20+'CapChrg-AllocExp'!L20</f>
        <v>783.779</v>
      </c>
      <c r="E19" s="164">
        <f>C19-D19</f>
        <v>-783.779</v>
      </c>
      <c r="F19" s="140"/>
      <c r="G19" s="139">
        <f>+GrossMargin!I26</f>
        <v>0</v>
      </c>
      <c r="H19" s="140">
        <f>GrossMargin!J21</f>
        <v>0</v>
      </c>
      <c r="I19" s="140">
        <f>+GrossMargin!K26</f>
        <v>0</v>
      </c>
      <c r="J19" s="179">
        <f>SUM(G19:I19)</f>
        <v>0</v>
      </c>
      <c r="K19" s="180"/>
      <c r="L19" s="139">
        <f>+'CapChrg-AllocExp'!D20</f>
        <v>0</v>
      </c>
      <c r="M19" s="36">
        <f>Expenses!D19</f>
        <v>712.17</v>
      </c>
      <c r="N19" s="140">
        <f>+'CapChrg-AllocExp'!K20</f>
        <v>71.608999999999995</v>
      </c>
      <c r="O19" s="179">
        <f>J19-K19-M19-N19-L19</f>
        <v>-783.779</v>
      </c>
      <c r="P19" s="181"/>
      <c r="Q19" s="139">
        <f>+J19-C19</f>
        <v>0</v>
      </c>
      <c r="R19" s="140"/>
      <c r="S19" s="140">
        <f>+'CapChrg-AllocExp'!F20</f>
        <v>0</v>
      </c>
      <c r="T19" s="36">
        <f>Expenses!F19</f>
        <v>0</v>
      </c>
      <c r="U19" s="140">
        <f>+'CapChrg-AllocExp'!M20</f>
        <v>0</v>
      </c>
      <c r="V19" s="164">
        <f>ROUND(SUM(Q19:U19),0)</f>
        <v>0</v>
      </c>
      <c r="W19" s="63"/>
      <c r="X19" s="169"/>
    </row>
    <row r="20" spans="1:24" ht="13.5" customHeight="1">
      <c r="A20" s="107" t="s">
        <v>2</v>
      </c>
      <c r="B20" s="35"/>
      <c r="C20" s="133">
        <f>GrossMargin!M27</f>
        <v>0</v>
      </c>
      <c r="D20" s="36">
        <f>Expenses!E20+'CapChrg-AllocExp'!E21+'CapChrg-AllocExp'!L21</f>
        <v>1008.636</v>
      </c>
      <c r="E20" s="135">
        <f>C20-D20</f>
        <v>-1008.636</v>
      </c>
      <c r="F20" s="36"/>
      <c r="G20" s="133">
        <f>GrossMargin!I27</f>
        <v>0</v>
      </c>
      <c r="H20" s="36">
        <f>GrossMargin!J27</f>
        <v>0</v>
      </c>
      <c r="I20" s="36">
        <f>GrossMargin!K27</f>
        <v>0</v>
      </c>
      <c r="J20" s="136">
        <f>SUM(G20:I20)</f>
        <v>0</v>
      </c>
      <c r="K20" s="137"/>
      <c r="L20" s="139">
        <f>+'CapChrg-AllocExp'!D21</f>
        <v>0</v>
      </c>
      <c r="M20" s="36">
        <f>Expenses!D20</f>
        <v>783.36900000000003</v>
      </c>
      <c r="N20" s="140">
        <f>+'CapChrg-AllocExp'!K21</f>
        <v>475.267</v>
      </c>
      <c r="O20" s="136">
        <f>J20-K20-M20-N20-L20</f>
        <v>-1258.636</v>
      </c>
      <c r="P20" s="37"/>
      <c r="Q20" s="133">
        <f>+J20-C20</f>
        <v>0</v>
      </c>
      <c r="R20" s="36"/>
      <c r="S20" s="36">
        <f>'CapChrg-AllocExp'!F21</f>
        <v>0</v>
      </c>
      <c r="T20" s="36">
        <f>Expenses!F20</f>
        <v>-250</v>
      </c>
      <c r="U20" s="36">
        <f>'CapChrg-AllocExp'!M21</f>
        <v>0</v>
      </c>
      <c r="V20" s="135">
        <f>ROUND(SUM(Q20:U20),0)</f>
        <v>-250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96</v>
      </c>
      <c r="B22" s="35"/>
      <c r="C22" s="43">
        <f>SUM(C9:C21)</f>
        <v>96188.75</v>
      </c>
      <c r="D22" s="44">
        <f>SUM(D9:D21)</f>
        <v>47343.733</v>
      </c>
      <c r="E22" s="45">
        <f>SUM(E9:E21)</f>
        <v>48845.016999999993</v>
      </c>
      <c r="F22" s="36"/>
      <c r="G22" s="43">
        <f t="shared" ref="G22:O22" si="5">SUM(G9:G21)</f>
        <v>17694.258000000002</v>
      </c>
      <c r="H22" s="44">
        <f t="shared" si="5"/>
        <v>0</v>
      </c>
      <c r="I22" s="45">
        <f t="shared" si="5"/>
        <v>0</v>
      </c>
      <c r="J22" s="46">
        <f t="shared" si="5"/>
        <v>17694.258000000002</v>
      </c>
      <c r="K22" s="44">
        <f t="shared" si="5"/>
        <v>0</v>
      </c>
      <c r="L22" s="43">
        <f t="shared" si="5"/>
        <v>1383.4870000000001</v>
      </c>
      <c r="M22" s="44">
        <f t="shared" si="5"/>
        <v>22983.575999999997</v>
      </c>
      <c r="N22" s="44">
        <f t="shared" si="5"/>
        <v>22667.67</v>
      </c>
      <c r="O22" s="46">
        <f t="shared" si="5"/>
        <v>-29340.474999999991</v>
      </c>
      <c r="P22" s="180"/>
      <c r="Q22" s="43">
        <f t="shared" ref="Q22:V22" si="6">SUM(Q9:Q21)</f>
        <v>-78494.491999999998</v>
      </c>
      <c r="R22" s="44">
        <f t="shared" si="6"/>
        <v>0</v>
      </c>
      <c r="S22" s="44">
        <f t="shared" si="6"/>
        <v>0</v>
      </c>
      <c r="T22" s="44">
        <f t="shared" si="6"/>
        <v>309</v>
      </c>
      <c r="U22" s="44">
        <f t="shared" si="6"/>
        <v>0</v>
      </c>
      <c r="V22" s="45">
        <f t="shared" si="6"/>
        <v>-78185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99</v>
      </c>
      <c r="B24" s="35"/>
      <c r="C24" s="133">
        <v>0</v>
      </c>
      <c r="D24" s="36">
        <f>Expenses!E24</f>
        <v>27406.815999999999</v>
      </c>
      <c r="E24" s="135">
        <f>C24-D24</f>
        <v>-27406.815999999999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'CapChrg-AllocExp'!D26</f>
        <v>0</v>
      </c>
      <c r="M24" s="36">
        <f>+Expenses!D24</f>
        <v>27406.815999999999</v>
      </c>
      <c r="N24" s="36">
        <v>0</v>
      </c>
      <c r="O24" s="136">
        <f>J24-K24-M24-N24-L24</f>
        <v>-27406.815999999999</v>
      </c>
      <c r="P24" s="37"/>
      <c r="Q24" s="133">
        <f>+J24-C24</f>
        <v>0</v>
      </c>
      <c r="R24" s="36"/>
      <c r="S24" s="36">
        <v>0</v>
      </c>
      <c r="T24" s="36">
        <f>-M24+D24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95</v>
      </c>
      <c r="B25" s="35"/>
      <c r="C25" s="133">
        <v>0</v>
      </c>
      <c r="D25" s="36">
        <f>+'CapChrg-AllocExp'!L26</f>
        <v>-22667.67</v>
      </c>
      <c r="E25" s="135">
        <f>C25-D25</f>
        <v>22667.67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+'CapChrg-AllocExp'!K26</f>
        <v>-22667.67</v>
      </c>
      <c r="O25" s="136">
        <f>J25-K25-M25-N25-L25</f>
        <v>22667.67</v>
      </c>
      <c r="P25" s="37"/>
      <c r="Q25" s="133">
        <f>+J25-C25</f>
        <v>0</v>
      </c>
      <c r="R25" s="36"/>
      <c r="S25" s="36">
        <v>0</v>
      </c>
      <c r="T25" s="36">
        <f>D25-N25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9">
        <f>GrossMargin!M31</f>
        <v>-500</v>
      </c>
      <c r="D26" s="36">
        <f>Expenses!E25</f>
        <v>0</v>
      </c>
      <c r="E26" s="135">
        <f>C26-D26</f>
        <v>-500</v>
      </c>
      <c r="F26" s="137"/>
      <c r="G26" s="133">
        <f>GrossMargin!I31</f>
        <v>-500</v>
      </c>
      <c r="H26" s="36">
        <f>GrossMargin!J31</f>
        <v>0</v>
      </c>
      <c r="I26" s="36">
        <f>GrossMargin!K31</f>
        <v>0</v>
      </c>
      <c r="J26" s="136">
        <f>SUM(G26:I26)</f>
        <v>-500</v>
      </c>
      <c r="K26" s="137"/>
      <c r="L26" s="133">
        <v>0</v>
      </c>
      <c r="M26" s="36">
        <f>Expenses!D25</f>
        <v>0</v>
      </c>
      <c r="N26" s="36">
        <v>0</v>
      </c>
      <c r="O26" s="136">
        <f>J26-K26-M26-N26-L26</f>
        <v>-500</v>
      </c>
      <c r="P26" s="37"/>
      <c r="Q26" s="133">
        <f>+J26-C26</f>
        <v>0</v>
      </c>
      <c r="R26" s="36"/>
      <c r="S26" s="36">
        <v>0</v>
      </c>
      <c r="T26" s="36">
        <f>Expenses!F25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140">
        <f>'CapChrg-AllocExp'!E25</f>
        <v>-1383.4870000000001</v>
      </c>
      <c r="E27" s="135">
        <f>C27-D27</f>
        <v>1383.4870000000001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9">
        <f>'CapChrg-AllocExp'!D25</f>
        <v>-1383.4870000000001</v>
      </c>
      <c r="M27" s="36">
        <v>0</v>
      </c>
      <c r="N27" s="36">
        <v>0</v>
      </c>
      <c r="O27" s="136">
        <f>J27-K27-M27-N27-L27</f>
        <v>1383.4870000000001</v>
      </c>
      <c r="P27" s="37"/>
      <c r="Q27" s="133">
        <f>+J27-C27</f>
        <v>0</v>
      </c>
      <c r="R27" s="36"/>
      <c r="S27" s="36">
        <f>'CapChrg-AllocExp'!F25</f>
        <v>0</v>
      </c>
      <c r="T27" s="36">
        <v>0</v>
      </c>
      <c r="U27" s="36">
        <v>0</v>
      </c>
      <c r="V27" s="135">
        <f>ROUND(SUM(Q27:U27),0)</f>
        <v>0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74</v>
      </c>
      <c r="B29" s="35"/>
      <c r="C29" s="43">
        <f>SUM(C22:C28)</f>
        <v>95688.75</v>
      </c>
      <c r="D29" s="44">
        <f>SUM(D22:D28)</f>
        <v>50699.392</v>
      </c>
      <c r="E29" s="45">
        <f>SUM(E22:E28)</f>
        <v>44989.357999999993</v>
      </c>
      <c r="F29" s="36"/>
      <c r="G29" s="43">
        <f t="shared" ref="G29:O29" si="7">SUM(G22:G28)</f>
        <v>17194.258000000002</v>
      </c>
      <c r="H29" s="44">
        <f t="shared" si="7"/>
        <v>0</v>
      </c>
      <c r="I29" s="45">
        <f t="shared" si="7"/>
        <v>0</v>
      </c>
      <c r="J29" s="46">
        <f t="shared" si="7"/>
        <v>17194.258000000002</v>
      </c>
      <c r="K29" s="44">
        <f t="shared" si="7"/>
        <v>0</v>
      </c>
      <c r="L29" s="43">
        <f t="shared" si="7"/>
        <v>0</v>
      </c>
      <c r="M29" s="44">
        <f t="shared" si="7"/>
        <v>50390.391999999993</v>
      </c>
      <c r="N29" s="44">
        <f t="shared" si="7"/>
        <v>0</v>
      </c>
      <c r="O29" s="46">
        <f t="shared" si="7"/>
        <v>-33196.133999999991</v>
      </c>
      <c r="P29" s="180"/>
      <c r="Q29" s="43">
        <f t="shared" ref="Q29:V29" si="8">SUM(Q22:Q28)</f>
        <v>-78494.491999999998</v>
      </c>
      <c r="R29" s="44">
        <f t="shared" si="8"/>
        <v>0</v>
      </c>
      <c r="S29" s="44">
        <f t="shared" si="8"/>
        <v>0</v>
      </c>
      <c r="T29" s="44">
        <f t="shared" si="8"/>
        <v>309</v>
      </c>
      <c r="U29" s="44">
        <f t="shared" si="8"/>
        <v>0</v>
      </c>
      <c r="V29" s="45">
        <f t="shared" si="8"/>
        <v>-78185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140">
        <v>308</v>
      </c>
      <c r="E31" s="135">
        <f>C31-D31</f>
        <v>-308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140">
        <v>308</v>
      </c>
      <c r="N31" s="36">
        <v>0</v>
      </c>
      <c r="O31" s="136">
        <f>J31-K31-M31-N31-L31</f>
        <v>-308</v>
      </c>
      <c r="P31" s="37"/>
      <c r="Q31" s="133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5">
        <f>ROUND(SUM(Q31:U31),0)</f>
        <v>0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75</v>
      </c>
      <c r="B33" s="35"/>
      <c r="C33" s="39">
        <f>SUM(C29:C31)</f>
        <v>95688.75</v>
      </c>
      <c r="D33" s="40">
        <f>SUM(D29:D31)</f>
        <v>51007.392</v>
      </c>
      <c r="E33" s="41">
        <f>SUM(E29:E31)</f>
        <v>44681.357999999993</v>
      </c>
      <c r="F33" s="36"/>
      <c r="G33" s="39">
        <f t="shared" ref="G33:V33" si="9">SUM(G29:G31)</f>
        <v>17194.258000000002</v>
      </c>
      <c r="H33" s="40">
        <f t="shared" si="9"/>
        <v>0</v>
      </c>
      <c r="I33" s="40">
        <f t="shared" si="9"/>
        <v>0</v>
      </c>
      <c r="J33" s="42">
        <f t="shared" si="9"/>
        <v>17194.258000000002</v>
      </c>
      <c r="K33" s="40">
        <f t="shared" si="9"/>
        <v>0</v>
      </c>
      <c r="L33" s="39">
        <f t="shared" si="9"/>
        <v>0</v>
      </c>
      <c r="M33" s="40">
        <f t="shared" si="9"/>
        <v>50698.391999999993</v>
      </c>
      <c r="N33" s="40">
        <f t="shared" si="9"/>
        <v>0</v>
      </c>
      <c r="O33" s="42">
        <f>J33-K33-M33-N33-L33</f>
        <v>-33504.133999999991</v>
      </c>
      <c r="P33" s="37"/>
      <c r="Q33" s="39">
        <f t="shared" si="9"/>
        <v>-78494.491999999998</v>
      </c>
      <c r="R33" s="40">
        <f t="shared" si="9"/>
        <v>0</v>
      </c>
      <c r="S33" s="40">
        <f t="shared" si="9"/>
        <v>0</v>
      </c>
      <c r="T33" s="40">
        <f t="shared" si="9"/>
        <v>309</v>
      </c>
      <c r="U33" s="40">
        <f t="shared" si="9"/>
        <v>0</v>
      </c>
      <c r="V33" s="41">
        <f t="shared" si="9"/>
        <v>-78185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5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80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A5" sqref="A5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124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March 2,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128</v>
      </c>
      <c r="B9" s="34"/>
      <c r="C9" s="139">
        <f>+GrossMargin!D10-[1]GrossMargin!D10</f>
        <v>1910</v>
      </c>
      <c r="D9" s="36">
        <f>+GrossMargin!E10-[1]GrossMargin!E10</f>
        <v>0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1910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1910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-1856</v>
      </c>
      <c r="D10" s="140">
        <f>+GrossMargin!E11-[1]GrossMargin!E11</f>
        <v>0</v>
      </c>
      <c r="E10" s="36">
        <f>+GrossMargin!F11-[1]GrossMargin!F11</f>
        <v>0</v>
      </c>
      <c r="F10" s="36">
        <f>+GrossMargin!G11-[1]GrossMargin!G11</f>
        <v>970</v>
      </c>
      <c r="G10" s="138">
        <f>+GrossMargin!H11-[1]GrossMargin!H11</f>
        <v>0</v>
      </c>
      <c r="H10" s="300">
        <f t="shared" si="0"/>
        <v>-886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-886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-542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-542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-542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-387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-387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-387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0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0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95">
        <f>+GrossMargin!D15-[1]GrossMargin!D15</f>
        <v>-468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-468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-468</v>
      </c>
    </row>
    <row r="15" spans="1:11" ht="13.5" hidden="1" customHeight="1">
      <c r="A15" s="242" t="s">
        <v>115</v>
      </c>
      <c r="B15" s="249"/>
      <c r="C15" s="244">
        <f>+GrossMargin!D16-[1]GrossMargin!D16</f>
        <v>199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199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199</v>
      </c>
    </row>
    <row r="16" spans="1:11" ht="13.5" hidden="1" customHeight="1">
      <c r="A16" s="242" t="s">
        <v>84</v>
      </c>
      <c r="B16" s="249"/>
      <c r="C16" s="295">
        <f>+GrossMargin!D17-[1]GrossMargin!D17</f>
        <v>1247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1247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1247</v>
      </c>
    </row>
    <row r="17" spans="1:11" ht="13.5" hidden="1" customHeight="1">
      <c r="A17" s="242" t="s">
        <v>82</v>
      </c>
      <c r="B17" s="249"/>
      <c r="C17" s="295">
        <f>+GrossMargin!D18-[1]GrossMargin!D18</f>
        <v>2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2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2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980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980</v>
      </c>
      <c r="I20" s="299">
        <f t="shared" si="2"/>
        <v>0</v>
      </c>
      <c r="J20" s="36">
        <f t="shared" si="2"/>
        <v>0</v>
      </c>
      <c r="K20" s="135">
        <f t="shared" si="2"/>
        <v>980</v>
      </c>
    </row>
    <row r="21" spans="1:11" s="190" customFormat="1" ht="13.5" customHeight="1">
      <c r="A21" s="167" t="s">
        <v>129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 t="shared" ref="H21:H26" si="3"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 t="shared" ref="K21:K26" si="4"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-98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584</v>
      </c>
      <c r="G22" s="138">
        <f>+GrossMargin!H23-[1]GrossMargin!H23</f>
        <v>0</v>
      </c>
      <c r="H22" s="300">
        <f t="shared" si="3"/>
        <v>486</v>
      </c>
      <c r="I22" s="133">
        <f>GrossMargin!J23-[1]GrossMargin!J23</f>
        <v>0</v>
      </c>
      <c r="J22" s="36">
        <f>+GrossMargin!K23-[1]GrossMargin!K23</f>
        <v>0</v>
      </c>
      <c r="K22" s="135">
        <f t="shared" si="4"/>
        <v>486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0</v>
      </c>
      <c r="G23" s="138">
        <f>+GrossMargin!H24-[1]GrossMargin!H24</f>
        <v>0</v>
      </c>
      <c r="H23" s="134">
        <f t="shared" si="3"/>
        <v>0</v>
      </c>
      <c r="I23" s="133">
        <f>GrossMargin!J24-[1]GrossMargin!J24</f>
        <v>0</v>
      </c>
      <c r="J23" s="246">
        <f>+GrossMargin!K24-[1]GrossMargin!K24</f>
        <v>0</v>
      </c>
      <c r="K23" s="135">
        <f t="shared" si="4"/>
        <v>0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0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0</v>
      </c>
      <c r="G24" s="138">
        <f>+GrossMargin!H25-[1]GrossMargin!H25</f>
        <v>0</v>
      </c>
      <c r="H24" s="134">
        <f t="shared" si="3"/>
        <v>0</v>
      </c>
      <c r="I24" s="133">
        <f>GrossMargin!J25-[1]GrossMargin!J25</f>
        <v>0</v>
      </c>
      <c r="J24" s="246">
        <f>+GrossMargin!K25-[1]GrossMargin!K25</f>
        <v>0</v>
      </c>
      <c r="K24" s="135">
        <f t="shared" si="4"/>
        <v>0</v>
      </c>
    </row>
    <row r="25" spans="1:11" s="190" customFormat="1" ht="13.5" customHeight="1">
      <c r="A25" s="107" t="s">
        <v>127</v>
      </c>
      <c r="B25" s="34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 t="shared" si="3"/>
        <v>0</v>
      </c>
      <c r="I25" s="133">
        <f>GrossMargin!J26-[1]GrossMargin!J26</f>
        <v>0</v>
      </c>
      <c r="J25" s="246">
        <f>+GrossMargin!K26-[1]GrossMargin!K26</f>
        <v>0</v>
      </c>
      <c r="K25" s="135">
        <f t="shared" si="4"/>
        <v>0</v>
      </c>
    </row>
    <row r="26" spans="1:11" s="190" customFormat="1" ht="13.5" customHeight="1">
      <c r="A26" s="107" t="s">
        <v>2</v>
      </c>
      <c r="B26" s="34"/>
      <c r="C26" s="133">
        <f>+GrossMargin!D27-[1]GrossMargin!D26</f>
        <v>0</v>
      </c>
      <c r="D26" s="36">
        <f>+GrossMargin!E27-[1]GrossMargin!E26</f>
        <v>0</v>
      </c>
      <c r="E26" s="36">
        <f>+GrossMargin!F27-[1]GrossMargin!F26</f>
        <v>0</v>
      </c>
      <c r="F26" s="36">
        <f>+GrossMargin!G27-[1]GrossMargin!G26</f>
        <v>0</v>
      </c>
      <c r="G26" s="138">
        <f>+GrossMargin!H27-[1]GrossMargin!H26</f>
        <v>0</v>
      </c>
      <c r="H26" s="134">
        <f t="shared" si="3"/>
        <v>0</v>
      </c>
      <c r="I26" s="133">
        <f>GrossMargin!J27-[1]GrossMargin!J26</f>
        <v>0</v>
      </c>
      <c r="J26" s="246">
        <f>+GrossMargin!K27-[1]GrossMargin!K26</f>
        <v>0</v>
      </c>
      <c r="K26" s="135">
        <f t="shared" si="4"/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98</v>
      </c>
      <c r="B28" s="34"/>
      <c r="C28" s="43">
        <f t="shared" ref="C28:K28" si="5">SUM(C9:C13)+SUM(C20:C26)</f>
        <v>7</v>
      </c>
      <c r="D28" s="44">
        <f t="shared" si="5"/>
        <v>0</v>
      </c>
      <c r="E28" s="44">
        <f t="shared" si="5"/>
        <v>0</v>
      </c>
      <c r="F28" s="44">
        <f t="shared" si="5"/>
        <v>1554</v>
      </c>
      <c r="G28" s="45">
        <f t="shared" si="5"/>
        <v>0</v>
      </c>
      <c r="H28" s="46">
        <f t="shared" si="5"/>
        <v>1561</v>
      </c>
      <c r="I28" s="44">
        <f t="shared" si="5"/>
        <v>0</v>
      </c>
      <c r="J28" s="44">
        <f t="shared" si="5"/>
        <v>0</v>
      </c>
      <c r="K28" s="45">
        <f t="shared" si="5"/>
        <v>1561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168"/>
      <c r="C30" s="133">
        <f>+GrossMargin!D31-[1]GrossMargin!D31</f>
        <v>0</v>
      </c>
      <c r="D30" s="36">
        <f>+GrossMargin!E31-[1]GrossMargin!E31</f>
        <v>0</v>
      </c>
      <c r="E30" s="36">
        <f>+GrossMargin!F31-[1]GrossMargin!F31</f>
        <v>0</v>
      </c>
      <c r="F30" s="36">
        <f>+GrossMargin!G31-[1]GrossMargin!G31</f>
        <v>0</v>
      </c>
      <c r="G30" s="138">
        <f>+GrossMargin!H31-[1]GrossMargin!H31</f>
        <v>0</v>
      </c>
      <c r="H30" s="134">
        <f>SUM(C30:G30)</f>
        <v>0</v>
      </c>
      <c r="I30" s="133">
        <f>GrossMargin!J31-[1]GrossMargin!J31</f>
        <v>0</v>
      </c>
      <c r="J30" s="246">
        <f>+GrossMargin!K31-[1]GrossMargin!K31</f>
        <v>0</v>
      </c>
      <c r="K30" s="135">
        <f>SUM(H30:J30)</f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97</v>
      </c>
      <c r="B32" s="34"/>
      <c r="C32" s="39">
        <f>SUM(C28:C30)</f>
        <v>7</v>
      </c>
      <c r="D32" s="40">
        <f>SUM(D28:D30)</f>
        <v>0</v>
      </c>
      <c r="E32" s="40">
        <f>SUM(E28:E31)</f>
        <v>0</v>
      </c>
      <c r="F32" s="40">
        <f>SUM(F28:F30)</f>
        <v>1554</v>
      </c>
      <c r="G32" s="41">
        <f>SUM(G28:G30)</f>
        <v>0</v>
      </c>
      <c r="H32" s="39">
        <f>SUM(C32:G32)</f>
        <v>1561</v>
      </c>
      <c r="I32" s="39">
        <f>SUM(I28:I30)</f>
        <v>0</v>
      </c>
      <c r="J32" s="40">
        <f>SUM(J28:J30)</f>
        <v>0</v>
      </c>
      <c r="K32" s="41">
        <f>SUM(H32:J32)</f>
        <v>1561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5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75">
      <c r="D38" s="165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2" zoomScaleNormal="100" workbookViewId="0">
      <selection activeCell="B6" sqref="B6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119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March 2,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128</v>
      </c>
      <c r="C10" s="189"/>
      <c r="D10" s="139">
        <v>10519</v>
      </c>
      <c r="E10" s="140">
        <v>989</v>
      </c>
      <c r="F10" s="140">
        <v>0</v>
      </c>
      <c r="G10" s="140">
        <v>0</v>
      </c>
      <c r="H10" s="138">
        <v>0</v>
      </c>
      <c r="I10" s="136">
        <f t="shared" ref="I10:I20" si="0">SUM(D10:H10)</f>
        <v>11508</v>
      </c>
      <c r="J10" s="137"/>
      <c r="K10" s="36">
        <v>0</v>
      </c>
      <c r="L10" s="36">
        <f>+I10+K10</f>
        <v>11508</v>
      </c>
      <c r="M10" s="253">
        <v>40000</v>
      </c>
      <c r="N10" s="135">
        <f t="shared" ref="N10:N22" si="1">L10-M10</f>
        <v>-28492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-3561</v>
      </c>
      <c r="E11" s="140">
        <f>48.339+65.627</f>
        <v>113.96599999999999</v>
      </c>
      <c r="F11" s="140">
        <v>0</v>
      </c>
      <c r="G11" s="140">
        <v>970</v>
      </c>
      <c r="H11" s="138">
        <v>0</v>
      </c>
      <c r="I11" s="136">
        <f t="shared" si="0"/>
        <v>-2477.0340000000001</v>
      </c>
      <c r="J11" s="137"/>
      <c r="K11" s="36">
        <v>0</v>
      </c>
      <c r="L11" s="36">
        <f t="shared" ref="L11:L22" si="2">+I11+K11</f>
        <v>-2477.0340000000001</v>
      </c>
      <c r="M11" s="253">
        <v>13750</v>
      </c>
      <c r="N11" s="135">
        <f t="shared" si="1"/>
        <v>-16227.034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-5131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-5131</v>
      </c>
      <c r="J12" s="137"/>
      <c r="K12" s="36">
        <v>0</v>
      </c>
      <c r="L12" s="36">
        <f t="shared" si="2"/>
        <v>-5131</v>
      </c>
      <c r="M12" s="253">
        <f>1875+3125</f>
        <v>5000</v>
      </c>
      <c r="N12" s="135">
        <f t="shared" si="1"/>
        <v>-10131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4420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4420</v>
      </c>
      <c r="J13" s="137"/>
      <c r="K13" s="36">
        <v>0</v>
      </c>
      <c r="L13" s="36">
        <f t="shared" si="2"/>
        <v>4420</v>
      </c>
      <c r="M13" s="253">
        <v>8509.2510000000002</v>
      </c>
      <c r="N13" s="135">
        <f t="shared" si="1"/>
        <v>-4089.2510000000002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f>104.768+9.524</f>
        <v>114.292</v>
      </c>
      <c r="G14" s="140">
        <v>0</v>
      </c>
      <c r="H14" s="138">
        <v>0</v>
      </c>
      <c r="I14" s="136">
        <f t="shared" si="0"/>
        <v>114.292</v>
      </c>
      <c r="J14" s="137"/>
      <c r="K14" s="36">
        <v>0</v>
      </c>
      <c r="L14" s="36">
        <f t="shared" si="2"/>
        <v>114.292</v>
      </c>
      <c r="M14" s="253">
        <v>4875</v>
      </c>
      <c r="N14" s="135">
        <f t="shared" si="1"/>
        <v>-4760.7079999999996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1408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1408</v>
      </c>
      <c r="J15" s="246"/>
      <c r="K15" s="246">
        <v>0</v>
      </c>
      <c r="L15" s="36">
        <f t="shared" si="2"/>
        <v>1408</v>
      </c>
      <c r="M15" s="255">
        <v>0</v>
      </c>
      <c r="N15" s="247">
        <f>L15-M15</f>
        <v>1408</v>
      </c>
    </row>
    <row r="16" spans="1:16" ht="13.5" hidden="1" customHeight="1">
      <c r="A16" s="12" t="s">
        <v>51</v>
      </c>
      <c r="B16" s="242" t="s">
        <v>115</v>
      </c>
      <c r="C16" s="243"/>
      <c r="D16" s="244">
        <v>2540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2540</v>
      </c>
      <c r="J16" s="246"/>
      <c r="K16" s="246">
        <v>0</v>
      </c>
      <c r="L16" s="36">
        <f>+I16+K16</f>
        <v>2540</v>
      </c>
      <c r="M16" s="255">
        <v>0</v>
      </c>
      <c r="N16" s="247">
        <f>L16-M16</f>
        <v>2540</v>
      </c>
    </row>
    <row r="17" spans="1:16" ht="13.5" hidden="1" customHeight="1">
      <c r="B17" s="242" t="s">
        <v>84</v>
      </c>
      <c r="C17" s="243"/>
      <c r="D17" s="244">
        <v>4420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4420</v>
      </c>
      <c r="J17" s="246"/>
      <c r="K17" s="246">
        <v>0</v>
      </c>
      <c r="L17" s="36">
        <f t="shared" si="2"/>
        <v>4420</v>
      </c>
      <c r="M17" s="255">
        <v>0</v>
      </c>
      <c r="N17" s="247">
        <f>L17-M17</f>
        <v>4420</v>
      </c>
      <c r="P17" s="166"/>
    </row>
    <row r="18" spans="1:16" ht="13.5" hidden="1" customHeight="1">
      <c r="B18" s="242" t="s">
        <v>82</v>
      </c>
      <c r="C18" s="243"/>
      <c r="D18" s="244">
        <v>-12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-12</v>
      </c>
      <c r="J18" s="246"/>
      <c r="K18" s="246">
        <v>0</v>
      </c>
      <c r="L18" s="36">
        <f t="shared" si="2"/>
        <v>-12</v>
      </c>
      <c r="M18" s="255">
        <v>0</v>
      </c>
      <c r="N18" s="247">
        <f t="shared" si="1"/>
        <v>-12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8356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8356</v>
      </c>
      <c r="J21" s="137"/>
      <c r="K21" s="36">
        <f>SUM(K15:K20)</f>
        <v>0</v>
      </c>
      <c r="L21" s="36">
        <f t="shared" si="2"/>
        <v>8356</v>
      </c>
      <c r="M21" s="253">
        <v>20000</v>
      </c>
      <c r="N21" s="135">
        <f>L21-M21</f>
        <v>-11644</v>
      </c>
    </row>
    <row r="22" spans="1:16" s="190" customFormat="1" ht="13.5" customHeight="1">
      <c r="A22" s="12"/>
      <c r="B22" s="167" t="s">
        <v>129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 t="shared" ref="I22:I27" si="4"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v>946</v>
      </c>
      <c r="E23" s="140">
        <v>0</v>
      </c>
      <c r="F23" s="140">
        <v>0</v>
      </c>
      <c r="G23" s="140">
        <f>38+38+546</f>
        <v>622</v>
      </c>
      <c r="H23" s="138">
        <v>0</v>
      </c>
      <c r="I23" s="136">
        <f t="shared" si="4"/>
        <v>1568</v>
      </c>
      <c r="J23" s="137"/>
      <c r="K23" s="36">
        <v>0</v>
      </c>
      <c r="L23" s="36">
        <f>+I23+K23</f>
        <v>1568</v>
      </c>
      <c r="M23" s="253">
        <v>3000</v>
      </c>
      <c r="N23" s="135">
        <f>L23-M23</f>
        <v>-1432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165</v>
      </c>
      <c r="H24" s="138">
        <v>0</v>
      </c>
      <c r="I24" s="136">
        <f t="shared" si="4"/>
        <v>165</v>
      </c>
      <c r="J24" s="137"/>
      <c r="K24" s="36">
        <v>0</v>
      </c>
      <c r="L24" s="36">
        <f>+I24+K24</f>
        <v>165</v>
      </c>
      <c r="M24" s="138">
        <v>1413</v>
      </c>
      <c r="N24" s="135">
        <f>L24-M24</f>
        <v>-1248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0</v>
      </c>
      <c r="E25" s="140">
        <v>0</v>
      </c>
      <c r="F25" s="140">
        <v>0</v>
      </c>
      <c r="G25" s="303">
        <v>-829</v>
      </c>
      <c r="H25" s="138">
        <v>0</v>
      </c>
      <c r="I25" s="136">
        <f t="shared" si="4"/>
        <v>-829</v>
      </c>
      <c r="J25" s="137"/>
      <c r="K25" s="36">
        <v>0</v>
      </c>
      <c r="L25" s="36">
        <f>+I25+K25</f>
        <v>-829</v>
      </c>
      <c r="M25" s="253">
        <f>2126.499-3240+255</f>
        <v>-858.5010000000002</v>
      </c>
      <c r="N25" s="135">
        <f>L25-M25</f>
        <v>29.501000000000204</v>
      </c>
    </row>
    <row r="26" spans="1:16" s="190" customFormat="1" ht="13.5" customHeight="1">
      <c r="A26" s="12"/>
      <c r="B26" s="107" t="s">
        <v>127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 t="shared" si="4"/>
        <v>0</v>
      </c>
      <c r="J26" s="137"/>
      <c r="K26" s="36">
        <v>0</v>
      </c>
      <c r="L26" s="36">
        <f>+I26+K26</f>
        <v>0</v>
      </c>
      <c r="M26" s="253">
        <v>0</v>
      </c>
      <c r="N26" s="135">
        <f>L26-M26</f>
        <v>0</v>
      </c>
    </row>
    <row r="27" spans="1:16" s="190" customFormat="1" ht="12" customHeight="1">
      <c r="A27" s="188"/>
      <c r="B27" s="107" t="s">
        <v>2</v>
      </c>
      <c r="C27" s="189"/>
      <c r="D27" s="139">
        <v>0</v>
      </c>
      <c r="E27" s="140">
        <v>0</v>
      </c>
      <c r="F27" s="140">
        <v>0</v>
      </c>
      <c r="G27" s="140">
        <v>0</v>
      </c>
      <c r="H27" s="138">
        <v>0</v>
      </c>
      <c r="I27" s="136">
        <f t="shared" si="4"/>
        <v>0</v>
      </c>
      <c r="J27" s="137"/>
      <c r="K27" s="133">
        <v>0</v>
      </c>
      <c r="L27" s="36">
        <f>+I27+K27</f>
        <v>0</v>
      </c>
      <c r="M27" s="138">
        <v>0</v>
      </c>
      <c r="N27" s="135">
        <f>L27-M27</f>
        <v>0</v>
      </c>
    </row>
    <row r="28" spans="1:16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6" ht="12" customHeight="1">
      <c r="B29" s="263" t="s">
        <v>76</v>
      </c>
      <c r="C29" s="34"/>
      <c r="D29" s="39">
        <f t="shared" ref="D29:N29" si="5">SUM(D10:D14)+SUM(D21:D27)</f>
        <v>15549</v>
      </c>
      <c r="E29" s="40">
        <f t="shared" si="5"/>
        <v>1102.9659999999999</v>
      </c>
      <c r="F29" s="40">
        <f t="shared" si="5"/>
        <v>114.292</v>
      </c>
      <c r="G29" s="40">
        <f t="shared" si="5"/>
        <v>928</v>
      </c>
      <c r="H29" s="41">
        <f t="shared" si="5"/>
        <v>0</v>
      </c>
      <c r="I29" s="42">
        <f t="shared" si="5"/>
        <v>17694.258000000002</v>
      </c>
      <c r="J29" s="40">
        <f t="shared" si="5"/>
        <v>0</v>
      </c>
      <c r="K29" s="39">
        <f t="shared" si="5"/>
        <v>0</v>
      </c>
      <c r="L29" s="40">
        <f t="shared" si="5"/>
        <v>17694.258000000002</v>
      </c>
      <c r="M29" s="41">
        <f t="shared" si="5"/>
        <v>96188.75</v>
      </c>
      <c r="N29" s="41">
        <f t="shared" si="5"/>
        <v>-78494.491999999998</v>
      </c>
    </row>
    <row r="30" spans="1:16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6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f>-500</f>
        <v>-500</v>
      </c>
      <c r="H31" s="138">
        <v>0</v>
      </c>
      <c r="I31" s="136">
        <f>SUM(D31:H31)</f>
        <v>-500</v>
      </c>
      <c r="J31" s="36"/>
      <c r="K31" s="133">
        <v>0</v>
      </c>
      <c r="L31" s="36">
        <f>SUM(I31:K31)</f>
        <v>-500</v>
      </c>
      <c r="M31" s="138">
        <f>-2000/4</f>
        <v>-500</v>
      </c>
      <c r="N31" s="135">
        <f>L31-M31</f>
        <v>0</v>
      </c>
    </row>
    <row r="32" spans="1:16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77</v>
      </c>
      <c r="C33" s="34"/>
      <c r="D33" s="39">
        <f>+D29+D31</f>
        <v>15549</v>
      </c>
      <c r="E33" s="40">
        <f>+E29+E31</f>
        <v>1102.9659999999999</v>
      </c>
      <c r="F33" s="40">
        <f>+F29+F31</f>
        <v>114.292</v>
      </c>
      <c r="G33" s="40">
        <f>+G29+G31</f>
        <v>428</v>
      </c>
      <c r="H33" s="41">
        <f>+H29+H31</f>
        <v>0</v>
      </c>
      <c r="I33" s="42">
        <f>SUM(I29:I31)</f>
        <v>17194.258000000002</v>
      </c>
      <c r="J33" s="40">
        <f>SUM(J29:J31)</f>
        <v>0</v>
      </c>
      <c r="K33" s="39">
        <f>+K29+K31</f>
        <v>0</v>
      </c>
      <c r="L33" s="40">
        <f>+L29+L31</f>
        <v>17194.258000000002</v>
      </c>
      <c r="M33" s="41">
        <f>+M29+M31</f>
        <v>95688.75</v>
      </c>
      <c r="N33" s="41">
        <f>SUM(N29:N31)</f>
        <v>-78494.491999999998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B6" sqref="B6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Q2" t="s">
        <v>59</v>
      </c>
    </row>
    <row r="3" spans="1:37" ht="15">
      <c r="A3" s="11">
        <v>36861</v>
      </c>
      <c r="B3" s="325" t="s">
        <v>120</v>
      </c>
      <c r="C3" s="325"/>
      <c r="D3" s="325"/>
      <c r="E3" s="325"/>
      <c r="F3" s="325"/>
      <c r="G3" s="325"/>
      <c r="H3" s="325"/>
      <c r="I3" s="325"/>
      <c r="J3" s="325"/>
      <c r="K3" s="325"/>
    </row>
    <row r="4" spans="1:37">
      <c r="A4" s="10" t="s">
        <v>22</v>
      </c>
      <c r="B4" s="326" t="str">
        <f>+GrossMargin!B4</f>
        <v>Results based on activity through March 2, 2001</v>
      </c>
      <c r="C4" s="326"/>
      <c r="D4" s="326"/>
      <c r="E4" s="326"/>
      <c r="F4" s="326"/>
      <c r="G4" s="326"/>
      <c r="H4" s="326"/>
      <c r="I4" s="326"/>
      <c r="J4" s="326"/>
      <c r="K4" s="326"/>
    </row>
    <row r="5" spans="1:37" ht="3" customHeight="1"/>
    <row r="6" spans="1:37" s="50" customFormat="1" ht="12">
      <c r="A6" s="10" t="s">
        <v>47</v>
      </c>
      <c r="B6" s="124"/>
      <c r="D6" s="318" t="s">
        <v>26</v>
      </c>
      <c r="E6" s="319"/>
      <c r="F6" s="320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1" t="s">
        <v>39</v>
      </c>
      <c r="I7" s="322"/>
      <c r="J7" s="322"/>
      <c r="K7" s="323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9" t="s">
        <v>128</v>
      </c>
      <c r="C9" s="172"/>
      <c r="D9" s="159">
        <f>+E9+91</f>
        <v>6858.77</v>
      </c>
      <c r="E9" s="173">
        <v>6767.77</v>
      </c>
      <c r="F9" s="177">
        <f t="shared" ref="F9:F15" si="0">E9-D9</f>
        <v>-91</v>
      </c>
      <c r="G9" s="52"/>
      <c r="H9" s="251" t="s">
        <v>131</v>
      </c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ref="D10:D15" si="1">+E10</f>
        <v>4013.0929999999998</v>
      </c>
      <c r="E10" s="173">
        <v>4013.0929999999998</v>
      </c>
      <c r="F10" s="143">
        <f t="shared" si="0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1"/>
        <v>1213.6179999999999</v>
      </c>
      <c r="E11" s="173">
        <f>233.037+980.581</f>
        <v>1213.6179999999999</v>
      </c>
      <c r="F11" s="143">
        <f t="shared" si="0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1"/>
        <v>1808.5229999999999</v>
      </c>
      <c r="E12" s="173">
        <v>1808.5229999999999</v>
      </c>
      <c r="F12" s="143">
        <f t="shared" si="0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+E13-650</f>
        <v>1152.6479999999999</v>
      </c>
      <c r="E13" s="173">
        <v>1802.6479999999999</v>
      </c>
      <c r="F13" s="143">
        <f t="shared" si="0"/>
        <v>650</v>
      </c>
      <c r="G13" s="52"/>
      <c r="H13" s="251" t="s">
        <v>130</v>
      </c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1"/>
        <v>3467.386</v>
      </c>
      <c r="E14" s="173">
        <v>3467.386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129</v>
      </c>
      <c r="C15" s="172"/>
      <c r="D15" s="159">
        <f t="shared" si="1"/>
        <v>461.70699999999999</v>
      </c>
      <c r="E15" s="173">
        <v>461.70699999999999</v>
      </c>
      <c r="F15" s="177">
        <f t="shared" si="0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272.54199999999997</v>
      </c>
      <c r="E18" s="173">
        <f>(425.358-250-100-50)*0+272.542</f>
        <v>272.54199999999997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1" t="s">
        <v>127</v>
      </c>
      <c r="C19" s="172"/>
      <c r="D19" s="159">
        <f>+E19</f>
        <v>712.17</v>
      </c>
      <c r="E19" s="173">
        <v>712.17</v>
      </c>
      <c r="F19" s="177">
        <f>E19-D19</f>
        <v>0</v>
      </c>
      <c r="G19" s="52"/>
      <c r="H19" s="251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2</v>
      </c>
      <c r="C20" s="50"/>
      <c r="D20" s="159">
        <f>+E20+250</f>
        <v>783.36900000000003</v>
      </c>
      <c r="E20" s="142">
        <v>533.36900000000003</v>
      </c>
      <c r="F20" s="143">
        <f>E20-D20</f>
        <v>-250</v>
      </c>
      <c r="G20" s="52"/>
      <c r="H20" s="251" t="s">
        <v>126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96</v>
      </c>
      <c r="C22" s="50"/>
      <c r="D22" s="56">
        <f>SUM(D9:D21)</f>
        <v>22983.575999999997</v>
      </c>
      <c r="E22" s="57">
        <f>SUM(E9:E21)</f>
        <v>23292.575999999997</v>
      </c>
      <c r="F22" s="183">
        <f>SUM(F9:F21)</f>
        <v>309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23</v>
      </c>
      <c r="C24" s="50"/>
      <c r="D24" s="141">
        <f>+E24</f>
        <v>27406.815999999999</v>
      </c>
      <c r="E24" s="142">
        <f>27654-247.184</f>
        <v>27406.815999999999</v>
      </c>
      <c r="F24" s="143">
        <f>E24-D24</f>
        <v>0</v>
      </c>
      <c r="G24" s="52"/>
      <c r="H24" s="251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9" t="s">
        <v>10</v>
      </c>
      <c r="C25" s="50"/>
      <c r="D25" s="141">
        <v>0</v>
      </c>
      <c r="E25" s="142">
        <v>0</v>
      </c>
      <c r="F25" s="143">
        <f>E25-D25</f>
        <v>0</v>
      </c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50390.391999999993</v>
      </c>
      <c r="E27" s="48">
        <f>SUM(E22:E25)</f>
        <v>50699.391999999993</v>
      </c>
      <c r="F27" s="49">
        <f>SUM(F22:F25)</f>
        <v>309</v>
      </c>
      <c r="G27" s="52"/>
      <c r="H27" s="53"/>
      <c r="I27" s="54"/>
      <c r="J27" s="54"/>
      <c r="K27" s="55"/>
      <c r="L27" s="31"/>
    </row>
    <row r="28" spans="1:37" ht="3" customHeight="1">
      <c r="B28" s="147"/>
      <c r="C28" s="50"/>
      <c r="D28" s="148"/>
      <c r="E28" s="149"/>
      <c r="F28" s="150"/>
      <c r="G28" s="50"/>
      <c r="H28" s="148"/>
      <c r="I28" s="149"/>
      <c r="J28" s="149"/>
      <c r="K28" s="150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7" t="s">
        <v>49</v>
      </c>
      <c r="E30" s="328"/>
      <c r="F30" s="329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12</v>
      </c>
      <c r="G31" s="31"/>
      <c r="H31" s="315" t="s">
        <v>39</v>
      </c>
      <c r="I31" s="316"/>
      <c r="J31" s="316"/>
      <c r="K31" s="317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4"/>
      <c r="D32" s="151">
        <v>0</v>
      </c>
      <c r="E32" s="152">
        <v>0</v>
      </c>
      <c r="F32" s="153">
        <f>E32-D32</f>
        <v>0</v>
      </c>
      <c r="H32" s="125"/>
      <c r="I32" s="126"/>
      <c r="J32" s="126"/>
      <c r="K32" s="127"/>
    </row>
    <row r="33" spans="2:37" s="50" customFormat="1" ht="12" hidden="1">
      <c r="B33" s="129"/>
      <c r="D33" s="141">
        <v>0</v>
      </c>
      <c r="E33" s="142">
        <v>0</v>
      </c>
      <c r="F33" s="143">
        <f>E33-D33</f>
        <v>0</v>
      </c>
      <c r="H33" s="144"/>
      <c r="I33" s="145"/>
      <c r="J33" s="145"/>
      <c r="K33" s="146"/>
    </row>
    <row r="34" spans="2:37" s="50" customFormat="1" ht="12" hidden="1">
      <c r="B34" s="147"/>
      <c r="D34" s="154">
        <v>0</v>
      </c>
      <c r="E34" s="155">
        <v>0</v>
      </c>
      <c r="F34" s="156">
        <f>E34-D34</f>
        <v>0</v>
      </c>
      <c r="H34" s="148"/>
      <c r="I34" s="149"/>
      <c r="J34" s="149"/>
      <c r="K34" s="150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0"/>
  <sheetViews>
    <sheetView topLeftCell="A2" zoomScaleNormal="100" workbookViewId="0">
      <selection activeCell="G38" sqref="G38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4" t="s">
        <v>70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33" ht="15">
      <c r="A3" s="325" t="s">
        <v>125</v>
      </c>
      <c r="B3" s="325"/>
      <c r="C3" s="325"/>
      <c r="D3" s="325"/>
      <c r="E3" s="325"/>
      <c r="F3" s="325"/>
      <c r="G3" s="325"/>
      <c r="H3" s="325"/>
      <c r="I3" s="325"/>
      <c r="J3" s="325"/>
    </row>
    <row r="4" spans="1:33">
      <c r="A4" s="326" t="str">
        <f>+Expenses!B4</f>
        <v>Results based on activity through March 2, 2001</v>
      </c>
      <c r="B4" s="326"/>
      <c r="C4" s="326"/>
      <c r="D4" s="326"/>
      <c r="E4" s="326"/>
      <c r="F4" s="326"/>
      <c r="G4" s="326"/>
      <c r="H4" s="326"/>
      <c r="I4" s="326"/>
      <c r="J4" s="326"/>
    </row>
    <row r="5" spans="1:33" ht="3" customHeight="1"/>
    <row r="6" spans="1:33" s="31" customFormat="1">
      <c r="A6" s="124"/>
      <c r="B6" s="50"/>
      <c r="C6" s="318" t="s">
        <v>26</v>
      </c>
      <c r="D6" s="319"/>
      <c r="E6" s="320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1" t="s">
        <v>39</v>
      </c>
      <c r="H7" s="322"/>
      <c r="I7" s="322"/>
      <c r="J7" s="323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128</v>
      </c>
      <c r="B9" s="50"/>
      <c r="C9" s="141">
        <f>+Expenses!D9-[1]Expenses!D9</f>
        <v>0</v>
      </c>
      <c r="D9" s="142">
        <f>+Expenses!E9-[1]Expenses!E9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0</v>
      </c>
      <c r="D13" s="142">
        <f>+Expenses!E13-[1]Expenses!E13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71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1" t="s">
        <v>129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1" t="s">
        <v>91</v>
      </c>
      <c r="B16" s="50"/>
      <c r="C16" s="141">
        <f>+Expenses!D16-[1]Expenses!D16</f>
        <v>0</v>
      </c>
      <c r="D16" s="142">
        <f>+Expenses!E16-[1]Expenses!E16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1" t="s">
        <v>92</v>
      </c>
      <c r="B17" s="50"/>
      <c r="C17" s="141">
        <f>+Expenses!D17-[1]Expenses!D17</f>
        <v>0</v>
      </c>
      <c r="D17" s="142">
        <f>+Expenses!E17-[1]Expenses!E17</f>
        <v>0</v>
      </c>
      <c r="E17" s="143">
        <f>D17-C17</f>
        <v>0</v>
      </c>
      <c r="F17" s="52"/>
      <c r="G17" s="251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1" t="s">
        <v>93</v>
      </c>
      <c r="B18" s="50"/>
      <c r="C18" s="141">
        <f>+Expenses!D18-[1]Expenses!D18</f>
        <v>0</v>
      </c>
      <c r="D18" s="142">
        <f>+Expenses!E18-[1]Expenses!E18</f>
        <v>0</v>
      </c>
      <c r="E18" s="143">
        <f>D18-C18</f>
        <v>0</v>
      </c>
      <c r="F18" s="52"/>
      <c r="G18" s="251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1" t="s">
        <v>127</v>
      </c>
      <c r="B19" s="50"/>
      <c r="C19" s="141">
        <f>+Expenses!D19-[1]Expenses!D19</f>
        <v>0</v>
      </c>
      <c r="D19" s="142">
        <f>+Expenses!E19-[1]Expenses!E19</f>
        <v>0</v>
      </c>
      <c r="E19" s="143"/>
      <c r="F19" s="52"/>
      <c r="G19" s="251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2</v>
      </c>
      <c r="B20" s="50"/>
      <c r="C20" s="141">
        <f>+Expenses!D20-[1]Expenses!D20</f>
        <v>0</v>
      </c>
      <c r="D20" s="142">
        <f>+Expenses!E20-[1]Expenses!E20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3" customHeight="1">
      <c r="A21" s="129"/>
      <c r="B21" s="50"/>
      <c r="C21" s="141"/>
      <c r="D21" s="142"/>
      <c r="E21" s="143"/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1.25" customHeight="1">
      <c r="A22" s="51" t="s">
        <v>96</v>
      </c>
      <c r="B22" s="50"/>
      <c r="C22" s="47">
        <f>SUM(C17:C21)</f>
        <v>0</v>
      </c>
      <c r="D22" s="48">
        <f>SUM(D17:D21)</f>
        <v>0</v>
      </c>
      <c r="E22" s="49">
        <f>SUM(E17:E21)</f>
        <v>0</v>
      </c>
      <c r="F22" s="52"/>
      <c r="G22" s="144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5" customHeight="1">
      <c r="A24" s="129" t="s">
        <v>23</v>
      </c>
      <c r="B24" s="50"/>
      <c r="C24" s="141">
        <f>+Expenses!D24-[1]Expenses!D24</f>
        <v>0</v>
      </c>
      <c r="D24" s="142">
        <f>+Expenses!E24-[1]Expenses!E24</f>
        <v>0</v>
      </c>
      <c r="E24" s="143">
        <f>D24-C24</f>
        <v>0</v>
      </c>
      <c r="F24" s="52"/>
      <c r="G24" s="251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9" t="s">
        <v>10</v>
      </c>
      <c r="B25" s="50"/>
      <c r="C25" s="141">
        <f>+Expenses!D25-[1]Expenses!D25</f>
        <v>0</v>
      </c>
      <c r="D25" s="142">
        <f>+Expenses!E25-[1]Expenses!E25</f>
        <v>0</v>
      </c>
      <c r="E25" s="143">
        <f>D25-C25</f>
        <v>0</v>
      </c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50" customFormat="1" ht="11.25" customHeight="1">
      <c r="A27" s="51" t="s">
        <v>7</v>
      </c>
      <c r="C27" s="47">
        <f>SUM(C22:C25)</f>
        <v>0</v>
      </c>
      <c r="D27" s="48">
        <f>SUM(D22:D25)</f>
        <v>0</v>
      </c>
      <c r="E27" s="49">
        <f>SUM(E22:E25)</f>
        <v>0</v>
      </c>
      <c r="F27" s="52"/>
      <c r="G27" s="53"/>
      <c r="H27" s="54"/>
      <c r="I27" s="54"/>
      <c r="J27" s="55"/>
    </row>
    <row r="28" spans="1:33" ht="3" customHeight="1">
      <c r="A28" s="83"/>
      <c r="B28" s="31"/>
      <c r="C28" s="84"/>
      <c r="D28" s="81"/>
      <c r="E28" s="82"/>
      <c r="F28" s="31"/>
      <c r="G28" s="84"/>
      <c r="H28" s="81"/>
      <c r="I28" s="81"/>
      <c r="J28" s="8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33" customFormat="1" ht="3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s="50" customFormat="1" ht="12" hidden="1">
      <c r="A30" s="124"/>
      <c r="C30" s="318" t="s">
        <v>49</v>
      </c>
      <c r="D30" s="319"/>
      <c r="E30" s="320"/>
      <c r="G30" s="125"/>
      <c r="H30" s="126"/>
      <c r="I30" s="126"/>
      <c r="J30" s="127"/>
    </row>
    <row r="31" spans="1:33" s="50" customFormat="1" ht="12" hidden="1">
      <c r="A31" s="157" t="s">
        <v>9</v>
      </c>
      <c r="C31" s="86" t="s">
        <v>6</v>
      </c>
      <c r="D31" s="87" t="s">
        <v>8</v>
      </c>
      <c r="E31" s="74" t="s">
        <v>12</v>
      </c>
      <c r="G31" s="321" t="s">
        <v>39</v>
      </c>
      <c r="H31" s="322"/>
      <c r="I31" s="322"/>
      <c r="J31" s="323"/>
    </row>
    <row r="32" spans="1:33" s="50" customFormat="1" ht="12" hidden="1">
      <c r="A32" s="124"/>
      <c r="C32" s="141">
        <f>Expenses!D32-[1]Expenses!D29</f>
        <v>0</v>
      </c>
      <c r="D32" s="142">
        <f>Expenses!E32-[1]Expenses!E29</f>
        <v>0</v>
      </c>
      <c r="E32" s="143">
        <f>D32-C32</f>
        <v>0</v>
      </c>
      <c r="G32" s="125"/>
      <c r="H32" s="126"/>
      <c r="I32" s="126"/>
      <c r="J32" s="127"/>
    </row>
    <row r="33" spans="1:33" s="50" customFormat="1" ht="12" hidden="1">
      <c r="A33" s="129"/>
      <c r="C33" s="141" t="e">
        <f>Expenses!D33-[1]Expenses!D30</f>
        <v>#VALUE!</v>
      </c>
      <c r="D33" s="142">
        <f>Expenses!E33-[1]Expenses!E30</f>
        <v>0</v>
      </c>
      <c r="E33" s="143" t="e">
        <f>D33-C33</f>
        <v>#VALUE!</v>
      </c>
      <c r="G33" s="144"/>
      <c r="H33" s="145"/>
      <c r="I33" s="145"/>
      <c r="J33" s="146"/>
    </row>
    <row r="34" spans="1:33" s="50" customFormat="1" ht="12" hidden="1">
      <c r="A34" s="147"/>
      <c r="C34" s="154" t="e">
        <f>Expenses!D34-[1]Expenses!D31</f>
        <v>#VALUE!</v>
      </c>
      <c r="D34" s="155" t="e">
        <f>Expenses!E34-[1]Expenses!E31</f>
        <v>#VALUE!</v>
      </c>
      <c r="E34" s="156" t="e">
        <f>D34-C34</f>
        <v>#VALUE!</v>
      </c>
      <c r="G34" s="148"/>
      <c r="H34" s="149"/>
      <c r="I34" s="149"/>
      <c r="J34" s="150"/>
    </row>
    <row r="35" spans="1:33">
      <c r="A35" s="31"/>
      <c r="B35" s="31"/>
      <c r="C35" s="73"/>
      <c r="D35" s="73"/>
      <c r="E35" s="31"/>
      <c r="F35" s="31"/>
      <c r="G35" s="31"/>
      <c r="H35" s="31"/>
      <c r="I35" s="31"/>
      <c r="J35" s="31"/>
      <c r="K35" s="1"/>
      <c r="L35" s="1" t="s">
        <v>63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C36" s="1"/>
      <c r="D36" s="1"/>
      <c r="E36" s="26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>
      <c r="C38" s="16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</sheetData>
  <mergeCells count="7">
    <mergeCell ref="C30:E30"/>
    <mergeCell ref="G31:J31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B6" sqref="B6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t="s">
        <v>59</v>
      </c>
    </row>
    <row r="3" spans="1:20" ht="15">
      <c r="A3" s="10" t="s">
        <v>31</v>
      </c>
      <c r="B3" s="325" t="s">
        <v>121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</row>
    <row r="4" spans="1:20">
      <c r="A4" s="11">
        <v>36861</v>
      </c>
      <c r="B4" s="326" t="str">
        <f>'Mgmt Summary'!A3</f>
        <v>Results based on activity through March 2, 2001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1" t="s">
        <v>32</v>
      </c>
      <c r="E7" s="322"/>
      <c r="F7" s="322"/>
      <c r="G7" s="322"/>
      <c r="H7" s="322"/>
      <c r="I7" s="323"/>
      <c r="J7" s="50"/>
      <c r="K7" s="321" t="s">
        <v>55</v>
      </c>
      <c r="L7" s="322"/>
      <c r="M7" s="322"/>
      <c r="N7" s="322"/>
      <c r="O7" s="322"/>
      <c r="P7" s="323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0" t="s">
        <v>33</v>
      </c>
      <c r="H8" s="331"/>
      <c r="I8" s="332"/>
      <c r="J8" s="50"/>
      <c r="K8" s="86" t="s">
        <v>6</v>
      </c>
      <c r="L8" s="87" t="s">
        <v>8</v>
      </c>
      <c r="M8" s="74" t="s">
        <v>12</v>
      </c>
      <c r="N8" s="318" t="s">
        <v>33</v>
      </c>
      <c r="O8" s="319"/>
      <c r="P8" s="320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29" t="s">
        <v>128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9982.4419999999991</v>
      </c>
      <c r="L10" s="173">
        <v>9982.4419999999991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3399.6529999999998</v>
      </c>
      <c r="L11" s="173">
        <v>3399.6529999999998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870.75699999999995</v>
      </c>
      <c r="L12" s="173">
        <v>870.75699999999995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2239.7460000000001</v>
      </c>
      <c r="L13" s="173">
        <v>2239.7460000000001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813.33100000000002</v>
      </c>
      <c r="L14" s="173">
        <v>813.33100000000002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2078.0079999999998</v>
      </c>
      <c r="L15" s="173">
        <v>2078.0079999999998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129</v>
      </c>
      <c r="C16" s="172"/>
      <c r="D16" s="159">
        <v>0</v>
      </c>
      <c r="E16" s="173">
        <v>0</v>
      </c>
      <c r="F16" s="174">
        <f t="shared" ref="F16:F21" si="1">E16-D16</f>
        <v>0</v>
      </c>
      <c r="G16" s="175"/>
      <c r="H16" s="175"/>
      <c r="I16" s="176"/>
      <c r="J16" s="172"/>
      <c r="K16" s="159">
        <f>+L16</f>
        <v>172.096</v>
      </c>
      <c r="L16" s="173">
        <v>172.096</v>
      </c>
      <c r="M16" s="174">
        <f t="shared" ref="M16:M21" si="2"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 t="shared" si="1"/>
        <v>0</v>
      </c>
      <c r="G17" s="175"/>
      <c r="H17" s="175"/>
      <c r="I17" s="176"/>
      <c r="J17" s="172"/>
      <c r="K17" s="159">
        <f>+L17</f>
        <v>1203.8140000000001</v>
      </c>
      <c r="L17" s="173">
        <v>1203.8140000000001</v>
      </c>
      <c r="M17" s="174">
        <f t="shared" si="2"/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 t="shared" si="1"/>
        <v>0</v>
      </c>
      <c r="G18" s="175"/>
      <c r="H18" s="175"/>
      <c r="I18" s="176"/>
      <c r="J18" s="172"/>
      <c r="K18" s="159">
        <f>+L18</f>
        <v>791.423</v>
      </c>
      <c r="L18" s="173">
        <v>791.423</v>
      </c>
      <c r="M18" s="174">
        <f t="shared" si="2"/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 t="shared" si="1"/>
        <v>0</v>
      </c>
      <c r="G19" s="175"/>
      <c r="H19" s="175"/>
      <c r="I19" s="176"/>
      <c r="J19" s="172"/>
      <c r="K19" s="159">
        <f>+L19</f>
        <v>569.524</v>
      </c>
      <c r="L19" s="173">
        <v>569.524</v>
      </c>
      <c r="M19" s="174">
        <f t="shared" si="2"/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127</v>
      </c>
      <c r="C20" s="172"/>
      <c r="D20" s="159">
        <v>0</v>
      </c>
      <c r="E20" s="173">
        <v>0</v>
      </c>
      <c r="F20" s="174">
        <f t="shared" si="1"/>
        <v>0</v>
      </c>
      <c r="G20" s="175"/>
      <c r="H20" s="175"/>
      <c r="I20" s="176"/>
      <c r="J20" s="172"/>
      <c r="K20" s="159">
        <f>+L20</f>
        <v>71.608999999999995</v>
      </c>
      <c r="L20" s="173">
        <v>71.608999999999995</v>
      </c>
      <c r="M20" s="174">
        <f t="shared" si="2"/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</v>
      </c>
      <c r="C21" s="50"/>
      <c r="D21" s="141">
        <v>0</v>
      </c>
      <c r="E21" s="142">
        <v>0</v>
      </c>
      <c r="F21" s="158">
        <f t="shared" si="1"/>
        <v>0</v>
      </c>
      <c r="G21" s="145"/>
      <c r="H21" s="145"/>
      <c r="I21" s="146"/>
      <c r="J21" s="50"/>
      <c r="K21" s="159">
        <f>L21</f>
        <v>475.267</v>
      </c>
      <c r="L21" s="142">
        <v>475.267</v>
      </c>
      <c r="M21" s="158">
        <f t="shared" si="2"/>
        <v>0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ht="11.25" customHeight="1">
      <c r="B23" s="262" t="s">
        <v>96</v>
      </c>
      <c r="C23" s="50"/>
      <c r="D23" s="56">
        <f>SUM(D10:D22)</f>
        <v>1383.4870000000001</v>
      </c>
      <c r="E23" s="57">
        <f>SUM(E10:E22)</f>
        <v>1383.4870000000001</v>
      </c>
      <c r="F23" s="57">
        <f>SUM(F10:F22)</f>
        <v>0</v>
      </c>
      <c r="G23" s="54"/>
      <c r="H23" s="54"/>
      <c r="I23" s="55"/>
      <c r="J23" s="50"/>
      <c r="K23" s="56">
        <f>SUM(K10:K22)</f>
        <v>22667.67</v>
      </c>
      <c r="L23" s="57">
        <f>SUM(L10:L22)</f>
        <v>22667.67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9"/>
      <c r="C24" s="50"/>
      <c r="D24" s="141"/>
      <c r="E24" s="142"/>
      <c r="F24" s="158"/>
      <c r="G24" s="145"/>
      <c r="H24" s="145"/>
      <c r="I24" s="146"/>
      <c r="J24" s="50"/>
      <c r="K24" s="141"/>
      <c r="L24" s="142"/>
      <c r="M24" s="158"/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69</v>
      </c>
      <c r="C25" s="50"/>
      <c r="D25" s="141">
        <f>-(D23)</f>
        <v>-1383.4870000000001</v>
      </c>
      <c r="E25" s="142">
        <f>-(E23)</f>
        <v>-1383.4870000000001</v>
      </c>
      <c r="F25" s="158">
        <f>E25-D25</f>
        <v>0</v>
      </c>
      <c r="G25" s="145"/>
      <c r="H25" s="145"/>
      <c r="I25" s="146"/>
      <c r="J25" s="50"/>
      <c r="K25" s="141">
        <v>0</v>
      </c>
      <c r="L25" s="142">
        <v>0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13.5" customHeight="1">
      <c r="B26" s="129" t="s">
        <v>94</v>
      </c>
      <c r="C26" s="50"/>
      <c r="D26" s="141">
        <v>0</v>
      </c>
      <c r="E26" s="142">
        <v>0</v>
      </c>
      <c r="F26" s="158">
        <f>E26-D26</f>
        <v>0</v>
      </c>
      <c r="G26" s="145"/>
      <c r="H26" s="145"/>
      <c r="I26" s="146"/>
      <c r="J26" s="50"/>
      <c r="K26" s="141">
        <f>-K23</f>
        <v>-22667.67</v>
      </c>
      <c r="L26" s="142">
        <f>-L23</f>
        <v>-22667.67</v>
      </c>
      <c r="M26" s="158">
        <f>L26-K26</f>
        <v>0</v>
      </c>
      <c r="N26" s="145"/>
      <c r="O26" s="145"/>
      <c r="P26" s="79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7"/>
      <c r="C29" s="50"/>
      <c r="D29" s="154"/>
      <c r="E29" s="155"/>
      <c r="F29" s="155"/>
      <c r="G29" s="149"/>
      <c r="H29" s="149"/>
      <c r="I29" s="150"/>
      <c r="J29" s="50"/>
      <c r="K29" s="154"/>
      <c r="L29" s="155"/>
      <c r="M29" s="155"/>
      <c r="N29" s="149"/>
      <c r="O29" s="149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63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36" t="s">
        <v>70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</row>
    <row r="2" spans="1:40" ht="15">
      <c r="A2" s="10" t="s">
        <v>45</v>
      </c>
      <c r="B2" s="337" t="s">
        <v>67</v>
      </c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</row>
    <row r="3" spans="1:40">
      <c r="A3" s="10" t="s">
        <v>46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3" t="s">
        <v>65</v>
      </c>
      <c r="E6" s="334"/>
      <c r="F6" s="335"/>
      <c r="G6" s="1"/>
      <c r="H6" s="333" t="s">
        <v>66</v>
      </c>
      <c r="I6" s="334"/>
      <c r="J6" s="335"/>
      <c r="K6" s="1"/>
      <c r="L6" s="333" t="s">
        <v>38</v>
      </c>
      <c r="M6" s="334"/>
      <c r="N6" s="33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2001-03-05T13:26:06Z</cp:lastPrinted>
  <dcterms:created xsi:type="dcterms:W3CDTF">1999-10-18T12:36:30Z</dcterms:created>
  <dcterms:modified xsi:type="dcterms:W3CDTF">2014-09-05T10:49:46Z</dcterms:modified>
</cp:coreProperties>
</file>