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Summary'!$A$1:$M$35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Summary'!$A$1:$Q$35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K11" i="4"/>
  <c r="M11" i="4" s="1"/>
  <c r="K12" i="4"/>
  <c r="M12" i="4" s="1"/>
  <c r="D13" i="4"/>
  <c r="F13" i="4" s="1"/>
  <c r="K13" i="4"/>
  <c r="D14" i="4"/>
  <c r="F14" i="4" s="1"/>
  <c r="K14" i="4"/>
  <c r="M14" i="4" s="1"/>
  <c r="F15" i="4"/>
  <c r="K15" i="4"/>
  <c r="M15" i="4"/>
  <c r="D16" i="4"/>
  <c r="F16" i="4"/>
  <c r="K16" i="4"/>
  <c r="M16" i="4"/>
  <c r="F17" i="4"/>
  <c r="K17" i="4"/>
  <c r="D18" i="4"/>
  <c r="F18" i="4" s="1"/>
  <c r="K18" i="4"/>
  <c r="M18" i="4" s="1"/>
  <c r="D19" i="4"/>
  <c r="F19" i="4" s="1"/>
  <c r="K19" i="4"/>
  <c r="D20" i="4"/>
  <c r="F20" i="4" s="1"/>
  <c r="K20" i="4"/>
  <c r="M20" i="4" s="1"/>
  <c r="U19" i="1" s="1"/>
  <c r="F21" i="4"/>
  <c r="K21" i="4"/>
  <c r="M21" i="4"/>
  <c r="U20" i="1" s="1"/>
  <c r="E23" i="4"/>
  <c r="L23" i="4"/>
  <c r="M25" i="4"/>
  <c r="F26" i="4"/>
  <c r="L26" i="4"/>
  <c r="L28" i="4" s="1"/>
  <c r="D9" i="19"/>
  <c r="E9" i="19"/>
  <c r="D10" i="19"/>
  <c r="D12" i="19"/>
  <c r="C13" i="19"/>
  <c r="E13" i="19" s="1"/>
  <c r="D13" i="19"/>
  <c r="D14" i="19"/>
  <c r="C15" i="19"/>
  <c r="D15" i="19"/>
  <c r="E15" i="19"/>
  <c r="D16" i="19"/>
  <c r="E16" i="19" s="1"/>
  <c r="D20" i="19"/>
  <c r="C21" i="19"/>
  <c r="D21" i="19"/>
  <c r="E21" i="19"/>
  <c r="D22" i="19"/>
  <c r="C24" i="19"/>
  <c r="C30" i="19"/>
  <c r="E30" i="19" s="1"/>
  <c r="D30" i="19"/>
  <c r="C37" i="19"/>
  <c r="D37" i="19"/>
  <c r="E37" i="19" s="1"/>
  <c r="C38" i="19"/>
  <c r="D38" i="19"/>
  <c r="E38" i="19"/>
  <c r="C39" i="19"/>
  <c r="D39" i="19"/>
  <c r="E39" i="19" s="1"/>
  <c r="B4" i="3"/>
  <c r="A4" i="19" s="1"/>
  <c r="D9" i="3"/>
  <c r="C9" i="19" s="1"/>
  <c r="D10" i="3"/>
  <c r="C10" i="19" s="1"/>
  <c r="F10" i="3"/>
  <c r="D11" i="3"/>
  <c r="F11" i="3"/>
  <c r="T11" i="1" s="1"/>
  <c r="E12" i="3"/>
  <c r="E13" i="3"/>
  <c r="D13" i="3" s="1"/>
  <c r="D14" i="3"/>
  <c r="F14" i="3"/>
  <c r="T14" i="1" s="1"/>
  <c r="D15" i="3"/>
  <c r="C14" i="19" s="1"/>
  <c r="F15" i="3"/>
  <c r="T15" i="1" s="1"/>
  <c r="D16" i="3"/>
  <c r="F16" i="3" s="1"/>
  <c r="T16" i="1" s="1"/>
  <c r="D17" i="3"/>
  <c r="C20" i="19" s="1"/>
  <c r="F17" i="3"/>
  <c r="E18" i="3"/>
  <c r="D19" i="3"/>
  <c r="D20" i="3"/>
  <c r="C16" i="19" s="1"/>
  <c r="F20" i="3"/>
  <c r="E24" i="3"/>
  <c r="F25" i="3"/>
  <c r="F32" i="3"/>
  <c r="F33" i="3"/>
  <c r="F34" i="3"/>
  <c r="A3" i="9"/>
  <c r="C9" i="9"/>
  <c r="D9" i="9"/>
  <c r="F9" i="9"/>
  <c r="H9" i="9" s="1"/>
  <c r="K9" i="9" s="1"/>
  <c r="J9" i="9"/>
  <c r="C10" i="9"/>
  <c r="H10" i="9" s="1"/>
  <c r="K10" i="9" s="1"/>
  <c r="D10" i="9"/>
  <c r="F10" i="9"/>
  <c r="J10" i="9"/>
  <c r="C11" i="9"/>
  <c r="H11" i="9" s="1"/>
  <c r="K11" i="9" s="1"/>
  <c r="D11" i="9"/>
  <c r="F11" i="9"/>
  <c r="J11" i="9"/>
  <c r="C12" i="9"/>
  <c r="H12" i="9" s="1"/>
  <c r="K12" i="9" s="1"/>
  <c r="D12" i="9"/>
  <c r="F12" i="9"/>
  <c r="J12" i="9"/>
  <c r="C13" i="9"/>
  <c r="D13" i="9"/>
  <c r="F13" i="9"/>
  <c r="H13" i="9" s="1"/>
  <c r="K13" i="9" s="1"/>
  <c r="J13" i="9"/>
  <c r="C14" i="9"/>
  <c r="H14" i="9" s="1"/>
  <c r="K14" i="9" s="1"/>
  <c r="D14" i="9"/>
  <c r="F14" i="9"/>
  <c r="J14" i="9"/>
  <c r="C15" i="9"/>
  <c r="D15" i="9"/>
  <c r="F15" i="9"/>
  <c r="J15" i="9"/>
  <c r="C16" i="9"/>
  <c r="H16" i="9" s="1"/>
  <c r="K16" i="9" s="1"/>
  <c r="D16" i="9"/>
  <c r="D21" i="9" s="1"/>
  <c r="F16" i="9"/>
  <c r="J16" i="9"/>
  <c r="C17" i="9"/>
  <c r="D17" i="9"/>
  <c r="F17" i="9"/>
  <c r="H17" i="9" s="1"/>
  <c r="K17" i="9" s="1"/>
  <c r="J17" i="9"/>
  <c r="C18" i="9"/>
  <c r="H18" i="9" s="1"/>
  <c r="K18" i="9" s="1"/>
  <c r="D18" i="9"/>
  <c r="F18" i="9"/>
  <c r="J18" i="9"/>
  <c r="C19" i="9"/>
  <c r="H19" i="9" s="1"/>
  <c r="K19" i="9" s="1"/>
  <c r="D19" i="9"/>
  <c r="F19" i="9"/>
  <c r="J19" i="9"/>
  <c r="C20" i="9"/>
  <c r="H20" i="9" s="1"/>
  <c r="K20" i="9" s="1"/>
  <c r="D20" i="9"/>
  <c r="F20" i="9"/>
  <c r="J20" i="9"/>
  <c r="E21" i="9"/>
  <c r="E28" i="9" s="1"/>
  <c r="E32" i="9" s="1"/>
  <c r="G21" i="9"/>
  <c r="G28" i="9" s="1"/>
  <c r="G32" i="9" s="1"/>
  <c r="I21" i="9"/>
  <c r="C22" i="9"/>
  <c r="D22" i="9"/>
  <c r="F22" i="9"/>
  <c r="H22" i="9"/>
  <c r="J22" i="9"/>
  <c r="K22" i="9"/>
  <c r="C23" i="9"/>
  <c r="H23" i="9" s="1"/>
  <c r="K23" i="9" s="1"/>
  <c r="D23" i="9"/>
  <c r="F23" i="9"/>
  <c r="J23" i="9"/>
  <c r="C24" i="9"/>
  <c r="D24" i="9"/>
  <c r="H24" i="9" s="1"/>
  <c r="K24" i="9" s="1"/>
  <c r="F24" i="9"/>
  <c r="J24" i="9"/>
  <c r="C25" i="9"/>
  <c r="D25" i="9"/>
  <c r="F25" i="9"/>
  <c r="H25" i="9"/>
  <c r="K25" i="9" s="1"/>
  <c r="J25" i="9"/>
  <c r="C26" i="9"/>
  <c r="D26" i="9"/>
  <c r="F26" i="9"/>
  <c r="H26" i="9"/>
  <c r="J26" i="9"/>
  <c r="K26" i="9"/>
  <c r="I28" i="9"/>
  <c r="C30" i="9"/>
  <c r="D30" i="9"/>
  <c r="F30" i="9"/>
  <c r="H30" i="9" s="1"/>
  <c r="K30" i="9" s="1"/>
  <c r="J30" i="9"/>
  <c r="I32" i="9"/>
  <c r="B4" i="2"/>
  <c r="I10" i="2"/>
  <c r="L10" i="2"/>
  <c r="N10" i="2"/>
  <c r="D11" i="2"/>
  <c r="D29" i="2" s="1"/>
  <c r="D33" i="2" s="1"/>
  <c r="I11" i="2"/>
  <c r="M11" i="2"/>
  <c r="I12" i="2"/>
  <c r="L12" i="2"/>
  <c r="N12" i="2"/>
  <c r="I13" i="2"/>
  <c r="L13" i="2"/>
  <c r="M13" i="2"/>
  <c r="N13" i="2"/>
  <c r="I14" i="2"/>
  <c r="G13" i="1" s="1"/>
  <c r="M14" i="2"/>
  <c r="I15" i="2"/>
  <c r="L15" i="2"/>
  <c r="N15" i="2" s="1"/>
  <c r="I16" i="2"/>
  <c r="I17" i="2"/>
  <c r="L17" i="2"/>
  <c r="N17" i="2" s="1"/>
  <c r="I18" i="2"/>
  <c r="L18" i="2" s="1"/>
  <c r="N18" i="2" s="1"/>
  <c r="I19" i="2"/>
  <c r="L19" i="2" s="1"/>
  <c r="N19" i="2" s="1"/>
  <c r="I20" i="2"/>
  <c r="L20" i="2" s="1"/>
  <c r="N20" i="2"/>
  <c r="I21" i="2"/>
  <c r="L21" i="2"/>
  <c r="N21" i="2" s="1"/>
  <c r="D22" i="2"/>
  <c r="E22" i="2"/>
  <c r="F22" i="2"/>
  <c r="F29" i="2" s="1"/>
  <c r="F33" i="2" s="1"/>
  <c r="G22" i="2"/>
  <c r="H22" i="2"/>
  <c r="H29" i="2" s="1"/>
  <c r="K22" i="2"/>
  <c r="K29" i="2" s="1"/>
  <c r="K33" i="2" s="1"/>
  <c r="I23" i="2"/>
  <c r="L23" i="2"/>
  <c r="N23" i="2" s="1"/>
  <c r="I24" i="2"/>
  <c r="I25" i="2"/>
  <c r="G18" i="1" s="1"/>
  <c r="M25" i="2"/>
  <c r="I26" i="2"/>
  <c r="L26" i="2"/>
  <c r="N26" i="2" s="1"/>
  <c r="I27" i="2"/>
  <c r="E29" i="2"/>
  <c r="E33" i="2" s="1"/>
  <c r="G29" i="2"/>
  <c r="G33" i="2" s="1"/>
  <c r="J29" i="2"/>
  <c r="I31" i="2"/>
  <c r="M31" i="2"/>
  <c r="C26" i="1" s="1"/>
  <c r="H33" i="2"/>
  <c r="J33" i="2"/>
  <c r="F9" i="8"/>
  <c r="J9" i="8"/>
  <c r="L9" i="8"/>
  <c r="M9" i="8"/>
  <c r="N9" i="8" s="1"/>
  <c r="F15" i="8"/>
  <c r="J15" i="8"/>
  <c r="L15" i="8"/>
  <c r="N15" i="8" s="1"/>
  <c r="M15" i="8"/>
  <c r="F16" i="8"/>
  <c r="J16" i="8"/>
  <c r="L16" i="8"/>
  <c r="M16" i="8"/>
  <c r="N16" i="8"/>
  <c r="C9" i="1"/>
  <c r="D9" i="1"/>
  <c r="E9" i="1"/>
  <c r="G9" i="1"/>
  <c r="H9" i="1"/>
  <c r="J9" i="1" s="1"/>
  <c r="I9" i="1"/>
  <c r="L9" i="1"/>
  <c r="M9" i="1"/>
  <c r="S9" i="1"/>
  <c r="U9" i="1"/>
  <c r="D10" i="1"/>
  <c r="H10" i="1"/>
  <c r="I10" i="1"/>
  <c r="L10" i="1"/>
  <c r="M10" i="1"/>
  <c r="N10" i="1"/>
  <c r="S10" i="1"/>
  <c r="T10" i="1"/>
  <c r="U10" i="1"/>
  <c r="U10" i="36" s="1"/>
  <c r="C11" i="1"/>
  <c r="D11" i="1"/>
  <c r="E11" i="1"/>
  <c r="G11" i="1"/>
  <c r="H11" i="1"/>
  <c r="J11" i="1" s="1"/>
  <c r="I11" i="1"/>
  <c r="L11" i="1"/>
  <c r="M11" i="1"/>
  <c r="N11" i="1"/>
  <c r="S11" i="1"/>
  <c r="U11" i="1"/>
  <c r="C12" i="1"/>
  <c r="G12" i="1"/>
  <c r="H12" i="1"/>
  <c r="I12" i="1"/>
  <c r="J12" i="1"/>
  <c r="L12" i="1"/>
  <c r="S12" i="1"/>
  <c r="C13" i="1"/>
  <c r="D13" i="1"/>
  <c r="E13" i="1"/>
  <c r="H13" i="1"/>
  <c r="J13" i="1" s="1"/>
  <c r="I13" i="1"/>
  <c r="L13" i="1"/>
  <c r="N13" i="1"/>
  <c r="S13" i="1"/>
  <c r="U13" i="1"/>
  <c r="C14" i="1"/>
  <c r="D14" i="1"/>
  <c r="E14" i="1"/>
  <c r="G14" i="1"/>
  <c r="H14" i="1"/>
  <c r="I14" i="1"/>
  <c r="J14" i="1"/>
  <c r="L14" i="1"/>
  <c r="M14" i="1"/>
  <c r="N14" i="1"/>
  <c r="S14" i="1"/>
  <c r="U14" i="1"/>
  <c r="U14" i="36" s="1"/>
  <c r="C15" i="1"/>
  <c r="D15" i="1"/>
  <c r="E15" i="1"/>
  <c r="H15" i="1"/>
  <c r="I15" i="1"/>
  <c r="L15" i="1"/>
  <c r="M15" i="1"/>
  <c r="N15" i="1"/>
  <c r="S15" i="1"/>
  <c r="U15" i="1"/>
  <c r="C16" i="1"/>
  <c r="D16" i="1"/>
  <c r="E16" i="1"/>
  <c r="G16" i="1"/>
  <c r="H16" i="1"/>
  <c r="I16" i="1"/>
  <c r="J16" i="1"/>
  <c r="L16" i="1"/>
  <c r="M16" i="1"/>
  <c r="S16" i="1"/>
  <c r="C17" i="1"/>
  <c r="D17" i="1"/>
  <c r="E17" i="1"/>
  <c r="H17" i="1"/>
  <c r="I17" i="1"/>
  <c r="L17" i="1"/>
  <c r="M17" i="1"/>
  <c r="N17" i="1"/>
  <c r="S17" i="1"/>
  <c r="T17" i="1"/>
  <c r="U17" i="1"/>
  <c r="C18" i="1"/>
  <c r="H18" i="1"/>
  <c r="I18" i="1"/>
  <c r="J18" i="1"/>
  <c r="L18" i="1"/>
  <c r="S18" i="1"/>
  <c r="C19" i="1"/>
  <c r="D19" i="1"/>
  <c r="E19" i="1"/>
  <c r="G19" i="1"/>
  <c r="H19" i="1"/>
  <c r="J19" i="1" s="1"/>
  <c r="I19" i="1"/>
  <c r="L19" i="1"/>
  <c r="L22" i="1" s="1"/>
  <c r="L29" i="1" s="1"/>
  <c r="L33" i="1" s="1"/>
  <c r="N19" i="1"/>
  <c r="C20" i="1"/>
  <c r="E20" i="1" s="1"/>
  <c r="D20" i="1"/>
  <c r="H20" i="1"/>
  <c r="I20" i="1"/>
  <c r="L20" i="1"/>
  <c r="M20" i="1"/>
  <c r="N20" i="1"/>
  <c r="S20" i="1"/>
  <c r="T20" i="1"/>
  <c r="I22" i="1"/>
  <c r="K22" i="1"/>
  <c r="K29" i="1" s="1"/>
  <c r="K33" i="1" s="1"/>
  <c r="R22" i="1"/>
  <c r="R29" i="1" s="1"/>
  <c r="J24" i="1"/>
  <c r="L24" i="1"/>
  <c r="Q24" i="1"/>
  <c r="D25" i="1"/>
  <c r="E25" i="1" s="1"/>
  <c r="J25" i="1"/>
  <c r="C25" i="37" s="1"/>
  <c r="Q25" i="1"/>
  <c r="E26" i="1"/>
  <c r="H26" i="1"/>
  <c r="I26" i="1"/>
  <c r="T26" i="1"/>
  <c r="D27" i="1"/>
  <c r="E27" i="1"/>
  <c r="J27" i="1"/>
  <c r="L27" i="1"/>
  <c r="S27" i="1"/>
  <c r="V28" i="1"/>
  <c r="E31" i="1"/>
  <c r="G31" i="1"/>
  <c r="H31" i="1"/>
  <c r="I31" i="1"/>
  <c r="J31" i="1"/>
  <c r="O31" i="1" s="1"/>
  <c r="Q31" i="1"/>
  <c r="V31" i="1" s="1"/>
  <c r="T31" i="1"/>
  <c r="R33" i="1"/>
  <c r="G35" i="1"/>
  <c r="Q4" i="37"/>
  <c r="D9" i="37"/>
  <c r="H9" i="37"/>
  <c r="G10" i="37"/>
  <c r="H10" i="37"/>
  <c r="I10" i="37"/>
  <c r="D11" i="37"/>
  <c r="G11" i="37"/>
  <c r="H11" i="37"/>
  <c r="I11" i="37"/>
  <c r="L11" i="37"/>
  <c r="P11" i="37"/>
  <c r="D12" i="37"/>
  <c r="D13" i="37"/>
  <c r="H13" i="37"/>
  <c r="D14" i="37"/>
  <c r="G14" i="37"/>
  <c r="H14" i="37"/>
  <c r="I14" i="37"/>
  <c r="D15" i="37"/>
  <c r="L15" i="37" s="1"/>
  <c r="G15" i="37"/>
  <c r="H15" i="37"/>
  <c r="I15" i="37"/>
  <c r="D16" i="37"/>
  <c r="H16" i="37"/>
  <c r="D17" i="37"/>
  <c r="G17" i="37"/>
  <c r="H17" i="37"/>
  <c r="I17" i="37"/>
  <c r="L17" i="37"/>
  <c r="P17" i="37"/>
  <c r="D18" i="37"/>
  <c r="D19" i="37"/>
  <c r="L19" i="37" s="1"/>
  <c r="H19" i="37"/>
  <c r="D20" i="37"/>
  <c r="G20" i="37"/>
  <c r="I20" i="37" s="1"/>
  <c r="H20" i="37"/>
  <c r="C24" i="37"/>
  <c r="D24" i="37"/>
  <c r="O24" i="37"/>
  <c r="D25" i="37"/>
  <c r="P25" i="37" s="1"/>
  <c r="H25" i="37"/>
  <c r="L25" i="37"/>
  <c r="O25" i="37"/>
  <c r="D26" i="37"/>
  <c r="G26" i="37"/>
  <c r="I26" i="37" s="1"/>
  <c r="H26" i="37"/>
  <c r="D27" i="37"/>
  <c r="G27" i="37"/>
  <c r="P27" i="37" s="1"/>
  <c r="H27" i="37"/>
  <c r="D31" i="37"/>
  <c r="G31" i="37"/>
  <c r="H31" i="37"/>
  <c r="I31" i="37"/>
  <c r="E39" i="37"/>
  <c r="I39" i="37"/>
  <c r="I43" i="37" s="1"/>
  <c r="E40" i="37"/>
  <c r="E43" i="37" s="1"/>
  <c r="I40" i="37"/>
  <c r="E41" i="37"/>
  <c r="I41" i="37"/>
  <c r="E46" i="37"/>
  <c r="I46" i="37"/>
  <c r="C9" i="36"/>
  <c r="E9" i="36" s="1"/>
  <c r="D9" i="36"/>
  <c r="G9" i="36"/>
  <c r="J9" i="36" s="1"/>
  <c r="H9" i="36"/>
  <c r="I9" i="36"/>
  <c r="I23" i="36" s="1"/>
  <c r="I30" i="36" s="1"/>
  <c r="I34" i="36" s="1"/>
  <c r="M9" i="36"/>
  <c r="U9" i="36"/>
  <c r="D10" i="36"/>
  <c r="H10" i="36"/>
  <c r="I10" i="36"/>
  <c r="M10" i="36"/>
  <c r="N10" i="36"/>
  <c r="T10" i="36"/>
  <c r="C11" i="36"/>
  <c r="E11" i="36" s="1"/>
  <c r="D11" i="36"/>
  <c r="G11" i="36"/>
  <c r="J11" i="36" s="1"/>
  <c r="O11" i="36" s="1"/>
  <c r="H11" i="36"/>
  <c r="I11" i="36"/>
  <c r="M11" i="36"/>
  <c r="N11" i="36"/>
  <c r="T11" i="36"/>
  <c r="U11" i="36"/>
  <c r="C12" i="36"/>
  <c r="G12" i="36"/>
  <c r="J12" i="36" s="1"/>
  <c r="H12" i="36"/>
  <c r="I12" i="36"/>
  <c r="C13" i="36"/>
  <c r="E13" i="36" s="1"/>
  <c r="D13" i="36"/>
  <c r="G13" i="36"/>
  <c r="J13" i="36" s="1"/>
  <c r="H13" i="36"/>
  <c r="I13" i="36"/>
  <c r="N13" i="36"/>
  <c r="U13" i="36"/>
  <c r="C14" i="36"/>
  <c r="D14" i="36"/>
  <c r="E14" i="36" s="1"/>
  <c r="G14" i="36"/>
  <c r="J14" i="36" s="1"/>
  <c r="O14" i="36" s="1"/>
  <c r="H14" i="36"/>
  <c r="I14" i="36"/>
  <c r="M14" i="36"/>
  <c r="N14" i="36"/>
  <c r="T14" i="36"/>
  <c r="C15" i="36"/>
  <c r="E15" i="36" s="1"/>
  <c r="D15" i="36"/>
  <c r="H15" i="36"/>
  <c r="I15" i="36"/>
  <c r="M15" i="36"/>
  <c r="N15" i="36"/>
  <c r="T15" i="36"/>
  <c r="U15" i="36"/>
  <c r="C16" i="36"/>
  <c r="D16" i="36"/>
  <c r="E16" i="36" s="1"/>
  <c r="G16" i="36"/>
  <c r="J16" i="36" s="1"/>
  <c r="H16" i="36"/>
  <c r="I16" i="36"/>
  <c r="M16" i="36"/>
  <c r="T16" i="36"/>
  <c r="C17" i="36"/>
  <c r="E17" i="36" s="1"/>
  <c r="D17" i="36"/>
  <c r="H17" i="36"/>
  <c r="I17" i="36"/>
  <c r="M17" i="36"/>
  <c r="N17" i="36"/>
  <c r="T17" i="36"/>
  <c r="U17" i="36"/>
  <c r="C18" i="36"/>
  <c r="D18" i="36"/>
  <c r="E18" i="36" s="1"/>
  <c r="G18" i="36"/>
  <c r="J18" i="36" s="1"/>
  <c r="O18" i="36" s="1"/>
  <c r="H18" i="36"/>
  <c r="I18" i="36"/>
  <c r="M18" i="36"/>
  <c r="N18" i="36"/>
  <c r="Q18" i="36"/>
  <c r="T18" i="36"/>
  <c r="U18" i="36"/>
  <c r="V18" i="36"/>
  <c r="C19" i="36"/>
  <c r="G19" i="36"/>
  <c r="J19" i="36" s="1"/>
  <c r="H19" i="36"/>
  <c r="I19" i="36"/>
  <c r="R19" i="36"/>
  <c r="R23" i="36" s="1"/>
  <c r="R30" i="36" s="1"/>
  <c r="R34" i="36" s="1"/>
  <c r="S19" i="36"/>
  <c r="C20" i="36"/>
  <c r="E20" i="36" s="1"/>
  <c r="D20" i="36"/>
  <c r="G20" i="36"/>
  <c r="J20" i="36" s="1"/>
  <c r="H20" i="36"/>
  <c r="I20" i="36"/>
  <c r="N20" i="36"/>
  <c r="R20" i="36"/>
  <c r="S20" i="36"/>
  <c r="U20" i="36"/>
  <c r="C21" i="36"/>
  <c r="E21" i="36" s="1"/>
  <c r="D21" i="36"/>
  <c r="H21" i="36"/>
  <c r="I21" i="36"/>
  <c r="M21" i="36"/>
  <c r="N21" i="36"/>
  <c r="R21" i="36"/>
  <c r="S21" i="36"/>
  <c r="T21" i="36"/>
  <c r="U21" i="36"/>
  <c r="F23" i="36"/>
  <c r="H23" i="36"/>
  <c r="K23" i="36"/>
  <c r="K30" i="36" s="1"/>
  <c r="K34" i="36" s="1"/>
  <c r="L23" i="36"/>
  <c r="S23" i="36"/>
  <c r="C25" i="36"/>
  <c r="G25" i="36"/>
  <c r="H25" i="36"/>
  <c r="I25" i="36"/>
  <c r="J25" i="36"/>
  <c r="N25" i="36"/>
  <c r="Q25" i="36"/>
  <c r="R25" i="36"/>
  <c r="S25" i="36"/>
  <c r="U25" i="36"/>
  <c r="C26" i="36"/>
  <c r="E26" i="36" s="1"/>
  <c r="D26" i="36"/>
  <c r="G26" i="36"/>
  <c r="H26" i="36"/>
  <c r="I26" i="36"/>
  <c r="J26" i="36"/>
  <c r="M26" i="36"/>
  <c r="Q26" i="36"/>
  <c r="R26" i="36"/>
  <c r="S26" i="36"/>
  <c r="C27" i="36"/>
  <c r="E27" i="36" s="1"/>
  <c r="D27" i="36"/>
  <c r="H27" i="36"/>
  <c r="I27" i="36"/>
  <c r="M27" i="36"/>
  <c r="N27" i="36"/>
  <c r="R27" i="36"/>
  <c r="S27" i="36"/>
  <c r="T27" i="36"/>
  <c r="U27" i="36"/>
  <c r="E28" i="36"/>
  <c r="J28" i="36"/>
  <c r="O28" i="36"/>
  <c r="V29" i="36"/>
  <c r="H30" i="36"/>
  <c r="L30" i="36"/>
  <c r="S30" i="36"/>
  <c r="C32" i="36"/>
  <c r="E32" i="36" s="1"/>
  <c r="D32" i="36"/>
  <c r="G32" i="36"/>
  <c r="H32" i="36"/>
  <c r="J32" i="36" s="1"/>
  <c r="O32" i="36" s="1"/>
  <c r="I32" i="36"/>
  <c r="M32" i="36"/>
  <c r="N32" i="36"/>
  <c r="Q32" i="36"/>
  <c r="V32" i="36" s="1"/>
  <c r="R32" i="36"/>
  <c r="S32" i="36"/>
  <c r="T32" i="36"/>
  <c r="U32" i="36"/>
  <c r="H34" i="36"/>
  <c r="L34" i="36"/>
  <c r="S34" i="36"/>
  <c r="G36" i="36"/>
  <c r="E11" i="8"/>
  <c r="D12" i="8"/>
  <c r="H10" i="8"/>
  <c r="E12" i="8"/>
  <c r="D13" i="8"/>
  <c r="I11" i="8"/>
  <c r="H12" i="8"/>
  <c r="E14" i="8"/>
  <c r="I13" i="8"/>
  <c r="H14" i="8"/>
  <c r="D10" i="8"/>
  <c r="I14" i="8"/>
  <c r="E10" i="8"/>
  <c r="D11" i="8"/>
  <c r="E13" i="8"/>
  <c r="H13" i="8"/>
  <c r="I10" i="8"/>
  <c r="D14" i="8"/>
  <c r="H11" i="8"/>
  <c r="I12" i="8"/>
  <c r="J11" i="8" l="1"/>
  <c r="L14" i="8"/>
  <c r="F14" i="8"/>
  <c r="I18" i="8"/>
  <c r="J13" i="8"/>
  <c r="M13" i="8"/>
  <c r="F11" i="8"/>
  <c r="L11" i="8"/>
  <c r="M10" i="8"/>
  <c r="M18" i="8" s="1"/>
  <c r="E18" i="8"/>
  <c r="F10" i="8"/>
  <c r="F18" i="8" s="1"/>
  <c r="D18" i="8"/>
  <c r="L10" i="8"/>
  <c r="J14" i="8"/>
  <c r="M14" i="8"/>
  <c r="J12" i="8"/>
  <c r="F13" i="8"/>
  <c r="L13" i="8"/>
  <c r="N13" i="8" s="1"/>
  <c r="M12" i="8"/>
  <c r="H18" i="8"/>
  <c r="J10" i="8"/>
  <c r="J18" i="8" s="1"/>
  <c r="L12" i="8"/>
  <c r="F12" i="8"/>
  <c r="M11" i="8"/>
  <c r="Q9" i="1"/>
  <c r="C9" i="37"/>
  <c r="Q19" i="1"/>
  <c r="C19" i="37"/>
  <c r="Q13" i="1"/>
  <c r="C13" i="37"/>
  <c r="O11" i="1"/>
  <c r="Q11" i="1"/>
  <c r="C11" i="37"/>
  <c r="C31" i="37"/>
  <c r="L27" i="37"/>
  <c r="P19" i="37"/>
  <c r="I29" i="1"/>
  <c r="I33" i="1" s="1"/>
  <c r="G17" i="1"/>
  <c r="L24" i="2"/>
  <c r="N24" i="2" s="1"/>
  <c r="M13" i="4"/>
  <c r="U12" i="1" s="1"/>
  <c r="N12" i="1"/>
  <c r="N12" i="36" s="1"/>
  <c r="L31" i="37"/>
  <c r="I27" i="37"/>
  <c r="E24" i="37"/>
  <c r="P24" i="37"/>
  <c r="Q24" i="37" s="1"/>
  <c r="F21" i="9"/>
  <c r="F28" i="9"/>
  <c r="F32" i="9" s="1"/>
  <c r="D29" i="19"/>
  <c r="D24" i="3"/>
  <c r="F24" i="3"/>
  <c r="T24" i="1" s="1"/>
  <c r="V24" i="1" s="1"/>
  <c r="D24" i="1"/>
  <c r="E10" i="19"/>
  <c r="E25" i="4"/>
  <c r="M19" i="4"/>
  <c r="U18" i="1" s="1"/>
  <c r="U19" i="36" s="1"/>
  <c r="N18" i="1"/>
  <c r="N19" i="36" s="1"/>
  <c r="E25" i="37"/>
  <c r="P13" i="37"/>
  <c r="P9" i="37"/>
  <c r="Q12" i="1"/>
  <c r="C12" i="37"/>
  <c r="E12" i="37" s="1"/>
  <c r="G20" i="1"/>
  <c r="L27" i="2"/>
  <c r="N27" i="2" s="1"/>
  <c r="I22" i="2"/>
  <c r="L16" i="2"/>
  <c r="N16" i="2" s="1"/>
  <c r="Q27" i="1"/>
  <c r="V27" i="1" s="1"/>
  <c r="C27" i="37"/>
  <c r="O27" i="1"/>
  <c r="Q18" i="1"/>
  <c r="C18" i="37"/>
  <c r="H15" i="9"/>
  <c r="C21" i="9"/>
  <c r="C28" i="9" s="1"/>
  <c r="C32" i="9" s="1"/>
  <c r="H22" i="1"/>
  <c r="H29" i="1" s="1"/>
  <c r="H33" i="1" s="1"/>
  <c r="P26" i="37"/>
  <c r="L26" i="37"/>
  <c r="E18" i="37"/>
  <c r="P18" i="37"/>
  <c r="P15" i="37"/>
  <c r="L13" i="37"/>
  <c r="L9" i="37"/>
  <c r="J21" i="9"/>
  <c r="J28" i="9" s="1"/>
  <c r="J32" i="9" s="1"/>
  <c r="D23" i="4"/>
  <c r="L31" i="2"/>
  <c r="N31" i="2" s="1"/>
  <c r="G26" i="1"/>
  <c r="F19" i="3"/>
  <c r="T19" i="1" s="1"/>
  <c r="T20" i="36" s="1"/>
  <c r="M19" i="1"/>
  <c r="O19" i="1" s="1"/>
  <c r="E14" i="19"/>
  <c r="M17" i="4"/>
  <c r="U16" i="1" s="1"/>
  <c r="U16" i="36" s="1"/>
  <c r="N16" i="1"/>
  <c r="P31" i="37"/>
  <c r="Q25" i="37"/>
  <c r="O14" i="1"/>
  <c r="Q14" i="1"/>
  <c r="C14" i="37"/>
  <c r="S22" i="1"/>
  <c r="S29" i="1" s="1"/>
  <c r="S33" i="1" s="1"/>
  <c r="M29" i="2"/>
  <c r="M33" i="2" s="1"/>
  <c r="C10" i="1"/>
  <c r="D28" i="9"/>
  <c r="D32" i="9" s="1"/>
  <c r="D18" i="3"/>
  <c r="F18" i="3"/>
  <c r="T18" i="1" s="1"/>
  <c r="T19" i="36" s="1"/>
  <c r="D18" i="1"/>
  <c r="F13" i="3"/>
  <c r="T13" i="1" s="1"/>
  <c r="T13" i="36" s="1"/>
  <c r="C12" i="19"/>
  <c r="E12" i="19" s="1"/>
  <c r="M13" i="1"/>
  <c r="O13" i="1" s="1"/>
  <c r="P20" i="37"/>
  <c r="L20" i="37"/>
  <c r="O16" i="1"/>
  <c r="Q16" i="1"/>
  <c r="C16" i="37"/>
  <c r="G10" i="1"/>
  <c r="L11" i="2"/>
  <c r="E22" i="3"/>
  <c r="E27" i="3" s="1"/>
  <c r="D12" i="3"/>
  <c r="F12" i="3"/>
  <c r="T12" i="1" s="1"/>
  <c r="T12" i="36" s="1"/>
  <c r="D11" i="19"/>
  <c r="D18" i="19" s="1"/>
  <c r="D27" i="19" s="1"/>
  <c r="D32" i="19" s="1"/>
  <c r="D12" i="1"/>
  <c r="E20" i="19"/>
  <c r="E24" i="19" s="1"/>
  <c r="D24" i="19"/>
  <c r="N9" i="1"/>
  <c r="O9" i="1" s="1"/>
  <c r="L16" i="37"/>
  <c r="L14" i="37"/>
  <c r="L25" i="2"/>
  <c r="N25" i="2" s="1"/>
  <c r="L14" i="2"/>
  <c r="N14" i="2" s="1"/>
  <c r="F9" i="3"/>
  <c r="K23" i="4"/>
  <c r="F11" i="4"/>
  <c r="F23" i="4" s="1"/>
  <c r="P16" i="37"/>
  <c r="P14" i="37"/>
  <c r="P12" i="37"/>
  <c r="D22" i="3"/>
  <c r="D27" i="3" s="1"/>
  <c r="N11" i="2" l="1"/>
  <c r="K26" i="4"/>
  <c r="K28" i="4"/>
  <c r="V12" i="1"/>
  <c r="Q12" i="36"/>
  <c r="V11" i="1"/>
  <c r="Q11" i="36"/>
  <c r="V11" i="36" s="1"/>
  <c r="T9" i="1"/>
  <c r="F22" i="3"/>
  <c r="F27" i="3" s="1"/>
  <c r="K16" i="37"/>
  <c r="M16" i="37" s="1"/>
  <c r="O16" i="37"/>
  <c r="Q16" i="37" s="1"/>
  <c r="G16" i="37"/>
  <c r="I16" i="37" s="1"/>
  <c r="N16" i="36"/>
  <c r="O16" i="36" s="1"/>
  <c r="D25" i="4"/>
  <c r="F25" i="4" s="1"/>
  <c r="F28" i="4" s="1"/>
  <c r="E16" i="37"/>
  <c r="K27" i="37"/>
  <c r="M27" i="37" s="1"/>
  <c r="O27" i="37"/>
  <c r="Q27" i="37" s="1"/>
  <c r="E12" i="1"/>
  <c r="H12" i="37"/>
  <c r="D22" i="1"/>
  <c r="D29" i="1" s="1"/>
  <c r="D33" i="1" s="1"/>
  <c r="D12" i="36"/>
  <c r="V16" i="1"/>
  <c r="Q16" i="36"/>
  <c r="V16" i="36" s="1"/>
  <c r="E18" i="1"/>
  <c r="H18" i="37"/>
  <c r="D19" i="36"/>
  <c r="E19" i="36" s="1"/>
  <c r="U12" i="36"/>
  <c r="U23" i="36" s="1"/>
  <c r="U22" i="1"/>
  <c r="E27" i="37"/>
  <c r="N11" i="8"/>
  <c r="O14" i="37"/>
  <c r="Q14" i="37" s="1"/>
  <c r="K14" i="37"/>
  <c r="M14" i="37" s="1"/>
  <c r="E24" i="1"/>
  <c r="H24" i="37"/>
  <c r="D25" i="36"/>
  <c r="E25" i="36" s="1"/>
  <c r="E14" i="37"/>
  <c r="O31" i="37"/>
  <c r="Q31" i="37" s="1"/>
  <c r="K31" i="37"/>
  <c r="M31" i="37" s="1"/>
  <c r="O13" i="37"/>
  <c r="Q13" i="37" s="1"/>
  <c r="K9" i="37"/>
  <c r="O9" i="37"/>
  <c r="E9" i="37"/>
  <c r="N12" i="8"/>
  <c r="G19" i="37"/>
  <c r="I19" i="37" s="1"/>
  <c r="M20" i="36"/>
  <c r="O20" i="36" s="1"/>
  <c r="H21" i="9"/>
  <c r="H28" i="9" s="1"/>
  <c r="H32" i="9" s="1"/>
  <c r="K15" i="9"/>
  <c r="K21" i="9" s="1"/>
  <c r="K28" i="9" s="1"/>
  <c r="K32" i="9" s="1"/>
  <c r="C22" i="19"/>
  <c r="E22" i="19" s="1"/>
  <c r="M18" i="1"/>
  <c r="V14" i="1"/>
  <c r="Q14" i="36"/>
  <c r="V14" i="36" s="1"/>
  <c r="G15" i="1"/>
  <c r="L22" i="2"/>
  <c r="N22" i="2" s="1"/>
  <c r="I29" i="2"/>
  <c r="I33" i="2" s="1"/>
  <c r="E47" i="37" s="1"/>
  <c r="E49" i="37" s="1"/>
  <c r="T25" i="1"/>
  <c r="T25" i="36"/>
  <c r="V25" i="36" s="1"/>
  <c r="V13" i="1"/>
  <c r="Q13" i="36"/>
  <c r="V13" i="36" s="1"/>
  <c r="C11" i="19"/>
  <c r="C18" i="19" s="1"/>
  <c r="C27" i="19" s="1"/>
  <c r="C32" i="19" s="1"/>
  <c r="M12" i="1"/>
  <c r="O18" i="37"/>
  <c r="Q18" i="37" s="1"/>
  <c r="M24" i="1"/>
  <c r="C29" i="19"/>
  <c r="E29" i="19" s="1"/>
  <c r="G17" i="36"/>
  <c r="J17" i="36" s="1"/>
  <c r="O17" i="36" s="1"/>
  <c r="J17" i="1"/>
  <c r="V9" i="1"/>
  <c r="Q9" i="36"/>
  <c r="L18" i="8"/>
  <c r="N10" i="8"/>
  <c r="N18" i="8" s="1"/>
  <c r="J26" i="1"/>
  <c r="G27" i="36"/>
  <c r="J27" i="36" s="1"/>
  <c r="O27" i="36" s="1"/>
  <c r="Q19" i="36"/>
  <c r="V19" i="36" s="1"/>
  <c r="V18" i="1"/>
  <c r="J20" i="1"/>
  <c r="G21" i="36"/>
  <c r="J21" i="36" s="1"/>
  <c r="O21" i="36" s="1"/>
  <c r="E28" i="4"/>
  <c r="K19" i="37"/>
  <c r="M19" i="37" s="1"/>
  <c r="E19" i="37"/>
  <c r="O19" i="37"/>
  <c r="Q19" i="37" s="1"/>
  <c r="E10" i="1"/>
  <c r="E22" i="1" s="1"/>
  <c r="E29" i="1" s="1"/>
  <c r="E33" i="1" s="1"/>
  <c r="D10" i="37"/>
  <c r="C10" i="36"/>
  <c r="C22" i="1"/>
  <c r="C29" i="1" s="1"/>
  <c r="C33" i="1" s="1"/>
  <c r="K11" i="37"/>
  <c r="M11" i="37" s="1"/>
  <c r="O11" i="37"/>
  <c r="Q11" i="37" s="1"/>
  <c r="E11" i="37"/>
  <c r="E13" i="37"/>
  <c r="V19" i="1"/>
  <c r="Q20" i="36"/>
  <c r="V20" i="36" s="1"/>
  <c r="E31" i="37"/>
  <c r="G9" i="37"/>
  <c r="N22" i="1"/>
  <c r="N9" i="36"/>
  <c r="J10" i="1"/>
  <c r="G10" i="36"/>
  <c r="M23" i="4"/>
  <c r="N14" i="8"/>
  <c r="G13" i="37"/>
  <c r="I13" i="37" s="1"/>
  <c r="M13" i="36"/>
  <c r="O13" i="36" s="1"/>
  <c r="O12" i="37"/>
  <c r="Q12" i="37" s="1"/>
  <c r="C23" i="36" l="1"/>
  <c r="C30" i="36" s="1"/>
  <c r="C34" i="36" s="1"/>
  <c r="E10" i="36"/>
  <c r="E23" i="36" s="1"/>
  <c r="E30" i="36" s="1"/>
  <c r="E34" i="36" s="1"/>
  <c r="L24" i="37"/>
  <c r="H22" i="37"/>
  <c r="H29" i="37" s="1"/>
  <c r="H33" i="37" s="1"/>
  <c r="I12" i="37"/>
  <c r="L12" i="37"/>
  <c r="V12" i="36"/>
  <c r="P10" i="37"/>
  <c r="P22" i="37" s="1"/>
  <c r="P29" i="37" s="1"/>
  <c r="P33" i="37" s="1"/>
  <c r="L10" i="37"/>
  <c r="D22" i="37"/>
  <c r="D29" i="37" s="1"/>
  <c r="D33" i="37" s="1"/>
  <c r="M9" i="37"/>
  <c r="Q20" i="1"/>
  <c r="O20" i="1"/>
  <c r="C20" i="37"/>
  <c r="M22" i="1"/>
  <c r="M29" i="1" s="1"/>
  <c r="M33" i="1" s="1"/>
  <c r="G12" i="37"/>
  <c r="K12" i="37" s="1"/>
  <c r="M12" i="37" s="1"/>
  <c r="M12" i="36"/>
  <c r="O12" i="1"/>
  <c r="L18" i="37"/>
  <c r="J10" i="36"/>
  <c r="G23" i="36"/>
  <c r="G30" i="36" s="1"/>
  <c r="G34" i="36" s="1"/>
  <c r="J15" i="1"/>
  <c r="G15" i="36"/>
  <c r="J15" i="36" s="1"/>
  <c r="O15" i="36" s="1"/>
  <c r="K13" i="37"/>
  <c r="M13" i="37" s="1"/>
  <c r="M26" i="4"/>
  <c r="U25" i="1" s="1"/>
  <c r="U26" i="36" s="1"/>
  <c r="N25" i="1"/>
  <c r="N29" i="1" s="1"/>
  <c r="N33" i="1" s="1"/>
  <c r="O10" i="1"/>
  <c r="Q10" i="1"/>
  <c r="C10" i="37"/>
  <c r="J22" i="1"/>
  <c r="J29" i="1" s="1"/>
  <c r="G22" i="1"/>
  <c r="G29" i="1" s="1"/>
  <c r="G33" i="1" s="1"/>
  <c r="O17" i="1"/>
  <c r="Q17" i="1"/>
  <c r="C17" i="37"/>
  <c r="E11" i="19"/>
  <c r="E18" i="19" s="1"/>
  <c r="E27" i="19" s="1"/>
  <c r="E32" i="19" s="1"/>
  <c r="T22" i="1"/>
  <c r="T29" i="1" s="1"/>
  <c r="T33" i="1" s="1"/>
  <c r="T9" i="36"/>
  <c r="T23" i="36" s="1"/>
  <c r="L29" i="2"/>
  <c r="L33" i="2" s="1"/>
  <c r="M19" i="36"/>
  <c r="O19" i="36" s="1"/>
  <c r="G18" i="37"/>
  <c r="K18" i="37" s="1"/>
  <c r="M18" i="37" s="1"/>
  <c r="O18" i="1"/>
  <c r="D28" i="4"/>
  <c r="N29" i="2"/>
  <c r="N33" i="2" s="1"/>
  <c r="N23" i="36"/>
  <c r="O9" i="36"/>
  <c r="Q26" i="1"/>
  <c r="O26" i="1"/>
  <c r="C26" i="37"/>
  <c r="E12" i="36"/>
  <c r="D23" i="36"/>
  <c r="D30" i="36" s="1"/>
  <c r="D34" i="36" s="1"/>
  <c r="I9" i="37"/>
  <c r="G22" i="37"/>
  <c r="M25" i="36"/>
  <c r="O25" i="36" s="1"/>
  <c r="O24" i="1"/>
  <c r="G24" i="37"/>
  <c r="K24" i="37" s="1"/>
  <c r="M24" i="37" s="1"/>
  <c r="T26" i="36"/>
  <c r="V26" i="36" s="1"/>
  <c r="Q9" i="37"/>
  <c r="U30" i="36"/>
  <c r="U34" i="36" s="1"/>
  <c r="V17" i="1" l="1"/>
  <c r="Q17" i="36"/>
  <c r="V17" i="36" s="1"/>
  <c r="V26" i="1"/>
  <c r="Q27" i="36"/>
  <c r="V27" i="36" s="1"/>
  <c r="M28" i="4"/>
  <c r="Q21" i="36"/>
  <c r="V21" i="36" s="1"/>
  <c r="V20" i="1"/>
  <c r="O29" i="1"/>
  <c r="J33" i="1"/>
  <c r="O33" i="1" s="1"/>
  <c r="O15" i="1"/>
  <c r="Q15" i="1"/>
  <c r="Q22" i="1" s="1"/>
  <c r="Q29" i="1" s="1"/>
  <c r="Q33" i="1" s="1"/>
  <c r="C15" i="37"/>
  <c r="I18" i="37"/>
  <c r="I22" i="37" s="1"/>
  <c r="O10" i="37"/>
  <c r="K10" i="37"/>
  <c r="V10" i="1"/>
  <c r="Q10" i="36"/>
  <c r="K26" i="37"/>
  <c r="M26" i="37" s="1"/>
  <c r="O26" i="37"/>
  <c r="Q26" i="37" s="1"/>
  <c r="E26" i="37"/>
  <c r="T30" i="36"/>
  <c r="T34" i="36" s="1"/>
  <c r="O12" i="36"/>
  <c r="M23" i="36"/>
  <c r="M30" i="36" s="1"/>
  <c r="M34" i="36" s="1"/>
  <c r="V25" i="1"/>
  <c r="O22" i="1"/>
  <c r="O10" i="36"/>
  <c r="O23" i="36" s="1"/>
  <c r="J23" i="36"/>
  <c r="J30" i="36" s="1"/>
  <c r="L22" i="37"/>
  <c r="L29" i="37" s="1"/>
  <c r="L33" i="37" s="1"/>
  <c r="I24" i="37"/>
  <c r="K17" i="37"/>
  <c r="M17" i="37" s="1"/>
  <c r="O17" i="37"/>
  <c r="Q17" i="37" s="1"/>
  <c r="E17" i="37"/>
  <c r="V9" i="36"/>
  <c r="K20" i="37"/>
  <c r="M20" i="37" s="1"/>
  <c r="O20" i="37"/>
  <c r="Q20" i="37" s="1"/>
  <c r="E20" i="37"/>
  <c r="E10" i="37"/>
  <c r="G25" i="37"/>
  <c r="G29" i="37" s="1"/>
  <c r="G33" i="37" s="1"/>
  <c r="I47" i="37" s="1"/>
  <c r="I49" i="37" s="1"/>
  <c r="N26" i="36"/>
  <c r="O26" i="36" s="1"/>
  <c r="O25" i="1"/>
  <c r="U29" i="1"/>
  <c r="U33" i="1" s="1"/>
  <c r="I29" i="37" l="1"/>
  <c r="I33" i="37" s="1"/>
  <c r="N30" i="36"/>
  <c r="N34" i="36" s="1"/>
  <c r="V10" i="36"/>
  <c r="V23" i="36" s="1"/>
  <c r="V30" i="36" s="1"/>
  <c r="V34" i="36" s="1"/>
  <c r="Q23" i="36"/>
  <c r="Q30" i="36" s="1"/>
  <c r="Q34" i="36" s="1"/>
  <c r="I25" i="37"/>
  <c r="K25" i="37"/>
  <c r="M25" i="37" s="1"/>
  <c r="K15" i="37"/>
  <c r="M15" i="37" s="1"/>
  <c r="O15" i="37"/>
  <c r="Q15" i="37" s="1"/>
  <c r="E15" i="37"/>
  <c r="E22" i="37" s="1"/>
  <c r="E29" i="37" s="1"/>
  <c r="E33" i="37" s="1"/>
  <c r="V15" i="1"/>
  <c r="V22" i="1" s="1"/>
  <c r="V29" i="1" s="1"/>
  <c r="V33" i="1" s="1"/>
  <c r="Q15" i="36"/>
  <c r="V15" i="36" s="1"/>
  <c r="C22" i="37"/>
  <c r="C29" i="37" s="1"/>
  <c r="C33" i="37" s="1"/>
  <c r="J34" i="36"/>
  <c r="O34" i="36" s="1"/>
  <c r="O30" i="36"/>
  <c r="M10" i="37"/>
  <c r="Q10" i="37"/>
  <c r="Q22" i="37" s="1"/>
  <c r="Q29" i="37" s="1"/>
  <c r="Q33" i="37" s="1"/>
  <c r="O22" i="37"/>
  <c r="O29" i="37" s="1"/>
  <c r="O33" i="37" s="1"/>
  <c r="K22" i="37" l="1"/>
  <c r="K29" i="37" s="1"/>
  <c r="K33" i="37" s="1"/>
  <c r="M22" i="37"/>
  <c r="M29" i="37" s="1"/>
  <c r="M33" i="37" s="1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<sst xmlns="http://schemas.openxmlformats.org/spreadsheetml/2006/main" count="426" uniqueCount="133">
  <si>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</si>
  <si>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</si>
  <si>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</si>
  <si>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</si>
  <si>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</si>
  <si>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</si>
  <si>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</si>
  <si>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</si>
  <si>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</si>
  <si>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</si>
  <si>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</si>
  <si>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</si>
  <si>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</si>
  <si>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</si>
  <si>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</si>
  <si>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</si>
  <si>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</si>
  <si>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</si>
  <si>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</si>
  <si>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</si>
  <si>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</si>
  <si>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</si>
  <si>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</si>
  <si>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</si>
  <si>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</si>
  <si>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</si>
  <si>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</si>
  <si>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</si>
  <si>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</si>
  <si>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</si>
  <si>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</si>
  <si>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</si>
  <si>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</si>
  <si>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</si>
  <si>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</si>
  <si>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</si>
  <si>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</si>
  <si>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</si>
  <si>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</si>
  <si>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</si>
  <si>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</si>
  <si>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</si>
  <si>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</si>
  <si>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</si>
  <si>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</si>
  <si>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</si>
  <si>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</si>
  <si>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</si>
  <si>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</si>
  <si>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</si>
  <si>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</si>
  <si>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</si>
  <si>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</si>
  <si>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</si>
  <si>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</si>
  <si>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</si>
  <si>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</si>
  <si>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</si>
  <si>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</si>
  <si>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</si>
  <si>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</si>
  <si>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</si>
  <si>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</si>
  <si>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</si>
  <si>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</si>
  <si>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</si>
  <si>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</si>
  <si>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</si>
  <si>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</si>
  <si>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</si>
  <si>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</si>
  <si>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</si>
  <si>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</si>
  <si>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</si>
  <si>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</si>
  <si>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</si>
  <si>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</si>
  <si>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</si>
  <si>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</si>
  <si>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</si>
  <si>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</si>
  <si>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</si>
  <si>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</si>
  <si>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</si>
  <si>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</si>
  <si>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</si>
  <si>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</si>
  <si>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</si>
  <si>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</si>
  <si>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</si>
  <si>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</si>
  <si>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</si>
  <si>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</si>
  <si>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</si>
  <si>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</si>
  <si>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</si>
  <si>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</si>
  <si>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</si>
  <si>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</si>
  <si>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</si>
  <si>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</si>
  <si>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</si>
  <si>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</si>
  <si>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</si>
  <si>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</si>
  <si>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</si>
  <si>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</si>
  <si>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</si>
  <si>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</si>
  <si>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</si>
  <si>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</si>
  <si>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</si>
  <si>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</si>
  <si>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</si>
  <si>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</si>
  <si>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</si>
  <si>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</si>
  <si>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</si>
  <si>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</si>
  <si>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</si>
  <si>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</si>
  <si>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</si>
  <si>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</si>
  <si>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</si>
  <si>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</si>
  <si>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</si>
  <si>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</si>
  <si>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</si>
  <si>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</si>
  <si>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</si>
  <si>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</si>
  <si>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</si>
  <si>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Results based on activity through April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</si>
</sst>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2">
          <cell r="D12">
            <v>1213.6189999999999</v>
          </cell>
          <cell r="E12">
            <v>1213.6189999999999</v>
          </cell>
        </row>
        <row r="13">
          <cell r="D13">
            <v>1808.5229999999999</v>
          </cell>
          <cell r="E13">
            <v>1808.5229999999999</v>
          </cell>
        </row>
        <row r="14">
          <cell r="D14">
            <v>1802.6479999999999</v>
          </cell>
          <cell r="E14">
            <v>1802.6479999999999</v>
          </cell>
        </row>
        <row r="15">
          <cell r="D15">
            <v>3467.386</v>
          </cell>
          <cell r="E15">
            <v>3467.386</v>
          </cell>
        </row>
        <row r="16">
          <cell r="D16">
            <v>461.70699999999999</v>
          </cell>
          <cell r="E16">
            <v>461.70699999999999</v>
          </cell>
        </row>
        <row r="17">
          <cell r="D17">
            <v>1430.25</v>
          </cell>
          <cell r="E17">
            <v>1430.25</v>
          </cell>
        </row>
        <row r="21">
          <cell r="D21">
            <v>533.36900000000003</v>
          </cell>
          <cell r="E21">
            <v>533.36900000000003</v>
          </cell>
        </row>
        <row r="23">
          <cell r="D23">
            <v>23292.500999999997</v>
          </cell>
          <cell r="E23">
            <v>23292.500999999997</v>
          </cell>
        </row>
        <row r="26">
          <cell r="D26">
            <v>0</v>
          </cell>
          <cell r="E26">
            <v>0</v>
          </cell>
        </row>
        <row r="31">
          <cell r="D31" t="str">
            <v>Operating Expenses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62019.822790000006</v>
          </cell>
          <cell r="I9">
            <v>0</v>
          </cell>
          <cell r="M9">
            <v>7100</v>
          </cell>
          <cell r="N9">
            <v>9982.4419999999991</v>
          </cell>
          <cell r="Q9">
            <v>22019.822790000006</v>
          </cell>
          <cell r="T9">
            <v>-332.22999999999956</v>
          </cell>
          <cell r="U9">
            <v>0</v>
          </cell>
        </row>
        <row r="10">
          <cell r="C10">
            <v>11250</v>
          </cell>
          <cell r="D10">
            <v>7412.7459999999992</v>
          </cell>
          <cell r="G10">
            <v>15699.687989999999</v>
          </cell>
          <cell r="I10">
            <v>0</v>
          </cell>
          <cell r="M10">
            <v>3584.9830000000002</v>
          </cell>
          <cell r="N10">
            <v>3399.6529999999998</v>
          </cell>
          <cell r="Q10">
            <v>4449.6879899999985</v>
          </cell>
          <cell r="T10">
            <v>428.10999999999967</v>
          </cell>
          <cell r="U10">
            <v>0</v>
          </cell>
        </row>
        <row r="11">
          <cell r="C11">
            <v>2500</v>
          </cell>
          <cell r="D11">
            <v>0</v>
          </cell>
          <cell r="G11">
            <v>4613.0200000000004</v>
          </cell>
          <cell r="I11">
            <v>0</v>
          </cell>
          <cell r="M11">
            <v>0</v>
          </cell>
          <cell r="N11">
            <v>0</v>
          </cell>
          <cell r="Q11">
            <v>2113.0200000000004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-6231.0020000000004</v>
          </cell>
          <cell r="I12">
            <v>0</v>
          </cell>
          <cell r="M12">
            <v>570.50299999999993</v>
          </cell>
          <cell r="N12">
            <v>870.75699999999995</v>
          </cell>
          <cell r="Q12">
            <v>-11231.002</v>
          </cell>
          <cell r="T12">
            <v>643.11500000000001</v>
          </cell>
          <cell r="U12">
            <v>0</v>
          </cell>
        </row>
        <row r="13">
          <cell r="C13">
            <v>8509.2510000000002</v>
          </cell>
          <cell r="D13">
            <v>4048.2690000000002</v>
          </cell>
          <cell r="G13">
            <v>8725.7240000000002</v>
          </cell>
          <cell r="I13">
            <v>0</v>
          </cell>
          <cell r="M13">
            <v>1808.5229999999999</v>
          </cell>
          <cell r="N13">
            <v>2239.7460000000001</v>
          </cell>
          <cell r="Q13">
            <v>216.47299999999996</v>
          </cell>
          <cell r="T13">
            <v>0</v>
          </cell>
          <cell r="U13">
            <v>0</v>
          </cell>
        </row>
        <row r="14">
          <cell r="C14">
            <v>4875</v>
          </cell>
          <cell r="D14">
            <v>2615.9789999999998</v>
          </cell>
          <cell r="G14">
            <v>1658.8319999999999</v>
          </cell>
          <cell r="I14">
            <v>0</v>
          </cell>
          <cell r="M14">
            <v>800.13799999999992</v>
          </cell>
          <cell r="N14">
            <v>813.33100000000002</v>
          </cell>
          <cell r="Q14">
            <v>-3216.1680000000001</v>
          </cell>
          <cell r="T14">
            <v>1002.51</v>
          </cell>
          <cell r="U14">
            <v>0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2967.386</v>
          </cell>
          <cell r="N15">
            <v>2078.0079999999998</v>
          </cell>
          <cell r="Q15">
            <v>-6718.2430000000004</v>
          </cell>
          <cell r="T15">
            <v>500</v>
          </cell>
          <cell r="U15">
            <v>0</v>
          </cell>
        </row>
        <row r="16">
          <cell r="C16">
            <v>500</v>
          </cell>
          <cell r="D16">
            <v>633.803</v>
          </cell>
          <cell r="G16">
            <v>41.21</v>
          </cell>
          <cell r="I16">
            <v>0</v>
          </cell>
          <cell r="M16">
            <v>1630.8179999999998</v>
          </cell>
          <cell r="N16">
            <v>172.096</v>
          </cell>
          <cell r="Q16">
            <v>-458.79</v>
          </cell>
          <cell r="T16">
            <v>-1169.1109999999999</v>
          </cell>
          <cell r="U16">
            <v>0</v>
          </cell>
        </row>
        <row r="17">
          <cell r="C17">
            <v>3000</v>
          </cell>
          <cell r="D17">
            <v>2634.0640000000003</v>
          </cell>
          <cell r="G17">
            <v>1679.3910000000001</v>
          </cell>
          <cell r="I17">
            <v>0</v>
          </cell>
          <cell r="M17">
            <v>2430.25</v>
          </cell>
          <cell r="N17">
            <v>1203.8140000000001</v>
          </cell>
          <cell r="Q17">
            <v>-1320.6089999999999</v>
          </cell>
          <cell r="T17">
            <v>-1000</v>
          </cell>
          <cell r="U17">
            <v>0</v>
          </cell>
        </row>
        <row r="18">
          <cell r="C18">
            <v>1413</v>
          </cell>
          <cell r="D18">
            <v>1600.923</v>
          </cell>
          <cell r="G18">
            <v>165</v>
          </cell>
          <cell r="I18">
            <v>0</v>
          </cell>
          <cell r="M18">
            <v>1488.5</v>
          </cell>
          <cell r="N18">
            <v>791.423</v>
          </cell>
          <cell r="Q18">
            <v>-1248</v>
          </cell>
          <cell r="T18">
            <v>-679</v>
          </cell>
          <cell r="U18">
            <v>0</v>
          </cell>
        </row>
        <row r="19">
          <cell r="C19">
            <v>-858.5010000000002</v>
          </cell>
          <cell r="D19">
            <v>842.06600000000003</v>
          </cell>
          <cell r="G19">
            <v>-1476</v>
          </cell>
          <cell r="I19">
            <v>0</v>
          </cell>
          <cell r="M19">
            <v>362.54199999999997</v>
          </cell>
          <cell r="N19">
            <v>569.524</v>
          </cell>
          <cell r="Q19">
            <v>-617.4989999999998</v>
          </cell>
          <cell r="T19">
            <v>-90</v>
          </cell>
          <cell r="U19">
            <v>0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327</v>
          </cell>
          <cell r="N20">
            <v>71.608999999999995</v>
          </cell>
          <cell r="Q20">
            <v>47.173999999999999</v>
          </cell>
          <cell r="T20">
            <v>385.16999999999996</v>
          </cell>
          <cell r="U20">
            <v>0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475.267</v>
          </cell>
          <cell r="Q21">
            <v>0</v>
          </cell>
          <cell r="T21">
            <v>11.294999999999959</v>
          </cell>
          <cell r="U21">
            <v>0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27406.815999999999</v>
          </cell>
          <cell r="N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-22667.67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 refreshError="1"/>
      <sheetData sheetId="1">
        <row r="9">
          <cell r="C9">
            <v>-8602</v>
          </cell>
          <cell r="D9">
            <v>32500</v>
          </cell>
        </row>
        <row r="10">
          <cell r="C10">
            <v>1763</v>
          </cell>
          <cell r="D10">
            <v>11250</v>
          </cell>
        </row>
        <row r="11">
          <cell r="C11">
            <v>-1455</v>
          </cell>
          <cell r="D11">
            <v>2500</v>
          </cell>
        </row>
        <row r="12">
          <cell r="C12">
            <v>-105</v>
          </cell>
          <cell r="D12">
            <v>5000</v>
          </cell>
        </row>
        <row r="13">
          <cell r="C13">
            <v>-78</v>
          </cell>
          <cell r="D13">
            <v>7078.8189999999995</v>
          </cell>
        </row>
        <row r="14">
          <cell r="C14">
            <v>0</v>
          </cell>
          <cell r="D14">
            <v>11875</v>
          </cell>
        </row>
        <row r="15">
          <cell r="C15">
            <v>1176</v>
          </cell>
          <cell r="D15">
            <v>27500</v>
          </cell>
        </row>
        <row r="16">
          <cell r="C16">
            <v>7</v>
          </cell>
          <cell r="D16">
            <v>1000</v>
          </cell>
        </row>
        <row r="17">
          <cell r="C17">
            <v>3</v>
          </cell>
          <cell r="D17">
            <v>5000</v>
          </cell>
        </row>
        <row r="18">
          <cell r="C18">
            <v>-379</v>
          </cell>
          <cell r="D18">
            <v>1372.4989999999998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4">
          <cell r="C24">
            <v>0</v>
          </cell>
          <cell r="D24">
            <v>0</v>
          </cell>
        </row>
        <row r="25">
          <cell r="C25">
            <v>0</v>
          </cell>
          <cell r="D25">
            <v>0</v>
          </cell>
        </row>
        <row r="26">
          <cell r="C26">
            <v>-500</v>
          </cell>
          <cell r="D26">
            <v>-500</v>
          </cell>
        </row>
        <row r="31">
          <cell r="C31">
            <v>0</v>
          </cell>
          <cell r="D31">
            <v>0</v>
          </cell>
        </row>
      </sheetData>
      <sheetData sheetId="2" refreshError="1"/>
      <sheetData sheetId="3" refreshError="1"/>
      <sheetData sheetId="4">
        <row r="10">
          <cell r="D10">
            <v>-8602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1763</v>
          </cell>
          <cell r="E11">
            <v>0</v>
          </cell>
          <cell r="G11">
            <v>0</v>
          </cell>
          <cell r="K11">
            <v>0</v>
          </cell>
        </row>
        <row r="12">
          <cell r="D12">
            <v>-1455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-105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-78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391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-125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870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40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7</v>
          </cell>
          <cell r="E23">
            <v>0</v>
          </cell>
          <cell r="G23">
            <v>0</v>
          </cell>
          <cell r="K23">
            <v>0</v>
          </cell>
        </row>
        <row r="24">
          <cell r="D24">
            <v>3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-379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G31">
            <v>-500</v>
          </cell>
          <cell r="K31">
            <v>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08" t="s">
        <v>8</v>
      </c>
      <c r="D5" s="309"/>
      <c r="E5" s="310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08" t="s">
        <v>35</v>
      </c>
      <c r="R5" s="309"/>
      <c r="S5" s="309"/>
      <c r="T5" s="309"/>
      <c r="U5" s="309"/>
      <c r="V5" s="310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122</v>
      </c>
      <c r="B9" s="35"/>
      <c r="C9" s="132">
        <f>+'Mgmt Summary'!C9+'[3]Mgmt Summary'!C9</f>
        <v>72500</v>
      </c>
      <c r="D9" s="36">
        <f>+'Mgmt Summary'!D9+'[3]Mgmt Summary'!D9</f>
        <v>33748.228000000003</v>
      </c>
      <c r="E9" s="134">
        <f t="shared" ref="E9:E21" si="0">C9-D9</f>
        <v>38751.771999999997</v>
      </c>
      <c r="F9" s="36"/>
      <c r="G9" s="132">
        <f>+'Mgmt Summary'!G9+'[3]Mgmt Summary'!G9</f>
        <v>50855.822790000006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50855.822790000006</v>
      </c>
      <c r="K9" s="136"/>
      <c r="L9" s="132"/>
      <c r="M9" s="139">
        <f>+'Mgmt Summary'!M9+'[3]Mgmt Summary'!M9</f>
        <v>14094.312</v>
      </c>
      <c r="N9" s="139">
        <f>+'Mgmt Summary'!N9+'[3]Mgmt Summary'!N9</f>
        <v>19986.146000000001</v>
      </c>
      <c r="O9" s="135">
        <f t="shared" ref="O9:O21" si="2">J9-K9-M9-N9-L9</f>
        <v>16775.364790000007</v>
      </c>
      <c r="P9" s="37"/>
      <c r="Q9" s="132">
        <f>+'Mgmt Summary'!Q9+'[3]Mgmt Summary'!Q9</f>
        <v>-21644.177209999994</v>
      </c>
      <c r="R9" s="36"/>
      <c r="S9" s="139"/>
      <c r="T9" s="139">
        <f>+'Mgmt Summary'!T9+'[3]Mgmt Summary'!T9</f>
        <v>-332.22999999999956</v>
      </c>
      <c r="U9" s="139">
        <f>+'Mgmt Summary'!U9+'[3]Mgmt Summary'!U9</f>
        <v>0</v>
      </c>
      <c r="V9" s="134">
        <f>ROUND(SUM(Q9:U9),0)</f>
        <v>-21976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22500</v>
      </c>
      <c r="D10" s="36">
        <f>+'Mgmt Summary'!D10+'[3]Mgmt Summary'!D10</f>
        <v>14891.939999999999</v>
      </c>
      <c r="E10" s="134">
        <f t="shared" si="0"/>
        <v>7608.0600000000013</v>
      </c>
      <c r="F10" s="36"/>
      <c r="G10" s="132">
        <f>+'Mgmt Summary'!G10+'[3]Mgmt Summary'!G10</f>
        <v>17879.687989999999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17879.687989999999</v>
      </c>
      <c r="K10" s="136"/>
      <c r="L10" s="132"/>
      <c r="M10" s="139">
        <f>+'Mgmt Summary'!M10+'[3]Mgmt Summary'!M10</f>
        <v>7662.1980000000003</v>
      </c>
      <c r="N10" s="139">
        <f>+'Mgmt Summary'!N10+'[3]Mgmt Summary'!N10</f>
        <v>6801.6319999999996</v>
      </c>
      <c r="O10" s="135">
        <f t="shared" si="2"/>
        <v>3415.8579899999986</v>
      </c>
      <c r="P10" s="37"/>
      <c r="Q10" s="132">
        <f>+'Mgmt Summary'!Q10+'[3]Mgmt Summary'!Q10</f>
        <v>-4620.3120100000015</v>
      </c>
      <c r="R10" s="36"/>
      <c r="S10" s="139"/>
      <c r="T10" s="139">
        <f>+'Mgmt Summary'!T10+'[3]Mgmt Summary'!T10</f>
        <v>428.10999999999967</v>
      </c>
      <c r="U10" s="139">
        <f>+'Mgmt Summary'!U10+'[3]Mgmt Summary'!U10</f>
        <v>0</v>
      </c>
      <c r="V10" s="134">
        <f t="shared" ref="V10:V19" si="3">ROUND(SUM(Q10:U10),0)</f>
        <v>-4192</v>
      </c>
      <c r="W10" s="32"/>
    </row>
    <row r="11" spans="1:24" ht="13.5" customHeight="1">
      <c r="A11" s="106" t="s">
        <v>125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3115.0200000000004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3115.0200000000004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3115.0200000000004</v>
      </c>
      <c r="P11" s="37"/>
      <c r="Q11" s="132">
        <f>+'Mgmt Summary'!Q11+'[3]Mgmt Summary'!Q11</f>
        <v>-1884.9799999999996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-1885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10000</v>
      </c>
      <c r="D12" s="36">
        <f>+'Mgmt Summary'!D12+'[3]Mgmt Summary'!D12</f>
        <v>4242.6570000000002</v>
      </c>
      <c r="E12" s="134">
        <f t="shared" si="0"/>
        <v>5757.3429999999998</v>
      </c>
      <c r="F12" s="36"/>
      <c r="G12" s="132">
        <f>+'Mgmt Summary'!G12+'[3]Mgmt Summary'!G12</f>
        <v>-6020.0020000000004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-6020.0020000000004</v>
      </c>
      <c r="K12" s="136"/>
      <c r="L12" s="132"/>
      <c r="M12" s="139">
        <f>+'Mgmt Summary'!M12+'[3]Mgmt Summary'!M12</f>
        <v>1854.2839999999999</v>
      </c>
      <c r="N12" s="139">
        <f>+'Mgmt Summary'!N12+'[3]Mgmt Summary'!N12</f>
        <v>1745.2579999999998</v>
      </c>
      <c r="O12" s="135">
        <f t="shared" si="2"/>
        <v>-9619.5439999999999</v>
      </c>
      <c r="P12" s="37"/>
      <c r="Q12" s="132">
        <f>+'Mgmt Summary'!Q12+'[3]Mgmt Summary'!Q12</f>
        <v>-16020.002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0</v>
      </c>
      <c r="V12" s="134">
        <f t="shared" si="3"/>
        <v>-15377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7775.7000000000007</v>
      </c>
      <c r="E13" s="134">
        <f t="shared" si="0"/>
        <v>7812.369999999999</v>
      </c>
      <c r="F13" s="36"/>
      <c r="G13" s="132">
        <f>+'Mgmt Summary'!G13+'[3]Mgmt Summary'!G13</f>
        <v>9341.7240000000002</v>
      </c>
      <c r="H13" s="36">
        <f>GrossMargin!J14</f>
        <v>0</v>
      </c>
      <c r="I13" s="137">
        <f>+'Mgmt Summary'!I13+'[3]Mgmt Summary'!I13</f>
        <v>0</v>
      </c>
      <c r="J13" s="135">
        <f t="shared" si="1"/>
        <v>9341.7240000000002</v>
      </c>
      <c r="K13" s="136"/>
      <c r="L13" s="132"/>
      <c r="M13" s="139">
        <f>+'Mgmt Summary'!M13+'[3]Mgmt Summary'!M13</f>
        <v>3271.5299999999997</v>
      </c>
      <c r="N13" s="139">
        <f>+'Mgmt Summary'!N13+'[3]Mgmt Summary'!N13</f>
        <v>4504.17</v>
      </c>
      <c r="O13" s="135">
        <f t="shared" si="2"/>
        <v>1566.0240000000003</v>
      </c>
      <c r="P13" s="37"/>
      <c r="Q13" s="132">
        <f>+'Mgmt Summary'!Q13+'[3]Mgmt Summary'!Q13</f>
        <v>-6246.3459999999995</v>
      </c>
      <c r="R13" s="36"/>
      <c r="S13" s="139"/>
      <c r="T13" s="139">
        <f>+'Mgmt Summary'!T13+'[3]Mgmt Summary'!T13</f>
        <v>0</v>
      </c>
      <c r="U13" s="139">
        <f>+'Mgmt Summary'!U13+'[3]Mgmt Summary'!U13</f>
        <v>0</v>
      </c>
      <c r="V13" s="134">
        <f t="shared" si="3"/>
        <v>-6246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5734.5609999999997</v>
      </c>
      <c r="E14" s="134">
        <f t="shared" si="0"/>
        <v>11015.439</v>
      </c>
      <c r="F14" s="36"/>
      <c r="G14" s="132">
        <f>+'Mgmt Summary'!G14+'[3]Mgmt Summary'!G14</f>
        <v>1658.8319999999999</v>
      </c>
      <c r="H14" s="36">
        <f>GrossMargin!J15</f>
        <v>0</v>
      </c>
      <c r="I14" s="137">
        <f>+'Mgmt Summary'!I14+'[3]Mgmt Summary'!I14</f>
        <v>0</v>
      </c>
      <c r="J14" s="135">
        <f t="shared" si="1"/>
        <v>1658.8319999999999</v>
      </c>
      <c r="K14" s="136"/>
      <c r="L14" s="132"/>
      <c r="M14" s="139">
        <f>+'Mgmt Summary'!M14+'[3]Mgmt Summary'!M14</f>
        <v>3104.259</v>
      </c>
      <c r="N14" s="139">
        <f>+'Mgmt Summary'!N14+'[3]Mgmt Summary'!N14</f>
        <v>1627.7919999999999</v>
      </c>
      <c r="O14" s="135">
        <f t="shared" si="2"/>
        <v>-3073.2190000000001</v>
      </c>
      <c r="P14" s="37"/>
      <c r="Q14" s="132">
        <f>+'Mgmt Summary'!Q14+'[3]Mgmt Summary'!Q14</f>
        <v>-15091.168</v>
      </c>
      <c r="R14" s="36"/>
      <c r="S14" s="139"/>
      <c r="T14" s="139">
        <f>+'Mgmt Summary'!T14+'[3]Mgmt Summary'!T14</f>
        <v>1002.51</v>
      </c>
      <c r="U14" s="139">
        <f>+'Mgmt Summary'!U14+'[3]Mgmt Summary'!U14</f>
        <v>0</v>
      </c>
      <c r="V14" s="134">
        <f t="shared" si="3"/>
        <v>-14089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11429.173000000001</v>
      </c>
      <c r="E15" s="134">
        <f t="shared" si="0"/>
        <v>36070.826999999997</v>
      </c>
      <c r="F15" s="36"/>
      <c r="G15" s="132">
        <f>+'Mgmt Summary'!G15+'[3]Mgmt Summary'!G15</f>
        <v>13764.757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13764.757</v>
      </c>
      <c r="K15" s="136"/>
      <c r="L15" s="132"/>
      <c r="M15" s="139">
        <f>+'Mgmt Summary'!M15+'[3]Mgmt Summary'!M15</f>
        <v>6710</v>
      </c>
      <c r="N15" s="139">
        <f>+'Mgmt Summary'!N15+'[3]Mgmt Summary'!N15</f>
        <v>4219.1729999999998</v>
      </c>
      <c r="O15" s="135">
        <f t="shared" si="2"/>
        <v>2835.5839999999998</v>
      </c>
      <c r="P15" s="37"/>
      <c r="Q15" s="132">
        <f>+'Mgmt Summary'!Q15+'[3]Mgmt Summary'!Q15</f>
        <v>-33735.243000000002</v>
      </c>
      <c r="R15" s="36"/>
      <c r="S15" s="139"/>
      <c r="T15" s="139">
        <f>+'Mgmt Summary'!T15+'[3]Mgmt Summary'!T15</f>
        <v>500</v>
      </c>
      <c r="U15" s="139">
        <f>+'Mgmt Summary'!U15+'[3]Mgmt Summary'!U15</f>
        <v>0</v>
      </c>
      <c r="V15" s="134">
        <f t="shared" si="3"/>
        <v>-33235</v>
      </c>
      <c r="W15" s="63"/>
      <c r="X15" s="168"/>
    </row>
    <row r="16" spans="1:24" s="64" customFormat="1" ht="13.5" customHeight="1">
      <c r="A16" s="166" t="s">
        <v>130</v>
      </c>
      <c r="B16" s="177"/>
      <c r="C16" s="132">
        <f>+'Mgmt Summary'!C16+'[3]Mgmt Summary'!C16</f>
        <v>1500</v>
      </c>
      <c r="D16" s="36">
        <f>+'Mgmt Summary'!D16+'[3]Mgmt Summary'!D16</f>
        <v>1382.202</v>
      </c>
      <c r="E16" s="134">
        <f t="shared" si="0"/>
        <v>117.798</v>
      </c>
      <c r="F16" s="36"/>
      <c r="G16" s="132">
        <f>+'Mgmt Summary'!G16+'[3]Mgmt Summary'!G16</f>
        <v>58.21</v>
      </c>
      <c r="H16" s="36">
        <f>GrossMargin!J17</f>
        <v>0</v>
      </c>
      <c r="I16" s="137">
        <f>+'Mgmt Summary'!I16+'[3]Mgmt Summary'!I16</f>
        <v>0</v>
      </c>
      <c r="J16" s="135">
        <f t="shared" si="1"/>
        <v>58.21</v>
      </c>
      <c r="K16" s="136"/>
      <c r="L16" s="132"/>
      <c r="M16" s="139">
        <f>+'Mgmt Summary'!M16+'[3]Mgmt Summary'!M16</f>
        <v>2209.3709999999996</v>
      </c>
      <c r="N16" s="139">
        <f>+'Mgmt Summary'!N16+'[3]Mgmt Summary'!N16</f>
        <v>341.94200000000001</v>
      </c>
      <c r="O16" s="135">
        <f t="shared" si="2"/>
        <v>-2493.1029999999996</v>
      </c>
      <c r="P16" s="37"/>
      <c r="Q16" s="132">
        <f>+'Mgmt Summary'!Q16+'[3]Mgmt Summary'!Q16</f>
        <v>-1441.79</v>
      </c>
      <c r="R16" s="36"/>
      <c r="S16" s="139"/>
      <c r="T16" s="139">
        <f>+'Mgmt Summary'!T16+'[3]Mgmt Summary'!T16</f>
        <v>-1169.1109999999999</v>
      </c>
      <c r="U16" s="139">
        <f>+'Mgmt Summary'!U16+'[3]Mgmt Summary'!U16</f>
        <v>0</v>
      </c>
      <c r="V16" s="134">
        <f t="shared" si="3"/>
        <v>-2611</v>
      </c>
      <c r="W16" s="63"/>
      <c r="X16" s="168"/>
    </row>
    <row r="17" spans="1:24" s="64" customFormat="1" ht="13.5" customHeight="1">
      <c r="A17" s="166" t="s">
        <v>89</v>
      </c>
      <c r="B17" s="177"/>
      <c r="C17" s="132">
        <f>+'Mgmt Summary'!C17+'[3]Mgmt Summary'!C17</f>
        <v>8000</v>
      </c>
      <c r="D17" s="36">
        <f>+'Mgmt Summary'!D17+'[3]Mgmt Summary'!D17</f>
        <v>5271.317</v>
      </c>
      <c r="E17" s="134">
        <f t="shared" si="0"/>
        <v>2728.683</v>
      </c>
      <c r="F17" s="36"/>
      <c r="G17" s="132">
        <f>+'Mgmt Summary'!G17+'[3]Mgmt Summary'!G17</f>
        <v>1682.3910000000001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1682.3910000000001</v>
      </c>
      <c r="K17" s="136"/>
      <c r="L17" s="132"/>
      <c r="M17" s="139">
        <f>+'Mgmt Summary'!M17+'[3]Mgmt Summary'!M17</f>
        <v>3860.5</v>
      </c>
      <c r="N17" s="139">
        <f>+'Mgmt Summary'!N17+'[3]Mgmt Summary'!N17</f>
        <v>2410.817</v>
      </c>
      <c r="O17" s="135">
        <f t="shared" si="2"/>
        <v>-4588.9259999999995</v>
      </c>
      <c r="P17" s="37"/>
      <c r="Q17" s="132">
        <f>+'Mgmt Summary'!Q17+'[3]Mgmt Summary'!Q17</f>
        <v>-6317.6090000000004</v>
      </c>
      <c r="R17" s="36"/>
      <c r="S17" s="139"/>
      <c r="T17" s="139">
        <f>+'Mgmt Summary'!T17+'[3]Mgmt Summary'!T17</f>
        <v>-1000</v>
      </c>
      <c r="U17" s="139">
        <f>+'Mgmt Summary'!U17+'[3]Mgmt Summary'!U17</f>
        <v>0</v>
      </c>
      <c r="V17" s="134">
        <f t="shared" si="3"/>
        <v>-7318</v>
      </c>
      <c r="W17" s="63"/>
      <c r="X17" s="168"/>
    </row>
    <row r="18" spans="1:24" s="64" customFormat="1" ht="13.5" customHeight="1">
      <c r="A18" s="166" t="s">
        <v>128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165</v>
      </c>
      <c r="H18" s="36">
        <f>GrossMargin!J19</f>
        <v>0</v>
      </c>
      <c r="I18" s="137">
        <f>+'[3]Mgmt Summary'!I18</f>
        <v>0</v>
      </c>
      <c r="J18" s="135">
        <f t="shared" si="1"/>
        <v>165</v>
      </c>
      <c r="K18" s="136"/>
      <c r="L18" s="132"/>
      <c r="M18" s="139">
        <f>+'[3]Mgmt Summary'!M18</f>
        <v>1488.5</v>
      </c>
      <c r="N18" s="139">
        <f>+'[3]Mgmt Summary'!N18</f>
        <v>791.423</v>
      </c>
      <c r="O18" s="135">
        <f t="shared" si="2"/>
        <v>-2114.9229999999998</v>
      </c>
      <c r="P18" s="37"/>
      <c r="Q18" s="132">
        <f>+'[3]Mgmt Summary'!Q18</f>
        <v>-1248</v>
      </c>
      <c r="R18" s="36"/>
      <c r="S18" s="139"/>
      <c r="T18" s="139">
        <f>+'[3]Mgmt Summary'!T18</f>
        <v>-679</v>
      </c>
      <c r="U18" s="139">
        <f>+'[3]Mgmt Summary'!U18</f>
        <v>0</v>
      </c>
      <c r="V18" s="134">
        <f t="shared" si="3"/>
        <v>-1927</v>
      </c>
      <c r="W18" s="63"/>
      <c r="X18" s="168"/>
    </row>
    <row r="19" spans="1:24" s="64" customFormat="1" ht="13.5" customHeight="1">
      <c r="A19" s="166" t="s">
        <v>91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-2921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-2921</v>
      </c>
      <c r="K19" s="136"/>
      <c r="L19" s="132"/>
      <c r="M19" s="139">
        <f>+'Mgmt Summary'!M18+'[3]Mgmt Summary'!M19</f>
        <v>664.82299999999998</v>
      </c>
      <c r="N19" s="139">
        <f>+'Mgmt Summary'!N18+'[3]Mgmt Summary'!N19</f>
        <v>1142.5889999999999</v>
      </c>
      <c r="O19" s="135">
        <f t="shared" si="2"/>
        <v>-4728.4120000000003</v>
      </c>
      <c r="P19" s="37"/>
      <c r="Q19" s="132">
        <f>+'Mgmt Summary'!Q18+'[3]Mgmt Summary'!Q19</f>
        <v>-3434.9979999999996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-90</v>
      </c>
      <c r="U19" s="139">
        <f>+'Mgmt Summary'!U18+'[3]Mgmt Summary'!U19</f>
        <v>0</v>
      </c>
      <c r="V19" s="134">
        <f t="shared" si="3"/>
        <v>-3525</v>
      </c>
      <c r="W19" s="63"/>
      <c r="X19" s="168"/>
    </row>
    <row r="20" spans="1:24" ht="13.5" customHeight="1">
      <c r="A20" s="106" t="s">
        <v>121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GrossMargin!J27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1022.866</v>
      </c>
      <c r="N20" s="139">
        <f>+'Mgmt Summary'!N19+'[3]Mgmt Summary'!N20</f>
        <v>141.97499999999999</v>
      </c>
      <c r="O20" s="135">
        <f t="shared" si="2"/>
        <v>-1117.6669999999999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385.16999999999996</v>
      </c>
      <c r="U20" s="139">
        <f>+'Mgmt Summary'!U19+'[3]Mgmt Summary'!U20</f>
        <v>0</v>
      </c>
      <c r="V20" s="134">
        <f>ROUND(SUM(Q20:U20),0)</f>
        <v>432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GrossMargin!J28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1059.2740000000001</v>
      </c>
      <c r="N21" s="139">
        <f>+'Mgmt Summary'!N20+'[3]Mgmt Summary'!N21</f>
        <v>949.29099999999994</v>
      </c>
      <c r="O21" s="135">
        <f t="shared" si="2"/>
        <v>-2008.5650000000001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11.294999999999959</v>
      </c>
      <c r="U21" s="139">
        <f>+'Mgmt Summary'!U20+'[3]Mgmt Summary'!U21</f>
        <v>0</v>
      </c>
      <c r="V21" s="134">
        <f>ROUND(SUM(Q21:U21),0)</f>
        <v>11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201265.068</v>
      </c>
      <c r="D23" s="44">
        <f>SUM(D9:D22)</f>
        <v>91363.983999999997</v>
      </c>
      <c r="E23" s="45">
        <f>SUM(E9:E22)</f>
        <v>109901.08399999999</v>
      </c>
      <c r="F23" s="36" t="e">
        <f>SUM(#REF!)</f>
        <v>#REF!</v>
      </c>
      <c r="G23" s="43">
        <f t="shared" ref="G23:O23" si="4">SUM(G9:G22)</f>
        <v>89627.616780000026</v>
      </c>
      <c r="H23" s="44">
        <f t="shared" si="4"/>
        <v>0</v>
      </c>
      <c r="I23" s="44">
        <f t="shared" si="4"/>
        <v>0</v>
      </c>
      <c r="J23" s="46">
        <f t="shared" si="4"/>
        <v>89627.616780000026</v>
      </c>
      <c r="K23" s="44">
        <f t="shared" si="4"/>
        <v>0</v>
      </c>
      <c r="L23" s="43">
        <f t="shared" si="4"/>
        <v>0</v>
      </c>
      <c r="M23" s="44">
        <f t="shared" si="4"/>
        <v>47001.916999999994</v>
      </c>
      <c r="N23" s="44">
        <f t="shared" si="4"/>
        <v>44662.208000000006</v>
      </c>
      <c r="O23" s="46">
        <f t="shared" si="4"/>
        <v>-2036.508219999997</v>
      </c>
      <c r="P23" s="37"/>
      <c r="Q23" s="43">
        <f t="shared" ref="Q23:V23" si="5">SUM(Q9:Q22)</f>
        <v>-111637.45121999999</v>
      </c>
      <c r="R23" s="44">
        <f t="shared" si="5"/>
        <v>0</v>
      </c>
      <c r="S23" s="44">
        <f t="shared" si="5"/>
        <v>0</v>
      </c>
      <c r="T23" s="44">
        <f t="shared" si="5"/>
        <v>-300.14099999999985</v>
      </c>
      <c r="U23" s="44">
        <f t="shared" si="5"/>
        <v>0</v>
      </c>
      <c r="V23" s="45">
        <f t="shared" si="5"/>
        <v>-111938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96</v>
      </c>
      <c r="B25" s="35"/>
      <c r="C25" s="132">
        <f>+'Mgmt Summary'!C24+'[3]Mgmt Summary'!C25</f>
        <v>0</v>
      </c>
      <c r="D25" s="36">
        <f>+'Mgmt Summary'!D24+'[3]Mgmt Summary'!D25</f>
        <v>55841.735999999997</v>
      </c>
      <c r="E25" s="134">
        <f>C25-D25</f>
        <v>-55841.735999999997</v>
      </c>
      <c r="F25" s="36"/>
      <c r="G25" s="132">
        <f>+'Mgmt Summary'!G24+'[3]Mgmt Summary'!G25</f>
        <v>0</v>
      </c>
      <c r="H25" s="36">
        <f>GrossMargin!J32</f>
        <v>0</v>
      </c>
      <c r="I25" s="137">
        <f>+'Mgmt Summary'!I24+'[3]Mgmt Summary'!I25</f>
        <v>0</v>
      </c>
      <c r="J25" s="135">
        <f>SUM(G25:I25)</f>
        <v>0</v>
      </c>
      <c r="K25" s="136"/>
      <c r="L25" s="132"/>
      <c r="M25" s="139">
        <f>+'Mgmt Summary'!M24+'[3]Mgmt Summary'!M25</f>
        <v>55841.735999999997</v>
      </c>
      <c r="N25" s="139">
        <f>+'Mgmt Summary'!N24+'[3]Mgmt Summary'!N25</f>
        <v>0</v>
      </c>
      <c r="O25" s="135">
        <f>J25-K25-M25-N25-L25</f>
        <v>-55841.735999999997</v>
      </c>
      <c r="P25" s="37"/>
      <c r="Q25" s="132">
        <f>+'Mgmt Summary'!Q24+'[3]Mgmt Summary'!Q25</f>
        <v>0</v>
      </c>
      <c r="R25" s="36">
        <f>+'Mgmt Summary'!R24+'[2]YTD Mgmt Summary'!R25</f>
        <v>0</v>
      </c>
      <c r="S25" s="139">
        <f>+'Mgmt Summary'!S24+'[2]YTD Mgmt Summary'!S25</f>
        <v>0</v>
      </c>
      <c r="T25" s="139">
        <f>+'Mgmt Summary'!T24+'[3]Mgmt Summary'!T25</f>
        <v>0</v>
      </c>
      <c r="U25" s="139">
        <f>+'Mgmt Summary'!U24+'[3]Mgmt Summary'!U25</f>
        <v>0</v>
      </c>
      <c r="V25" s="134">
        <f>ROUND(SUM(Q25:U25),0)</f>
        <v>0</v>
      </c>
      <c r="W25" s="32"/>
    </row>
    <row r="26" spans="1:24" ht="13.5" customHeight="1">
      <c r="A26" s="106" t="s">
        <v>93</v>
      </c>
      <c r="B26" s="35"/>
      <c r="C26" s="132">
        <f>+'Mgmt Summary'!C25+'[3]Mgmt Summary'!C26</f>
        <v>0</v>
      </c>
      <c r="D26" s="36">
        <f>+'Mgmt Summary'!D25+'[3]Mgmt Summary'!D26</f>
        <v>-44662.207999999999</v>
      </c>
      <c r="E26" s="134">
        <f>C26-D26</f>
        <v>44662.207999999999</v>
      </c>
      <c r="F26" s="36"/>
      <c r="G26" s="132">
        <f>+'Mgmt Summary'!G25+'[3]Mgmt Summary'!G26</f>
        <v>0</v>
      </c>
      <c r="H26" s="36">
        <f>GrossMargin!J33</f>
        <v>0</v>
      </c>
      <c r="I26" s="137">
        <f>+'Mgmt Summary'!I25+'[3]Mgmt Summary'!I26</f>
        <v>0</v>
      </c>
      <c r="J26" s="135">
        <f>SUM(G26:I26)</f>
        <v>0</v>
      </c>
      <c r="K26" s="136"/>
      <c r="L26" s="132"/>
      <c r="M26" s="139">
        <f>+'Mgmt Summary'!M25+'[3]Mgmt Summary'!M26</f>
        <v>0</v>
      </c>
      <c r="N26" s="139">
        <f>+'Mgmt Summary'!N25+'[3]Mgmt Summary'!N26</f>
        <v>-44662.207999999999</v>
      </c>
      <c r="O26" s="135">
        <f>J26-K26-M26-N26-L26</f>
        <v>44662.207999999999</v>
      </c>
      <c r="P26" s="37"/>
      <c r="Q26" s="132">
        <f>+'Mgmt Summary'!Q25+'[3]Mgmt Summary'!Q26</f>
        <v>0</v>
      </c>
      <c r="R26" s="36">
        <f>+'Mgmt Summary'!R25+'[2]YTD Mgmt Summary'!R26</f>
        <v>0</v>
      </c>
      <c r="S26" s="139">
        <f>+'Mgmt Summary'!S25+'[2]YTD Mgmt Summary'!S26</f>
        <v>0</v>
      </c>
      <c r="T26" s="139">
        <f>+'Mgmt Summary'!T25+'[3]Mgmt Summary'!T26</f>
        <v>0</v>
      </c>
      <c r="U26" s="139">
        <f>+'Mgmt Summary'!U25+'[3]Mgmt Summary'!U26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2">
        <f>+'Mgmt Summary'!C26+'[3]Mgmt Summary'!C27</f>
        <v>-1000</v>
      </c>
      <c r="D27" s="36">
        <f>+'Mgmt Summary'!D26+'[3]Mgmt Summary'!D27</f>
        <v>0</v>
      </c>
      <c r="E27" s="134">
        <f>C27-D27</f>
        <v>-1000</v>
      </c>
      <c r="F27" s="36"/>
      <c r="G27" s="132">
        <f>+'Mgmt Summary'!G26+'[3]Mgmt Summary'!G27</f>
        <v>-781.11799999999994</v>
      </c>
      <c r="H27" s="36">
        <f>GrossMargin!J34</f>
        <v>0</v>
      </c>
      <c r="I27" s="137">
        <f>+'Mgmt Summary'!I26+'[3]Mgmt Summary'!I27</f>
        <v>0</v>
      </c>
      <c r="J27" s="135">
        <f>SUM(G27:I27)</f>
        <v>-781.11799999999994</v>
      </c>
      <c r="K27" s="136"/>
      <c r="L27" s="132"/>
      <c r="M27" s="139">
        <f>+'Mgmt Summary'!M26+'[3]Mgmt Summary'!M27</f>
        <v>0</v>
      </c>
      <c r="N27" s="139">
        <f>+'Mgmt Summary'!N26+'[3]Mgmt Summary'!N27</f>
        <v>0</v>
      </c>
      <c r="O27" s="135">
        <f>J27-K27-M27-N27-L27</f>
        <v>-781.11799999999994</v>
      </c>
      <c r="P27" s="37"/>
      <c r="Q27" s="132">
        <f>+'Mgmt Summary'!Q26+'[3]Mgmt Summary'!Q27</f>
        <v>218.88200000000001</v>
      </c>
      <c r="R27" s="36">
        <f>+'Mgmt Summary'!R26+'[2]YTD Mgmt Summary'!R27</f>
        <v>0</v>
      </c>
      <c r="S27" s="139">
        <f>+'Mgmt Summary'!S26+'[2]YTD Mgmt Summary'!S27</f>
        <v>0</v>
      </c>
      <c r="T27" s="139">
        <f>+'Mgmt Summary'!T26+'[3]Mgmt Summary'!T27</f>
        <v>0</v>
      </c>
      <c r="U27" s="139">
        <f>+'Mgmt Summary'!U26+'[3]Mgmt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200265.068</v>
      </c>
      <c r="D30" s="44">
        <f>SUM(D23:D29)</f>
        <v>102543.512</v>
      </c>
      <c r="E30" s="45">
        <f>SUM(E23:E29)</f>
        <v>97721.555999999982</v>
      </c>
      <c r="F30" s="36"/>
      <c r="G30" s="43">
        <f t="shared" ref="G30:N30" si="6">SUM(G23:G29)</f>
        <v>88846.498780000024</v>
      </c>
      <c r="H30" s="44">
        <f t="shared" si="6"/>
        <v>0</v>
      </c>
      <c r="I30" s="44">
        <f t="shared" si="6"/>
        <v>0</v>
      </c>
      <c r="J30" s="46">
        <f t="shared" si="6"/>
        <v>88846.498780000024</v>
      </c>
      <c r="K30" s="44">
        <f t="shared" si="6"/>
        <v>0</v>
      </c>
      <c r="L30" s="43">
        <f t="shared" si="6"/>
        <v>0</v>
      </c>
      <c r="M30" s="44">
        <f t="shared" si="6"/>
        <v>102843.65299999999</v>
      </c>
      <c r="N30" s="44">
        <f t="shared" si="6"/>
        <v>7.2759576141834259E-12</v>
      </c>
      <c r="O30" s="46">
        <f>J30-K30-M30-N30-L30</f>
        <v>-13997.154219999975</v>
      </c>
      <c r="P30" s="37"/>
      <c r="Q30" s="43">
        <f t="shared" ref="Q30:V30" si="7">SUM(Q23:Q29)</f>
        <v>-111418.56921999999</v>
      </c>
      <c r="R30" s="44">
        <f t="shared" si="7"/>
        <v>0</v>
      </c>
      <c r="S30" s="44">
        <f t="shared" si="7"/>
        <v>0</v>
      </c>
      <c r="T30" s="44">
        <f t="shared" si="7"/>
        <v>-300.14099999999985</v>
      </c>
      <c r="U30" s="44">
        <f t="shared" si="7"/>
        <v>0</v>
      </c>
      <c r="V30" s="45">
        <f t="shared" si="7"/>
        <v>-111719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Summary'!C31+'[2]YTD Mgmt Summary'!C32</f>
        <v>0</v>
      </c>
      <c r="D32" s="36">
        <f>+'Mgmt Summary'!D31+'[2]YTD Mgmt Summary'!D32</f>
        <v>616</v>
      </c>
      <c r="E32" s="134">
        <f>C32-D32</f>
        <v>-616</v>
      </c>
      <c r="F32" s="36"/>
      <c r="G32" s="132">
        <f>+'Mgmt Summary'!G31+'[2]YTD Mgmt Summary'!G32</f>
        <v>0</v>
      </c>
      <c r="H32" s="36">
        <f>GrossMargin!J39</f>
        <v>0</v>
      </c>
      <c r="I32" s="137">
        <f>+'Mgmt Summary'!I31+'[2]YTD Mgmt Summary'!I32</f>
        <v>0</v>
      </c>
      <c r="J32" s="135">
        <f>SUM(G32:I32)</f>
        <v>0</v>
      </c>
      <c r="K32" s="136"/>
      <c r="L32" s="132"/>
      <c r="M32" s="139">
        <f>+'Mgmt Summary'!M31+'[2]YTD Mgmt Summary'!M32</f>
        <v>616</v>
      </c>
      <c r="N32" s="139">
        <f>+'Mgmt Summary'!N31+'[2]YTD Mgmt Summary'!N32</f>
        <v>0</v>
      </c>
      <c r="O32" s="135">
        <f>J32-K32-M32-N32-L32</f>
        <v>-616</v>
      </c>
      <c r="P32" s="37"/>
      <c r="Q32" s="132">
        <f>+'Mgmt Summary'!Q31+'[2]YTD Mgmt Summary'!Q32</f>
        <v>0</v>
      </c>
      <c r="R32" s="36">
        <f>+'Mgmt Summary'!R31+'[2]YTD Mgmt Summary'!R32</f>
        <v>0</v>
      </c>
      <c r="S32" s="139">
        <f>+'Mgmt Summary'!S31+'[2]YTD Mgmt Summary'!S32</f>
        <v>0</v>
      </c>
      <c r="T32" s="139">
        <f>+'Mgmt Summary'!T31+'[2]YTD Mgmt Summary'!T32</f>
        <v>0</v>
      </c>
      <c r="U32" s="139">
        <f>+'Mgmt Summary'!U31+'[2]YTD Mgmt Summary'!U32</f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200265.068</v>
      </c>
      <c r="D34" s="40">
        <f>SUM(D30:D32)</f>
        <v>103159.512</v>
      </c>
      <c r="E34" s="41">
        <f>SUM(E30:E32)</f>
        <v>97105.555999999982</v>
      </c>
      <c r="F34" s="36"/>
      <c r="G34" s="39">
        <f t="shared" ref="G34:V34" si="8">SUM(G30:G32)</f>
        <v>88846.498780000024</v>
      </c>
      <c r="H34" s="40">
        <f t="shared" si="8"/>
        <v>0</v>
      </c>
      <c r="I34" s="40">
        <f t="shared" si="8"/>
        <v>0</v>
      </c>
      <c r="J34" s="42">
        <f t="shared" si="8"/>
        <v>88846.498780000024</v>
      </c>
      <c r="K34" s="40">
        <f t="shared" si="8"/>
        <v>0</v>
      </c>
      <c r="L34" s="39">
        <f t="shared" si="8"/>
        <v>0</v>
      </c>
      <c r="M34" s="40">
        <f t="shared" si="8"/>
        <v>103459.65299999999</v>
      </c>
      <c r="N34" s="40">
        <f t="shared" si="8"/>
        <v>7.2759576141834259E-12</v>
      </c>
      <c r="O34" s="42">
        <f>J34-K34-M34-N34-L34</f>
        <v>-14613.154219999975</v>
      </c>
      <c r="P34" s="37"/>
      <c r="Q34" s="39">
        <f t="shared" si="8"/>
        <v>-111418.56921999999</v>
      </c>
      <c r="R34" s="40">
        <f t="shared" si="8"/>
        <v>0</v>
      </c>
      <c r="S34" s="40">
        <f t="shared" si="8"/>
        <v>0</v>
      </c>
      <c r="T34" s="40">
        <f t="shared" si="8"/>
        <v>-300.14099999999985</v>
      </c>
      <c r="U34" s="40">
        <f t="shared" si="8"/>
        <v>0</v>
      </c>
      <c r="V34" s="41">
        <f t="shared" si="8"/>
        <v>-111719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+'GM-WeeklyChnge'!C38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79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0"/>
  <sheetViews>
    <sheetView tabSelected="1" zoomScale="95" workbookViewId="0">
      <selection activeCell="G35" sqref="G35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85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126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115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April 12,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87</v>
      </c>
      <c r="H6" s="229"/>
      <c r="I6" s="230"/>
      <c r="J6" s="200"/>
      <c r="K6" s="311" t="s">
        <v>86</v>
      </c>
      <c r="L6" s="312"/>
      <c r="M6" s="313"/>
      <c r="N6" s="284"/>
      <c r="O6" s="311" t="s">
        <v>113</v>
      </c>
      <c r="P6" s="312"/>
      <c r="Q6" s="313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111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122</v>
      </c>
      <c r="B9" s="221"/>
      <c r="C9" s="222">
        <f>+'Mgmt Summary'!J9</f>
        <v>-11164</v>
      </c>
      <c r="D9" s="223">
        <f>+'Mgmt Summary'!C9</f>
        <v>32500</v>
      </c>
      <c r="E9" s="224">
        <f t="shared" ref="E9:E20" si="0">-D9+C9</f>
        <v>-43664</v>
      </c>
      <c r="F9" s="225"/>
      <c r="G9" s="222">
        <f>+'Mgmt Summary'!M9+'Mgmt Summary'!N9</f>
        <v>16998.016</v>
      </c>
      <c r="H9" s="223">
        <f>+'Mgmt Summary'!D9</f>
        <v>16998.016</v>
      </c>
      <c r="I9" s="224">
        <f t="shared" ref="I9:I16" si="1">+H9-G9</f>
        <v>0</v>
      </c>
      <c r="J9" s="225"/>
      <c r="K9" s="222">
        <f>+C9-G9</f>
        <v>-28162.016</v>
      </c>
      <c r="L9" s="223">
        <f t="shared" ref="K9:L20" si="2">D9-H9</f>
        <v>15501.984</v>
      </c>
      <c r="M9" s="224">
        <f t="shared" ref="M9:M20" si="3">K9-L9</f>
        <v>-43664</v>
      </c>
      <c r="N9" s="286"/>
      <c r="O9" s="222">
        <f>+C9-'[4]QTD Mgmt Summary'!C9</f>
        <v>-2562</v>
      </c>
      <c r="P9" s="223">
        <f>+D9-'[4]QTD Mgmt Summary'!D9</f>
        <v>0</v>
      </c>
      <c r="Q9" s="224">
        <f t="shared" ref="Q9:Q14" si="4">+O9+P9</f>
        <v>-2562</v>
      </c>
    </row>
    <row r="10" spans="1:22" s="32" customFormat="1" ht="13.5" customHeight="1">
      <c r="A10" s="220" t="s">
        <v>1</v>
      </c>
      <c r="B10" s="221"/>
      <c r="C10" s="222">
        <f>+'Mgmt Summary'!J10</f>
        <v>2180</v>
      </c>
      <c r="D10" s="223">
        <f>+'Mgmt Summary'!C10</f>
        <v>11250</v>
      </c>
      <c r="E10" s="224">
        <f t="shared" si="0"/>
        <v>-9070</v>
      </c>
      <c r="F10" s="225"/>
      <c r="G10" s="222">
        <f>+'Mgmt Summary'!M10+'Mgmt Summary'!N10</f>
        <v>7479.1939999999995</v>
      </c>
      <c r="H10" s="223">
        <f>+'Mgmt Summary'!D10</f>
        <v>7479.1939999999995</v>
      </c>
      <c r="I10" s="224">
        <f t="shared" si="1"/>
        <v>0</v>
      </c>
      <c r="J10" s="225"/>
      <c r="K10" s="222">
        <f t="shared" si="2"/>
        <v>-5299.1939999999995</v>
      </c>
      <c r="L10" s="223">
        <f t="shared" si="2"/>
        <v>3770.8060000000005</v>
      </c>
      <c r="M10" s="224">
        <f t="shared" si="3"/>
        <v>-9070</v>
      </c>
      <c r="N10" s="286"/>
      <c r="O10" s="222">
        <f>+C10-'[4]QTD Mgmt Summary'!C10</f>
        <v>417</v>
      </c>
      <c r="P10" s="223">
        <f>+D10-'[4]QTD Mgmt Summary'!D10</f>
        <v>0</v>
      </c>
      <c r="Q10" s="224">
        <f t="shared" si="4"/>
        <v>417</v>
      </c>
    </row>
    <row r="11" spans="1:22" s="32" customFormat="1" ht="13.5" customHeight="1">
      <c r="A11" s="220" t="s">
        <v>125</v>
      </c>
      <c r="B11" s="221"/>
      <c r="C11" s="222">
        <f>+'Mgmt Summary'!J11</f>
        <v>-1498</v>
      </c>
      <c r="D11" s="223">
        <f>+'Mgmt Summary'!C11</f>
        <v>2500</v>
      </c>
      <c r="E11" s="224">
        <f t="shared" si="0"/>
        <v>-3998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-1498</v>
      </c>
      <c r="L11" s="223">
        <f>D11-H11</f>
        <v>2500</v>
      </c>
      <c r="M11" s="224">
        <f t="shared" si="3"/>
        <v>-3998</v>
      </c>
      <c r="N11" s="286"/>
      <c r="O11" s="222">
        <f>+C11-'[4]QTD Mgmt Summary'!C11</f>
        <v>-43</v>
      </c>
      <c r="P11" s="223">
        <f>+D11-'[4]QTD Mgmt Summary'!D11</f>
        <v>0</v>
      </c>
      <c r="Q11" s="224">
        <f t="shared" si="4"/>
        <v>-43</v>
      </c>
    </row>
    <row r="12" spans="1:22" s="32" customFormat="1" ht="13.5" customHeight="1">
      <c r="A12" s="220" t="s">
        <v>43</v>
      </c>
      <c r="B12" s="221"/>
      <c r="C12" s="222">
        <f>+'Mgmt Summary'!J12</f>
        <v>211</v>
      </c>
      <c r="D12" s="223">
        <f>+'Mgmt Summary'!C12</f>
        <v>5000</v>
      </c>
      <c r="E12" s="224">
        <f t="shared" si="0"/>
        <v>-4789</v>
      </c>
      <c r="F12" s="225"/>
      <c r="G12" s="222">
        <f>+'Mgmt Summary'!M12+'Mgmt Summary'!N12</f>
        <v>2158.2820000000002</v>
      </c>
      <c r="H12" s="223">
        <f>+'Mgmt Summary'!D12</f>
        <v>2158.2820000000002</v>
      </c>
      <c r="I12" s="224">
        <f t="shared" si="1"/>
        <v>0</v>
      </c>
      <c r="J12" s="225"/>
      <c r="K12" s="222">
        <f t="shared" si="2"/>
        <v>-1947.2820000000002</v>
      </c>
      <c r="L12" s="223">
        <f t="shared" si="2"/>
        <v>2841.7179999999998</v>
      </c>
      <c r="M12" s="224">
        <f t="shared" si="3"/>
        <v>-4789</v>
      </c>
      <c r="N12" s="286"/>
      <c r="O12" s="222">
        <f>+C12-'[4]QTD Mgmt Summary'!C12</f>
        <v>316</v>
      </c>
      <c r="P12" s="223">
        <f>+D12-'[4]QTD Mgmt Summary'!D12</f>
        <v>0</v>
      </c>
      <c r="Q12" s="224">
        <f t="shared" si="4"/>
        <v>316</v>
      </c>
    </row>
    <row r="13" spans="1:22" s="32" customFormat="1" ht="13.5" customHeight="1">
      <c r="A13" s="220" t="s">
        <v>63</v>
      </c>
      <c r="B13" s="221"/>
      <c r="C13" s="222">
        <f>+'Mgmt Summary'!J13</f>
        <v>616</v>
      </c>
      <c r="D13" s="223">
        <f>+'Mgmt Summary'!C13</f>
        <v>7078.8189999999995</v>
      </c>
      <c r="E13" s="224">
        <f t="shared" si="0"/>
        <v>-6462.8189999999995</v>
      </c>
      <c r="F13" s="225"/>
      <c r="G13" s="222">
        <f>+'Mgmt Summary'!M13+'Mgmt Summary'!N13</f>
        <v>3727.431</v>
      </c>
      <c r="H13" s="223">
        <f>+'Mgmt Summary'!D13</f>
        <v>3727.431</v>
      </c>
      <c r="I13" s="224">
        <f t="shared" si="1"/>
        <v>0</v>
      </c>
      <c r="J13" s="225"/>
      <c r="K13" s="222">
        <f t="shared" si="2"/>
        <v>-3111.431</v>
      </c>
      <c r="L13" s="223">
        <f t="shared" si="2"/>
        <v>3351.3879999999995</v>
      </c>
      <c r="M13" s="224">
        <f t="shared" si="3"/>
        <v>-6462.8189999999995</v>
      </c>
      <c r="N13" s="286"/>
      <c r="O13" s="222">
        <f>+C13-'[4]QTD Mgmt Summary'!C13</f>
        <v>694</v>
      </c>
      <c r="P13" s="223">
        <f>+D13-'[4]QTD Mgmt Summary'!D13</f>
        <v>0</v>
      </c>
      <c r="Q13" s="224">
        <f t="shared" si="4"/>
        <v>694</v>
      </c>
    </row>
    <row r="14" spans="1:22" s="32" customFormat="1" ht="13.5" customHeight="1">
      <c r="A14" s="220" t="s">
        <v>70</v>
      </c>
      <c r="B14" s="221"/>
      <c r="C14" s="222">
        <f>+'Mgmt Summary'!J14</f>
        <v>0</v>
      </c>
      <c r="D14" s="223">
        <f>+'Mgmt Summary'!C14</f>
        <v>11875</v>
      </c>
      <c r="E14" s="224">
        <f t="shared" si="0"/>
        <v>-11875</v>
      </c>
      <c r="F14" s="225"/>
      <c r="G14" s="222">
        <f>+'Mgmt Summary'!M14+'Mgmt Summary'!N14</f>
        <v>3118.5820000000003</v>
      </c>
      <c r="H14" s="223">
        <f>+'Mgmt Summary'!D14</f>
        <v>3118.5820000000003</v>
      </c>
      <c r="I14" s="224">
        <f t="shared" si="1"/>
        <v>0</v>
      </c>
      <c r="J14" s="225"/>
      <c r="K14" s="222">
        <f t="shared" si="2"/>
        <v>-3118.5820000000003</v>
      </c>
      <c r="L14" s="223">
        <f t="shared" si="2"/>
        <v>8756.4179999999997</v>
      </c>
      <c r="M14" s="224">
        <f t="shared" si="3"/>
        <v>-11875</v>
      </c>
      <c r="N14" s="286"/>
      <c r="O14" s="222">
        <f>+C14-'[4]QTD Mgmt Summary'!C14</f>
        <v>0</v>
      </c>
      <c r="P14" s="223">
        <f>+D14-'[4]QTD Mgmt Summary'!D14</f>
        <v>0</v>
      </c>
      <c r="Q14" s="224">
        <f t="shared" si="4"/>
        <v>0</v>
      </c>
    </row>
    <row r="15" spans="1:22" s="32" customFormat="1" ht="13.5" customHeight="1">
      <c r="A15" s="220" t="s">
        <v>49</v>
      </c>
      <c r="B15" s="221"/>
      <c r="C15" s="222">
        <f>+'Mgmt Summary'!J15</f>
        <v>483</v>
      </c>
      <c r="D15" s="223">
        <f>+'Mgmt Summary'!C15</f>
        <v>27500</v>
      </c>
      <c r="E15" s="224">
        <f t="shared" si="0"/>
        <v>-27017</v>
      </c>
      <c r="F15" s="225"/>
      <c r="G15" s="222">
        <f>+'Mgmt Summary'!M15+'Mgmt Summary'!N15</f>
        <v>5883.7790000000005</v>
      </c>
      <c r="H15" s="223">
        <f>+'Mgmt Summary'!D15</f>
        <v>5883.7790000000005</v>
      </c>
      <c r="I15" s="224">
        <f t="shared" si="1"/>
        <v>0</v>
      </c>
      <c r="J15" s="225"/>
      <c r="K15" s="222">
        <f t="shared" si="2"/>
        <v>-5400.7790000000005</v>
      </c>
      <c r="L15" s="223">
        <f t="shared" si="2"/>
        <v>21616.220999999998</v>
      </c>
      <c r="M15" s="224">
        <f t="shared" si="3"/>
        <v>-27017</v>
      </c>
      <c r="N15" s="286"/>
      <c r="O15" s="222">
        <f>+C15-'[4]QTD Mgmt Summary'!C15</f>
        <v>-693</v>
      </c>
      <c r="P15" s="223">
        <f>+D15-'[4]QTD Mgmt Summary'!D15</f>
        <v>0</v>
      </c>
      <c r="Q15" s="224">
        <f t="shared" ref="Q15:Q20" si="5">+O15+P15</f>
        <v>-693</v>
      </c>
    </row>
    <row r="16" spans="1:22" s="32" customFormat="1" ht="13.5" customHeight="1">
      <c r="A16" s="220" t="s">
        <v>130</v>
      </c>
      <c r="B16" s="221"/>
      <c r="C16" s="222">
        <f>+'Mgmt Summary'!J16</f>
        <v>17</v>
      </c>
      <c r="D16" s="223">
        <f>+'Mgmt Summary'!C16</f>
        <v>1000</v>
      </c>
      <c r="E16" s="224">
        <f t="shared" si="0"/>
        <v>-983</v>
      </c>
      <c r="F16" s="225"/>
      <c r="G16" s="222">
        <f>+'Mgmt Summary'!M16+'Mgmt Summary'!N16</f>
        <v>748.399</v>
      </c>
      <c r="H16" s="223">
        <f>+'Mgmt Summary'!D16</f>
        <v>748.399</v>
      </c>
      <c r="I16" s="224">
        <f t="shared" si="1"/>
        <v>0</v>
      </c>
      <c r="J16" s="225"/>
      <c r="K16" s="222">
        <f t="shared" si="2"/>
        <v>-731.399</v>
      </c>
      <c r="L16" s="223">
        <f t="shared" si="2"/>
        <v>251.601</v>
      </c>
      <c r="M16" s="224">
        <f t="shared" si="3"/>
        <v>-983</v>
      </c>
      <c r="N16" s="286"/>
      <c r="O16" s="222">
        <f>+C16-'[4]QTD Mgmt Summary'!C16</f>
        <v>10</v>
      </c>
      <c r="P16" s="223">
        <f>+D16-'[4]QTD Mgmt Summary'!D16</f>
        <v>0</v>
      </c>
      <c r="Q16" s="224">
        <f t="shared" si="5"/>
        <v>10</v>
      </c>
    </row>
    <row r="17" spans="1:19" s="32" customFormat="1" ht="13.5" customHeight="1">
      <c r="A17" s="220" t="s">
        <v>89</v>
      </c>
      <c r="B17" s="221"/>
      <c r="C17" s="222">
        <f>+'Mgmt Summary'!J17</f>
        <v>3</v>
      </c>
      <c r="D17" s="223">
        <f>+'Mgmt Summary'!C17</f>
        <v>5000</v>
      </c>
      <c r="E17" s="224">
        <f t="shared" si="0"/>
        <v>-4997</v>
      </c>
      <c r="F17" s="225"/>
      <c r="G17" s="222">
        <f>+'Mgmt Summary'!M17+'Mgmt Summary'!N17</f>
        <v>2637.2529999999997</v>
      </c>
      <c r="H17" s="223">
        <f>+'Mgmt Summary'!D17</f>
        <v>2637.2529999999997</v>
      </c>
      <c r="I17" s="224">
        <f>+H17-G17</f>
        <v>0</v>
      </c>
      <c r="J17" s="225"/>
      <c r="K17" s="222">
        <f t="shared" si="2"/>
        <v>-2634.2529999999997</v>
      </c>
      <c r="L17" s="223">
        <f t="shared" si="2"/>
        <v>2362.7470000000003</v>
      </c>
      <c r="M17" s="224">
        <f t="shared" si="3"/>
        <v>-4997</v>
      </c>
      <c r="N17" s="286"/>
      <c r="O17" s="222">
        <f>+C17-'[4]QTD Mgmt Summary'!C17</f>
        <v>0</v>
      </c>
      <c r="P17" s="223">
        <f>+D17-'[4]QTD Mgmt Summary'!D17</f>
        <v>0</v>
      </c>
      <c r="Q17" s="224">
        <f t="shared" si="5"/>
        <v>0</v>
      </c>
      <c r="S17" s="289"/>
    </row>
    <row r="18" spans="1:19" s="32" customFormat="1" ht="13.5" customHeight="1">
      <c r="A18" s="220" t="s">
        <v>91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-1066</v>
      </c>
      <c r="P18" s="223">
        <f>+D18-'[4]QTD Mgmt Summary'!D18</f>
        <v>0</v>
      </c>
      <c r="Q18" s="224">
        <f t="shared" si="5"/>
        <v>-1066</v>
      </c>
    </row>
    <row r="19" spans="1:19" s="32" customFormat="1" ht="13.5" customHeight="1">
      <c r="A19" s="220" t="s">
        <v>121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+D19-'[4]QTD Mgmt Summary'!D19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1011.224</v>
      </c>
      <c r="H20" s="223">
        <f>+'Mgmt Summary'!D20</f>
        <v>1011.224</v>
      </c>
      <c r="I20" s="224">
        <f>+H20-G20</f>
        <v>0</v>
      </c>
      <c r="J20" s="225"/>
      <c r="K20" s="222">
        <f t="shared" si="2"/>
        <v>-1011.224</v>
      </c>
      <c r="L20" s="223">
        <f t="shared" si="2"/>
        <v>-1011.224</v>
      </c>
      <c r="M20" s="224">
        <f t="shared" si="3"/>
        <v>0</v>
      </c>
      <c r="N20" s="286"/>
      <c r="O20" s="222">
        <f>+C20-'[4]QTD Mgmt Summary'!C20</f>
        <v>0</v>
      </c>
      <c r="P20" s="223">
        <f>+D20-'[4]QTD Mgmt Summary'!D20</f>
        <v>0</v>
      </c>
      <c r="Q20" s="224">
        <f t="shared" si="5"/>
        <v>0</v>
      </c>
    </row>
    <row r="21" spans="1:19" ht="4.5" customHeight="1">
      <c r="A21" s="208"/>
      <c r="B21" s="203"/>
      <c r="C21" s="212"/>
      <c r="D21" s="213"/>
      <c r="E21" s="214"/>
      <c r="F21" s="215"/>
      <c r="G21" s="218"/>
      <c r="H21" s="213"/>
      <c r="I21" s="214"/>
      <c r="J21" s="215"/>
      <c r="K21" s="212"/>
      <c r="L21" s="213"/>
      <c r="M21" s="214"/>
      <c r="N21" s="285"/>
      <c r="O21" s="212"/>
      <c r="P21" s="213"/>
      <c r="Q21" s="214"/>
    </row>
    <row r="22" spans="1:19" s="217" customFormat="1" ht="16.5">
      <c r="A22" s="226" t="s">
        <v>3</v>
      </c>
      <c r="B22" s="216"/>
      <c r="C22" s="231">
        <f>SUM(C9:C21)</f>
        <v>-10597</v>
      </c>
      <c r="D22" s="232">
        <f>SUM(D9:D21)</f>
        <v>105076.318</v>
      </c>
      <c r="E22" s="233">
        <f>SUM(E9:E21)</f>
        <v>-115673.318</v>
      </c>
      <c r="F22" s="234"/>
      <c r="G22" s="231">
        <f>SUM(G9:G21)</f>
        <v>45403.737999999998</v>
      </c>
      <c r="H22" s="232">
        <f>SUM(H9:H21)</f>
        <v>45403.737999999998</v>
      </c>
      <c r="I22" s="233">
        <f>SUM(I9:I21)</f>
        <v>0</v>
      </c>
      <c r="J22" s="234"/>
      <c r="K22" s="231">
        <f>SUM(K9:K21)</f>
        <v>-56000.737999999998</v>
      </c>
      <c r="L22" s="232">
        <f>SUM(L9:L21)</f>
        <v>59672.58</v>
      </c>
      <c r="M22" s="233">
        <f>SUM(M9:M21)</f>
        <v>-115673.318</v>
      </c>
      <c r="N22" s="287"/>
      <c r="O22" s="231">
        <f>SUM(O9:O21)</f>
        <v>-2927</v>
      </c>
      <c r="P22" s="232">
        <f>SUM(P9:P21)</f>
        <v>0</v>
      </c>
      <c r="Q22" s="233">
        <f>SUM(Q9:Q21)</f>
        <v>-2927</v>
      </c>
    </row>
    <row r="23" spans="1:19" ht="4.5" customHeight="1">
      <c r="A23" s="208"/>
      <c r="B23" s="203"/>
      <c r="C23" s="212"/>
      <c r="D23" s="213"/>
      <c r="E23" s="214"/>
      <c r="F23" s="215"/>
      <c r="G23" s="218"/>
      <c r="H23" s="213"/>
      <c r="I23" s="214"/>
      <c r="J23" s="215"/>
      <c r="K23" s="212"/>
      <c r="L23" s="213"/>
      <c r="M23" s="214"/>
      <c r="N23" s="285"/>
      <c r="O23" s="212"/>
      <c r="P23" s="213"/>
      <c r="Q23" s="214"/>
    </row>
    <row r="24" spans="1:19" s="32" customFormat="1" ht="13.5" customHeight="1">
      <c r="A24" s="220" t="s">
        <v>96</v>
      </c>
      <c r="B24" s="221"/>
      <c r="C24" s="222">
        <f>+'Mgmt Summary'!J24</f>
        <v>0</v>
      </c>
      <c r="D24" s="223">
        <f>+'Mgmt Summary'!C24</f>
        <v>0</v>
      </c>
      <c r="E24" s="224">
        <f>-D24+C24</f>
        <v>0</v>
      </c>
      <c r="F24" s="225"/>
      <c r="G24" s="222">
        <f>+'Mgmt Summary'!L24+'Mgmt Summary'!M24+'Mgmt Summary'!N24</f>
        <v>28434.92</v>
      </c>
      <c r="H24" s="223">
        <f>+'Mgmt Summary'!D24</f>
        <v>28434.92</v>
      </c>
      <c r="I24" s="224">
        <f>+H24-G24</f>
        <v>0</v>
      </c>
      <c r="J24" s="225"/>
      <c r="K24" s="222">
        <f>C24-G24</f>
        <v>-28434.92</v>
      </c>
      <c r="L24" s="223">
        <f>D24-H24</f>
        <v>-28434.92</v>
      </c>
      <c r="M24" s="224">
        <f>K24-L24</f>
        <v>0</v>
      </c>
      <c r="N24" s="286"/>
      <c r="O24" s="222">
        <f>+C24-'[4]QTD Mgmt Summary'!C24</f>
        <v>0</v>
      </c>
      <c r="P24" s="223">
        <f>+D24-'[4]QTD Mgmt Summary'!D24</f>
        <v>0</v>
      </c>
      <c r="Q24" s="224">
        <f>+O24+P24</f>
        <v>0</v>
      </c>
    </row>
    <row r="25" spans="1:19" s="32" customFormat="1" ht="13.5" customHeight="1">
      <c r="A25" s="220" t="s">
        <v>93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-21994.538000000004</v>
      </c>
      <c r="H25" s="223">
        <f>+'Mgmt Summary'!D25</f>
        <v>-21994.538000000004</v>
      </c>
      <c r="I25" s="224">
        <f>+H25-G25</f>
        <v>0</v>
      </c>
      <c r="J25" s="225"/>
      <c r="K25" s="222">
        <f t="shared" ref="K25:L27" si="6">C25-G25</f>
        <v>21994.538000000004</v>
      </c>
      <c r="L25" s="223">
        <f t="shared" si="6"/>
        <v>21994.538000000004</v>
      </c>
      <c r="M25" s="224">
        <f>K25-L25</f>
        <v>0</v>
      </c>
      <c r="N25" s="286"/>
      <c r="O25" s="222">
        <f>+C25-'[4]QTD Mgmt Summary'!C25</f>
        <v>0</v>
      </c>
      <c r="P25" s="223">
        <f>+D25-'[4]QTD Mgmt Summary'!D25</f>
        <v>0</v>
      </c>
      <c r="Q25" s="224">
        <f>+O25+P25</f>
        <v>0</v>
      </c>
    </row>
    <row r="26" spans="1:19" s="32" customFormat="1" ht="13.5" customHeight="1">
      <c r="A26" s="220" t="s">
        <v>10</v>
      </c>
      <c r="B26" s="221"/>
      <c r="C26" s="222">
        <f>+'Mgmt Summary'!J26</f>
        <v>-500</v>
      </c>
      <c r="D26" s="223">
        <f>+'Mgmt Summary'!C26</f>
        <v>-500</v>
      </c>
      <c r="E26" s="224">
        <f>-D26+C26</f>
        <v>0</v>
      </c>
      <c r="F26" s="225"/>
      <c r="G26" s="222">
        <f>+[2]Expenses!D26</f>
        <v>0</v>
      </c>
      <c r="H26" s="223">
        <f>+[2]Expenses!E26</f>
        <v>0</v>
      </c>
      <c r="I26" s="224">
        <f>+H26-G26</f>
        <v>0</v>
      </c>
      <c r="J26" s="225"/>
      <c r="K26" s="222">
        <f t="shared" si="6"/>
        <v>-500</v>
      </c>
      <c r="L26" s="223">
        <f t="shared" si="6"/>
        <v>-500</v>
      </c>
      <c r="M26" s="224">
        <f>K26-L26</f>
        <v>0</v>
      </c>
      <c r="N26" s="286"/>
      <c r="O26" s="222">
        <f>+C26-'[4]QTD Mgmt Summary'!C26</f>
        <v>0</v>
      </c>
      <c r="P26" s="223">
        <f>+D26-'[4]QTD Mgmt Summary'!D26</f>
        <v>0</v>
      </c>
      <c r="Q26" s="224">
        <f>+O26+P26</f>
        <v>0</v>
      </c>
    </row>
    <row r="27" spans="1:19" s="32" customFormat="1" ht="13.5" hidden="1" customHeight="1">
      <c r="A27" s="220" t="s">
        <v>34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+'[2]Alloc Exp'!D26</f>
        <v>0</v>
      </c>
      <c r="H27" s="223">
        <f>+'[2]Alloc Exp'!E26</f>
        <v>0</v>
      </c>
      <c r="I27" s="224">
        <f>+H27-G27</f>
        <v>0</v>
      </c>
      <c r="J27" s="225"/>
      <c r="K27" s="222">
        <f t="shared" si="6"/>
        <v>0</v>
      </c>
      <c r="L27" s="223">
        <f t="shared" si="6"/>
        <v>0</v>
      </c>
      <c r="M27" s="224">
        <f>K27-L27</f>
        <v>0</v>
      </c>
      <c r="N27" s="286"/>
      <c r="O27" s="222">
        <f>+C27-'[2]QTD Mgmt Summary'!C27</f>
        <v>0</v>
      </c>
      <c r="P27" s="223">
        <f>-G27+'[2]QTD Mgmt Summary'!G27</f>
        <v>0</v>
      </c>
      <c r="Q27" s="224">
        <f>+O27+P27</f>
        <v>0</v>
      </c>
    </row>
    <row r="28" spans="1:19" ht="4.5" customHeight="1">
      <c r="A28" s="208"/>
      <c r="B28" s="203"/>
      <c r="C28" s="212"/>
      <c r="D28" s="213"/>
      <c r="E28" s="214"/>
      <c r="F28" s="215"/>
      <c r="G28" s="218"/>
      <c r="H28" s="213"/>
      <c r="I28" s="214"/>
      <c r="J28" s="215"/>
      <c r="K28" s="212"/>
      <c r="L28" s="213"/>
      <c r="M28" s="214"/>
      <c r="N28" s="285"/>
      <c r="O28" s="212"/>
      <c r="P28" s="213"/>
      <c r="Q28" s="214"/>
    </row>
    <row r="29" spans="1:19" s="217" customFormat="1" ht="16.5">
      <c r="A29" s="226" t="s">
        <v>73</v>
      </c>
      <c r="B29" s="216"/>
      <c r="C29" s="231">
        <f>SUM(C22:C27)</f>
        <v>-11097</v>
      </c>
      <c r="D29" s="232">
        <f>SUM(D22:D27)</f>
        <v>104576.318</v>
      </c>
      <c r="E29" s="233">
        <f>SUM(E22:E27)</f>
        <v>-115673.318</v>
      </c>
      <c r="F29" s="234"/>
      <c r="G29" s="231">
        <f>SUM(G22:G27)</f>
        <v>51844.119999999995</v>
      </c>
      <c r="H29" s="232">
        <f>SUM(H22:H27)</f>
        <v>51844.119999999995</v>
      </c>
      <c r="I29" s="233">
        <f>SUM(I22:I27)</f>
        <v>0</v>
      </c>
      <c r="J29" s="234"/>
      <c r="K29" s="231">
        <f>SUM(K22:K27)</f>
        <v>-62941.119999999995</v>
      </c>
      <c r="L29" s="232">
        <f>SUM(L22:L27)</f>
        <v>52732.198000000004</v>
      </c>
      <c r="M29" s="233">
        <f>SUM(M22:M27)</f>
        <v>-115673.318</v>
      </c>
      <c r="N29" s="287"/>
      <c r="O29" s="231">
        <f>SUM(O22:O27)</f>
        <v>-2927</v>
      </c>
      <c r="P29" s="232">
        <f>SUM(P22:P27)</f>
        <v>0</v>
      </c>
      <c r="Q29" s="233">
        <f>SUM(Q22:Q27)</f>
        <v>-2927</v>
      </c>
    </row>
    <row r="30" spans="1:19" ht="4.5" customHeight="1">
      <c r="A30" s="208"/>
      <c r="B30" s="203"/>
      <c r="C30" s="222"/>
      <c r="D30" s="223"/>
      <c r="E30" s="224"/>
      <c r="F30" s="225"/>
      <c r="G30" s="235"/>
      <c r="H30" s="223"/>
      <c r="I30" s="224"/>
      <c r="J30" s="225"/>
      <c r="K30" s="222"/>
      <c r="L30" s="223"/>
      <c r="M30" s="224"/>
      <c r="N30" s="285"/>
      <c r="O30" s="222"/>
      <c r="P30" s="223"/>
      <c r="Q30" s="224"/>
    </row>
    <row r="31" spans="1:19" s="32" customFormat="1" ht="13.5" customHeight="1">
      <c r="A31" s="220" t="s">
        <v>56</v>
      </c>
      <c r="B31" s="221"/>
      <c r="C31" s="222">
        <f>+'Mgmt Summary'!J31</f>
        <v>0</v>
      </c>
      <c r="D31" s="223">
        <f>+'Mgmt Summary'!C31</f>
        <v>0</v>
      </c>
      <c r="E31" s="224">
        <f>D31-C31</f>
        <v>0</v>
      </c>
      <c r="F31" s="225"/>
      <c r="G31" s="222">
        <f>+'Mgmt Summary'!M31</f>
        <v>308</v>
      </c>
      <c r="H31" s="223">
        <f>+'Mgmt Summary'!D31</f>
        <v>308</v>
      </c>
      <c r="I31" s="224">
        <f>+H31-G31</f>
        <v>0</v>
      </c>
      <c r="J31" s="225"/>
      <c r="K31" s="222">
        <f>C31-G31</f>
        <v>-308</v>
      </c>
      <c r="L31" s="223">
        <f>D31-H31</f>
        <v>-308</v>
      </c>
      <c r="M31" s="224">
        <f>K31-L31</f>
        <v>0</v>
      </c>
      <c r="N31" s="286"/>
      <c r="O31" s="222">
        <f>+C31-'[4]QTD Mgmt Summary'!C31</f>
        <v>0</v>
      </c>
      <c r="P31" s="223">
        <f>+D31-'[4]QTD Mgmt Summary'!D31</f>
        <v>0</v>
      </c>
      <c r="Q31" s="224">
        <f>+O31+P31</f>
        <v>0</v>
      </c>
    </row>
    <row r="32" spans="1:19" ht="4.5" customHeight="1" thickBot="1">
      <c r="A32" s="208"/>
      <c r="B32" s="203"/>
      <c r="C32" s="222"/>
      <c r="D32" s="223"/>
      <c r="E32" s="224"/>
      <c r="F32" s="225"/>
      <c r="G32" s="235"/>
      <c r="H32" s="223"/>
      <c r="I32" s="224"/>
      <c r="J32" s="225"/>
      <c r="K32" s="222"/>
      <c r="L32" s="223"/>
      <c r="M32" s="224"/>
      <c r="N32" s="285"/>
      <c r="O32" s="222"/>
      <c r="P32" s="223"/>
      <c r="Q32" s="224"/>
    </row>
    <row r="33" spans="1:17" s="217" customFormat="1" ht="17.25" thickBot="1">
      <c r="A33" s="227" t="s">
        <v>74</v>
      </c>
      <c r="B33" s="219"/>
      <c r="C33" s="236">
        <f>+C29-C31</f>
        <v>-11097</v>
      </c>
      <c r="D33" s="237">
        <f>+D29-D31</f>
        <v>104576.318</v>
      </c>
      <c r="E33" s="260">
        <f>+E29-E31</f>
        <v>-115673.318</v>
      </c>
      <c r="F33" s="238"/>
      <c r="G33" s="236">
        <f>SUM(G29:G31)</f>
        <v>52152.119999999995</v>
      </c>
      <c r="H33" s="237">
        <f>SUM(H29:H31)</f>
        <v>52152.119999999995</v>
      </c>
      <c r="I33" s="260">
        <f>SUM(I29:I31)</f>
        <v>0</v>
      </c>
      <c r="J33" s="238"/>
      <c r="K33" s="236">
        <f>SUM(K29:K31)</f>
        <v>-63249.119999999995</v>
      </c>
      <c r="L33" s="237">
        <f>SUM(L29:L31)</f>
        <v>52424.198000000004</v>
      </c>
      <c r="M33" s="260">
        <f>SUM(M29:M31)</f>
        <v>-115673.318</v>
      </c>
      <c r="N33" s="287"/>
      <c r="O33" s="236">
        <f>SUM(O29:O31)</f>
        <v>-2927</v>
      </c>
      <c r="P33" s="237">
        <f>SUM(P29:P31)</f>
        <v>0</v>
      </c>
      <c r="Q33" s="260">
        <f>SUM(Q29:Q31)</f>
        <v>-2927</v>
      </c>
    </row>
    <row r="34" spans="1:17" ht="3" customHeight="1">
      <c r="A34" s="66"/>
      <c r="C34" s="67"/>
      <c r="D34" s="22"/>
      <c r="E34" s="66"/>
      <c r="F34" s="23"/>
      <c r="I34" s="66"/>
    </row>
    <row r="35" spans="1:17">
      <c r="A35" s="246" t="s">
        <v>124</v>
      </c>
      <c r="C35" s="23"/>
      <c r="D35" s="22"/>
      <c r="E35" s="23"/>
      <c r="F35" s="23"/>
      <c r="I35" s="23"/>
    </row>
    <row r="36" spans="1:17">
      <c r="M36" s="184"/>
      <c r="Q36" s="184"/>
    </row>
    <row r="37" spans="1:17">
      <c r="L37" s="165"/>
    </row>
    <row r="38" spans="1:17" ht="13.5" hidden="1">
      <c r="C38" s="278" t="s">
        <v>109</v>
      </c>
      <c r="D38" s="279"/>
      <c r="E38" s="280"/>
      <c r="G38" s="278" t="s">
        <v>110</v>
      </c>
      <c r="H38" s="279"/>
      <c r="I38" s="279"/>
      <c r="J38" s="280"/>
    </row>
    <row r="39" spans="1:17" hidden="1">
      <c r="C39" s="265" t="s">
        <v>98</v>
      </c>
      <c r="D39" s="266"/>
      <c r="E39" s="267">
        <f>+'[2]GM-WeeklyChnge'!C38</f>
        <v>-4872.4930000000004</v>
      </c>
      <c r="G39" s="265" t="s">
        <v>99</v>
      </c>
      <c r="H39" s="266"/>
      <c r="I39" s="268">
        <f>+'[2]Expense Weekly Change'!E22+'[2]Expense Weekly Change'!E21</f>
        <v>488</v>
      </c>
      <c r="J39" s="283"/>
    </row>
    <row r="40" spans="1:17" hidden="1">
      <c r="C40" s="265" t="s">
        <v>100</v>
      </c>
      <c r="D40" s="266"/>
      <c r="E40" s="267">
        <f>+'[2]GM-WeeklyChnge'!D38</f>
        <v>-132.97831000000002</v>
      </c>
      <c r="G40" s="265" t="s">
        <v>101</v>
      </c>
      <c r="H40" s="266"/>
      <c r="I40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0" s="269"/>
    </row>
    <row r="41" spans="1:17" hidden="1">
      <c r="C41" s="265" t="s">
        <v>102</v>
      </c>
      <c r="D41" s="266"/>
      <c r="E41" s="267">
        <f>+'[2]GM-WeeklyChnge'!E38+'[2]GM-WeeklyChnge'!F38+'[2]GM-WeeklyChnge'!G38</f>
        <v>3440.893</v>
      </c>
      <c r="G41" s="265" t="s">
        <v>27</v>
      </c>
      <c r="H41" s="266"/>
      <c r="I41" s="268">
        <f>-G31+'[2]QTD Mgmt Summary'!$G$37</f>
        <v>-308</v>
      </c>
      <c r="J41" s="269"/>
    </row>
    <row r="42" spans="1:17" hidden="1">
      <c r="C42" s="270"/>
      <c r="D42" s="271"/>
      <c r="E42" s="272"/>
      <c r="G42" s="270"/>
      <c r="H42" s="271"/>
      <c r="I42" s="273"/>
      <c r="J42" s="274"/>
    </row>
    <row r="43" spans="1:17" ht="13.5" hidden="1">
      <c r="C43" s="275" t="s">
        <v>103</v>
      </c>
      <c r="D43" s="276"/>
      <c r="E43" s="277">
        <f>SUM(E39:E42)</f>
        <v>-1564.5783100000008</v>
      </c>
      <c r="G43" s="275" t="s">
        <v>103</v>
      </c>
      <c r="H43" s="276"/>
      <c r="I43" s="281">
        <f>SUM(I39:I42)</f>
        <v>5133</v>
      </c>
      <c r="J43" s="282"/>
    </row>
    <row r="44" spans="1:17" hidden="1"/>
    <row r="45" spans="1:17" ht="13.5" hidden="1">
      <c r="C45" s="278" t="s">
        <v>107</v>
      </c>
      <c r="D45" s="279"/>
      <c r="E45" s="280"/>
      <c r="G45" s="278" t="s">
        <v>108</v>
      </c>
      <c r="H45" s="279"/>
      <c r="I45" s="279"/>
      <c r="J45" s="280"/>
    </row>
    <row r="46" spans="1:17" hidden="1">
      <c r="C46" s="265" t="s">
        <v>104</v>
      </c>
      <c r="D46" s="266"/>
      <c r="E46" s="267">
        <f>+[2]GrossMargin!$I$40</f>
        <v>0</v>
      </c>
      <c r="G46" s="265" t="s">
        <v>104</v>
      </c>
      <c r="H46" s="266"/>
      <c r="I46" s="268" t="str">
        <f>+'[2]QTD Mgmt Summary'!$G$39</f>
        <v>Operating Expense</v>
      </c>
      <c r="J46" s="283"/>
    </row>
    <row r="47" spans="1:17" hidden="1">
      <c r="C47" s="265" t="s">
        <v>105</v>
      </c>
      <c r="D47" s="266"/>
      <c r="E47" s="267">
        <f>+GrossMargin!I33</f>
        <v>-11097</v>
      </c>
      <c r="G47" s="265" t="s">
        <v>105</v>
      </c>
      <c r="H47" s="266"/>
      <c r="I47" s="268">
        <f>+G33</f>
        <v>52152.119999999995</v>
      </c>
      <c r="J47" s="269"/>
    </row>
    <row r="48" spans="1:17" hidden="1">
      <c r="C48" s="265"/>
      <c r="D48" s="266"/>
      <c r="E48" s="267"/>
      <c r="G48" s="265"/>
      <c r="H48" s="266"/>
      <c r="I48" s="268"/>
      <c r="J48" s="269"/>
    </row>
    <row r="49" spans="3:10" ht="13.5" hidden="1">
      <c r="C49" s="275" t="s">
        <v>106</v>
      </c>
      <c r="D49" s="276"/>
      <c r="E49" s="277">
        <f>+E47-E46</f>
        <v>-11097</v>
      </c>
      <c r="G49" s="275" t="s">
        <v>106</v>
      </c>
      <c r="H49" s="276"/>
      <c r="I49" s="281" t="e">
        <f>+I47-I46</f>
        <v>#VALUE!</v>
      </c>
      <c r="J49" s="282"/>
    </row>
    <row r="50" spans="3:10">
      <c r="I50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G35" sqref="G3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4" t="s">
        <v>69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60"/>
    </row>
    <row r="2" spans="1:24" ht="16.5">
      <c r="A2" s="315" t="s">
        <v>114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61"/>
    </row>
    <row r="3" spans="1:24" ht="13.5">
      <c r="A3" s="316" t="s">
        <v>132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62"/>
    </row>
    <row r="4" spans="1:24" ht="3" customHeight="1"/>
    <row r="5" spans="1:24" s="34" customFormat="1" ht="15" customHeight="1">
      <c r="A5" s="105"/>
      <c r="C5" s="308" t="s">
        <v>8</v>
      </c>
      <c r="D5" s="309"/>
      <c r="E5" s="310"/>
      <c r="G5" s="308" t="s">
        <v>40</v>
      </c>
      <c r="H5" s="309"/>
      <c r="I5" s="309"/>
      <c r="J5" s="309"/>
      <c r="K5" s="309"/>
      <c r="L5" s="309"/>
      <c r="M5" s="309"/>
      <c r="N5" s="309"/>
      <c r="O5" s="310"/>
      <c r="Q5" s="308" t="s">
        <v>35</v>
      </c>
      <c r="R5" s="309"/>
      <c r="S5" s="309"/>
      <c r="T5" s="309"/>
      <c r="U5" s="309"/>
      <c r="V5" s="310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122</v>
      </c>
      <c r="B9" s="35"/>
      <c r="C9" s="132">
        <f>+GrossMargin!M10</f>
        <v>32500</v>
      </c>
      <c r="D9" s="36">
        <f>+Expenses!E9+AllocExp!L10</f>
        <v>16998.016</v>
      </c>
      <c r="E9" s="134">
        <f t="shared" ref="E9:E16" si="0">C9-D9</f>
        <v>15501.984</v>
      </c>
      <c r="F9" s="36"/>
      <c r="G9" s="132">
        <f>+GrossMargin!I10</f>
        <v>-11164</v>
      </c>
      <c r="H9" s="36">
        <f>GrossMargin!J10</f>
        <v>0</v>
      </c>
      <c r="I9" s="36">
        <f>GrossMargin!K10</f>
        <v>0</v>
      </c>
      <c r="J9" s="135">
        <f>SUM(G9:I9)</f>
        <v>-11164</v>
      </c>
      <c r="K9" s="136"/>
      <c r="L9" s="138">
        <f>'[2]Alloc Exp'!D10</f>
        <v>0</v>
      </c>
      <c r="M9" s="139">
        <f>+Expenses!D9</f>
        <v>6994.3119999999999</v>
      </c>
      <c r="N9" s="139">
        <f>+AllocExp!K10</f>
        <v>10003.704</v>
      </c>
      <c r="O9" s="135">
        <f>J9-K9-M9-N9-L9</f>
        <v>-28162.015999999996</v>
      </c>
      <c r="P9" s="37"/>
      <c r="Q9" s="132">
        <f t="shared" ref="Q9:Q16" si="1">+J9-C9</f>
        <v>-43664</v>
      </c>
      <c r="R9" s="36"/>
      <c r="S9" s="36">
        <f>'[2]Alloc Exp'!F10</f>
        <v>0</v>
      </c>
      <c r="T9" s="36">
        <f>+Expenses!F9</f>
        <v>0</v>
      </c>
      <c r="U9" s="36">
        <f>+AllocExp!M10</f>
        <v>0</v>
      </c>
      <c r="V9" s="134">
        <f t="shared" ref="V9:V16" si="2">ROUND(SUM(Q9:U9),0)</f>
        <v>-43664</v>
      </c>
      <c r="W9" s="32"/>
      <c r="X9" s="165"/>
    </row>
    <row r="10" spans="1:24" ht="13.5" customHeight="1">
      <c r="A10" s="106" t="s">
        <v>1</v>
      </c>
      <c r="B10" s="35"/>
      <c r="C10" s="132">
        <f>+GrossMargin!M11</f>
        <v>11250</v>
      </c>
      <c r="D10" s="36">
        <f>+Expenses!E10+AllocExp!L11</f>
        <v>7479.1939999999995</v>
      </c>
      <c r="E10" s="134">
        <f t="shared" si="0"/>
        <v>3770.8060000000005</v>
      </c>
      <c r="F10" s="36"/>
      <c r="G10" s="132">
        <f>GrossMargin!I11</f>
        <v>2180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2180</v>
      </c>
      <c r="K10" s="136"/>
      <c r="L10" s="138">
        <f>'[2]Alloc Exp'!D11</f>
        <v>0</v>
      </c>
      <c r="M10" s="139">
        <f>+Expenses!D10</f>
        <v>4077.2150000000001</v>
      </c>
      <c r="N10" s="139">
        <f>+AllocExp!K11</f>
        <v>3401.9789999999998</v>
      </c>
      <c r="O10" s="135">
        <f t="shared" ref="O10:O20" si="4">J10-K10-M10-N10-L10</f>
        <v>-5299.1939999999995</v>
      </c>
      <c r="P10" s="37"/>
      <c r="Q10" s="132">
        <f t="shared" si="1"/>
        <v>-9070</v>
      </c>
      <c r="R10" s="36"/>
      <c r="S10" s="36">
        <f>'[2]Alloc Exp'!F11</f>
        <v>0</v>
      </c>
      <c r="T10" s="36">
        <f>+Expenses!F10</f>
        <v>0</v>
      </c>
      <c r="U10" s="36">
        <f>+AllocExp!M11</f>
        <v>0</v>
      </c>
      <c r="V10" s="134">
        <f t="shared" si="2"/>
        <v>-9070</v>
      </c>
      <c r="W10" s="32"/>
    </row>
    <row r="11" spans="1:24" ht="13.5" customHeight="1">
      <c r="A11" s="106" t="s">
        <v>125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-1498</v>
      </c>
      <c r="H11" s="36">
        <f>GrossMargin!J12</f>
        <v>0</v>
      </c>
      <c r="I11" s="36">
        <f>GrossMargin!K12</f>
        <v>0</v>
      </c>
      <c r="J11" s="135">
        <f t="shared" si="3"/>
        <v>-1498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-1498</v>
      </c>
      <c r="P11" s="37"/>
      <c r="Q11" s="132">
        <f>+J11-C11</f>
        <v>-3998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-3998</v>
      </c>
      <c r="W11" s="32"/>
    </row>
    <row r="12" spans="1:24" ht="13.5" customHeight="1">
      <c r="A12" s="106" t="s">
        <v>43</v>
      </c>
      <c r="B12" s="35"/>
      <c r="C12" s="132">
        <f>+GrossMargin!M13</f>
        <v>5000</v>
      </c>
      <c r="D12" s="36">
        <f>+Expenses!E12+AllocExp!L13</f>
        <v>2158.2820000000002</v>
      </c>
      <c r="E12" s="134">
        <f t="shared" si="0"/>
        <v>2841.7179999999998</v>
      </c>
      <c r="F12" s="36"/>
      <c r="G12" s="132">
        <f>GrossMargin!I13</f>
        <v>211</v>
      </c>
      <c r="H12" s="36">
        <f>GrossMargin!J13</f>
        <v>0</v>
      </c>
      <c r="I12" s="36">
        <f>GrossMargin!K13</f>
        <v>0</v>
      </c>
      <c r="J12" s="135">
        <f t="shared" si="3"/>
        <v>211</v>
      </c>
      <c r="K12" s="136"/>
      <c r="L12" s="138">
        <f>'[2]Alloc Exp'!D14</f>
        <v>0</v>
      </c>
      <c r="M12" s="139">
        <f>+Expenses!D12</f>
        <v>1283.7809999999999</v>
      </c>
      <c r="N12" s="139">
        <f>+AllocExp!K13</f>
        <v>874.50099999999998</v>
      </c>
      <c r="O12" s="135">
        <f t="shared" si="4"/>
        <v>-1947.2819999999999</v>
      </c>
      <c r="P12" s="37"/>
      <c r="Q12" s="132">
        <f t="shared" si="1"/>
        <v>-4789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-4789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3727.431</v>
      </c>
      <c r="E13" s="134">
        <f t="shared" si="0"/>
        <v>3351.3879999999995</v>
      </c>
      <c r="F13" s="36"/>
      <c r="G13" s="132">
        <f>GrossMargin!I14</f>
        <v>616</v>
      </c>
      <c r="H13" s="36">
        <f>GrossMargin!J14</f>
        <v>0</v>
      </c>
      <c r="I13" s="36">
        <f>GrossMargin!K14</f>
        <v>0</v>
      </c>
      <c r="J13" s="135">
        <f t="shared" si="3"/>
        <v>616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2264.424</v>
      </c>
      <c r="O13" s="135">
        <f t="shared" si="4"/>
        <v>-3111.431</v>
      </c>
      <c r="P13" s="37"/>
      <c r="Q13" s="132">
        <f t="shared" si="1"/>
        <v>-6462.8189999999995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-6463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3118.5820000000003</v>
      </c>
      <c r="E14" s="134">
        <f t="shared" si="0"/>
        <v>8756.4179999999997</v>
      </c>
      <c r="F14" s="36"/>
      <c r="G14" s="132">
        <f>GrossMargin!I15</f>
        <v>0</v>
      </c>
      <c r="H14" s="36">
        <f>GrossMargin!J15</f>
        <v>0</v>
      </c>
      <c r="I14" s="36">
        <f>GrossMargin!K15</f>
        <v>0</v>
      </c>
      <c r="J14" s="135">
        <f t="shared" si="3"/>
        <v>0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814.46100000000001</v>
      </c>
      <c r="O14" s="135">
        <f t="shared" si="4"/>
        <v>-3118.5820000000003</v>
      </c>
      <c r="P14" s="37"/>
      <c r="Q14" s="132">
        <f t="shared" si="1"/>
        <v>-11875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-11875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5883.7790000000005</v>
      </c>
      <c r="E15" s="163">
        <f t="shared" si="0"/>
        <v>21616.220999999998</v>
      </c>
      <c r="F15" s="139"/>
      <c r="G15" s="132">
        <f>+GrossMargin!I22</f>
        <v>483</v>
      </c>
      <c r="H15" s="36">
        <f>GrossMargin!J16</f>
        <v>0</v>
      </c>
      <c r="I15" s="36">
        <f>GrossMargin!K16</f>
        <v>0</v>
      </c>
      <c r="J15" s="135">
        <f t="shared" si="3"/>
        <v>483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2141.165</v>
      </c>
      <c r="O15" s="135">
        <f t="shared" si="4"/>
        <v>-5400.7790000000005</v>
      </c>
      <c r="P15" s="178"/>
      <c r="Q15" s="138">
        <f t="shared" si="1"/>
        <v>-27017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-27017</v>
      </c>
      <c r="W15" s="63"/>
      <c r="X15" s="168"/>
    </row>
    <row r="16" spans="1:24" s="64" customFormat="1" ht="13.5" customHeight="1">
      <c r="A16" s="166" t="s">
        <v>130</v>
      </c>
      <c r="B16" s="177"/>
      <c r="C16" s="138">
        <f>+GrossMargin!M23</f>
        <v>1000</v>
      </c>
      <c r="D16" s="36">
        <f>+Expenses!E16+AllocExp!L17</f>
        <v>748.399</v>
      </c>
      <c r="E16" s="163">
        <f t="shared" si="0"/>
        <v>251.601</v>
      </c>
      <c r="F16" s="139"/>
      <c r="G16" s="132">
        <f>+GrossMargin!I23</f>
        <v>17</v>
      </c>
      <c r="H16" s="36">
        <f>GrossMargin!J17</f>
        <v>0</v>
      </c>
      <c r="I16" s="36">
        <f>GrossMargin!K17</f>
        <v>0</v>
      </c>
      <c r="J16" s="135">
        <f t="shared" si="3"/>
        <v>17</v>
      </c>
      <c r="K16" s="136"/>
      <c r="L16" s="138">
        <f>'[2]Alloc Exp'!D18</f>
        <v>0</v>
      </c>
      <c r="M16" s="139">
        <f>+Expenses!D16</f>
        <v>578.553</v>
      </c>
      <c r="N16" s="139">
        <f>+AllocExp!K17</f>
        <v>169.846</v>
      </c>
      <c r="O16" s="135">
        <f t="shared" si="4"/>
        <v>-731.399</v>
      </c>
      <c r="P16" s="178"/>
      <c r="Q16" s="138">
        <f t="shared" si="1"/>
        <v>-983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-983</v>
      </c>
      <c r="W16" s="63"/>
      <c r="X16" s="168"/>
    </row>
    <row r="17" spans="1:24" s="64" customFormat="1" ht="13.5" customHeight="1">
      <c r="A17" s="166" t="s">
        <v>89</v>
      </c>
      <c r="B17" s="177"/>
      <c r="C17" s="138">
        <f>+GrossMargin!M24</f>
        <v>5000</v>
      </c>
      <c r="D17" s="36">
        <f>+Expenses!E17+AllocExp!L18</f>
        <v>2637.2529999999997</v>
      </c>
      <c r="E17" s="163">
        <f>C17-D17</f>
        <v>2362.7470000000003</v>
      </c>
      <c r="F17" s="139"/>
      <c r="G17" s="132">
        <f>+GrossMargin!I24</f>
        <v>3</v>
      </c>
      <c r="H17" s="36">
        <f>GrossMargin!J18</f>
        <v>0</v>
      </c>
      <c r="I17" s="36">
        <f>GrossMargin!K18</f>
        <v>0</v>
      </c>
      <c r="J17" s="135">
        <f t="shared" si="3"/>
        <v>3</v>
      </c>
      <c r="K17" s="136"/>
      <c r="L17" s="138">
        <f>'[2]Alloc Exp'!D19</f>
        <v>0</v>
      </c>
      <c r="M17" s="139">
        <f>+Expenses!D17</f>
        <v>1430.25</v>
      </c>
      <c r="N17" s="139">
        <f>+AllocExp!K18</f>
        <v>1207.0029999999999</v>
      </c>
      <c r="O17" s="135">
        <f t="shared" si="4"/>
        <v>-2634.2529999999997</v>
      </c>
      <c r="P17" s="178"/>
      <c r="Q17" s="138">
        <f>+J17-C17</f>
        <v>-4997</v>
      </c>
      <c r="R17" s="139"/>
      <c r="S17" s="139">
        <f>+'[2]Alloc Exp'!F18</f>
        <v>0</v>
      </c>
      <c r="T17" s="36">
        <f>+Expenses!F17</f>
        <v>0</v>
      </c>
      <c r="U17" s="36">
        <f>+AllocExp!M18</f>
        <v>0</v>
      </c>
      <c r="V17" s="163">
        <f>ROUND(SUM(Q17:U17),0)</f>
        <v>-4997</v>
      </c>
      <c r="W17" s="63"/>
      <c r="X17" s="168"/>
    </row>
    <row r="18" spans="1:24" s="64" customFormat="1" ht="13.5" customHeight="1">
      <c r="A18" s="166" t="s">
        <v>91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121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537.20000000000005</v>
      </c>
      <c r="N20" s="139">
        <f>+AllocExp!K21</f>
        <v>474.024</v>
      </c>
      <c r="O20" s="135">
        <f t="shared" si="4"/>
        <v>-1011.224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0</v>
      </c>
      <c r="U20" s="36">
        <f>+AllocExp!M21</f>
        <v>0</v>
      </c>
      <c r="V20" s="134">
        <f>ROUND(SUM(Q20:U20),0)</f>
        <v>0</v>
      </c>
      <c r="W20" s="32"/>
    </row>
    <row r="21" spans="1:24" ht="3" customHeight="1">
      <c r="A21" s="106"/>
      <c r="B21" s="35"/>
      <c r="C21" s="132"/>
      <c r="D21" s="36"/>
      <c r="E21" s="134"/>
      <c r="F21" s="36"/>
      <c r="G21" s="132"/>
      <c r="H21" s="36"/>
      <c r="I21" s="36"/>
      <c r="J21" s="135"/>
      <c r="K21" s="136"/>
      <c r="L21" s="133"/>
      <c r="M21" s="36"/>
      <c r="N21" s="36"/>
      <c r="O21" s="135"/>
      <c r="P21" s="37"/>
      <c r="Q21" s="132"/>
      <c r="R21" s="36"/>
      <c r="S21" s="36"/>
      <c r="T21" s="36"/>
      <c r="U21" s="36"/>
      <c r="V21" s="134"/>
      <c r="W21" s="32"/>
    </row>
    <row r="22" spans="1:24" s="34" customFormat="1" ht="12" customHeight="1">
      <c r="A22" s="38" t="s">
        <v>3</v>
      </c>
      <c r="B22" s="35"/>
      <c r="C22" s="43">
        <f>SUM(C9:C21)</f>
        <v>105076.318</v>
      </c>
      <c r="D22" s="44">
        <f>SUM(D9:D21)</f>
        <v>45403.737999999998</v>
      </c>
      <c r="E22" s="45">
        <f>SUM(E9:E21)</f>
        <v>59672.58</v>
      </c>
      <c r="F22" s="36"/>
      <c r="G22" s="43">
        <f t="shared" ref="G22:N22" si="5">SUM(G9:G21)</f>
        <v>-10597</v>
      </c>
      <c r="H22" s="44">
        <f t="shared" si="5"/>
        <v>0</v>
      </c>
      <c r="I22" s="44">
        <f t="shared" si="5"/>
        <v>0</v>
      </c>
      <c r="J22" s="46">
        <f t="shared" si="5"/>
        <v>-10597</v>
      </c>
      <c r="K22" s="44">
        <f t="shared" si="5"/>
        <v>0</v>
      </c>
      <c r="L22" s="43">
        <f t="shared" si="5"/>
        <v>0</v>
      </c>
      <c r="M22" s="44">
        <f t="shared" si="5"/>
        <v>23409.200000000001</v>
      </c>
      <c r="N22" s="44">
        <f t="shared" si="5"/>
        <v>21994.538000000004</v>
      </c>
      <c r="O22" s="46">
        <f>SUM(O9:O21)</f>
        <v>-56000.737999999983</v>
      </c>
      <c r="P22" s="37"/>
      <c r="Q22" s="43">
        <f t="shared" ref="Q22:V22" si="6">SUM(Q9:Q21)</f>
        <v>-115673.318</v>
      </c>
      <c r="R22" s="44">
        <f t="shared" si="6"/>
        <v>0</v>
      </c>
      <c r="S22" s="44">
        <f t="shared" si="6"/>
        <v>0</v>
      </c>
      <c r="T22" s="44">
        <f t="shared" si="6"/>
        <v>0</v>
      </c>
      <c r="U22" s="44">
        <f t="shared" si="6"/>
        <v>0</v>
      </c>
      <c r="V22" s="45">
        <f t="shared" si="6"/>
        <v>-115673</v>
      </c>
      <c r="W22" s="32"/>
    </row>
    <row r="23" spans="1:24" ht="3" customHeight="1">
      <c r="A23" s="106"/>
      <c r="B23" s="35"/>
      <c r="C23" s="132"/>
      <c r="D23" s="36"/>
      <c r="E23" s="134"/>
      <c r="F23" s="36"/>
      <c r="G23" s="132"/>
      <c r="H23" s="36"/>
      <c r="I23" s="36"/>
      <c r="J23" s="135"/>
      <c r="K23" s="136"/>
      <c r="L23" s="133"/>
      <c r="M23" s="36"/>
      <c r="N23" s="36"/>
      <c r="O23" s="135"/>
      <c r="P23" s="37"/>
      <c r="Q23" s="132"/>
      <c r="R23" s="36"/>
      <c r="S23" s="36"/>
      <c r="T23" s="36"/>
      <c r="U23" s="36"/>
      <c r="V23" s="134"/>
      <c r="W23" s="32"/>
    </row>
    <row r="24" spans="1:24" ht="13.5" customHeight="1">
      <c r="A24" s="106" t="s">
        <v>96</v>
      </c>
      <c r="B24" s="35"/>
      <c r="C24" s="132">
        <v>0</v>
      </c>
      <c r="D24" s="36">
        <f>+Expenses!E24</f>
        <v>28434.92</v>
      </c>
      <c r="E24" s="134">
        <f>C24-D24</f>
        <v>-28434.92</v>
      </c>
      <c r="F24" s="36"/>
      <c r="G24" s="132">
        <v>0</v>
      </c>
      <c r="H24" s="36">
        <v>0</v>
      </c>
      <c r="I24" s="36">
        <v>0</v>
      </c>
      <c r="J24" s="135">
        <f>SUM(G24:I24)</f>
        <v>0</v>
      </c>
      <c r="K24" s="136"/>
      <c r="L24" s="132">
        <f>'[2]Alloc Exp'!D27</f>
        <v>0</v>
      </c>
      <c r="M24" s="36">
        <f>+Expenses!D24</f>
        <v>28434.92</v>
      </c>
      <c r="N24" s="36">
        <v>0</v>
      </c>
      <c r="O24" s="135">
        <f>J24-K24-M24-N24-L24</f>
        <v>-28434.92</v>
      </c>
      <c r="P24" s="37"/>
      <c r="Q24" s="132">
        <f>+J24-C24</f>
        <v>0</v>
      </c>
      <c r="R24" s="36"/>
      <c r="S24" s="36">
        <v>0</v>
      </c>
      <c r="T24" s="36">
        <f>+Expenses!F24</f>
        <v>0</v>
      </c>
      <c r="U24" s="36">
        <v>0</v>
      </c>
      <c r="V24" s="134">
        <f>ROUND(SUM(Q24:U24),0)</f>
        <v>0</v>
      </c>
      <c r="W24" s="32"/>
    </row>
    <row r="25" spans="1:24" ht="13.5" customHeight="1">
      <c r="A25" s="106" t="s">
        <v>93</v>
      </c>
      <c r="B25" s="35"/>
      <c r="C25" s="132">
        <v>0</v>
      </c>
      <c r="D25" s="36">
        <f>+AllocExp!L26</f>
        <v>-21994.538000000004</v>
      </c>
      <c r="E25" s="134">
        <f>C25-D25</f>
        <v>21994.538000000004</v>
      </c>
      <c r="F25" s="36"/>
      <c r="G25" s="132">
        <v>0</v>
      </c>
      <c r="H25" s="36"/>
      <c r="I25" s="36">
        <v>0</v>
      </c>
      <c r="J25" s="135">
        <f>SUM(G25:I25)</f>
        <v>0</v>
      </c>
      <c r="K25" s="136"/>
      <c r="L25" s="132">
        <v>0</v>
      </c>
      <c r="M25" s="36">
        <v>0</v>
      </c>
      <c r="N25" s="36">
        <f>+AllocExp!K26</f>
        <v>-21994.538000000004</v>
      </c>
      <c r="O25" s="135">
        <f>J25-K25-M25-N25-L25</f>
        <v>21994.538000000004</v>
      </c>
      <c r="P25" s="37"/>
      <c r="Q25" s="132">
        <f>+J25-C25</f>
        <v>0</v>
      </c>
      <c r="R25" s="36"/>
      <c r="S25" s="36">
        <v>0</v>
      </c>
      <c r="T25" s="36">
        <f>-T24</f>
        <v>0</v>
      </c>
      <c r="U25" s="36">
        <f>+AllocExp!M26</f>
        <v>0</v>
      </c>
      <c r="V25" s="134">
        <f>ROUND(SUM(Q25:U25),0)</f>
        <v>0</v>
      </c>
      <c r="W25" s="32"/>
    </row>
    <row r="26" spans="1:24" ht="13.5" customHeight="1">
      <c r="A26" s="106" t="s">
        <v>10</v>
      </c>
      <c r="B26" s="35"/>
      <c r="C26" s="138">
        <f>GrossMargin!M31</f>
        <v>-500</v>
      </c>
      <c r="D26" s="36">
        <v>0</v>
      </c>
      <c r="E26" s="134">
        <f>C26-D26</f>
        <v>-500</v>
      </c>
      <c r="F26" s="136"/>
      <c r="G26" s="132">
        <f>+GrossMargin!I31</f>
        <v>-500</v>
      </c>
      <c r="H26" s="36">
        <f>GrossMargin!J31</f>
        <v>0</v>
      </c>
      <c r="I26" s="36">
        <f>GrossMargin!K31</f>
        <v>0</v>
      </c>
      <c r="J26" s="135">
        <f>SUM(G26:I26)</f>
        <v>-500</v>
      </c>
      <c r="K26" s="136"/>
      <c r="L26" s="132">
        <v>0</v>
      </c>
      <c r="M26" s="36">
        <v>0</v>
      </c>
      <c r="N26" s="36">
        <v>0</v>
      </c>
      <c r="O26" s="135">
        <f>J26-K26-M26-N26-L26</f>
        <v>-500</v>
      </c>
      <c r="P26" s="37"/>
      <c r="Q26" s="132">
        <f>+J26-C26</f>
        <v>0</v>
      </c>
      <c r="R26" s="36"/>
      <c r="S26" s="36">
        <v>0</v>
      </c>
      <c r="T26" s="36">
        <f>+Expenses!F25</f>
        <v>0</v>
      </c>
      <c r="U26" s="36">
        <v>0</v>
      </c>
      <c r="V26" s="134">
        <f>ROUND(SUM(Q26:U26),0)</f>
        <v>0</v>
      </c>
      <c r="W26" s="32"/>
    </row>
    <row r="27" spans="1:24" ht="13.5" hidden="1" customHeight="1">
      <c r="A27" s="106" t="s">
        <v>34</v>
      </c>
      <c r="B27" s="35"/>
      <c r="C27" s="132">
        <v>0</v>
      </c>
      <c r="D27" s="139">
        <f>'[2]Alloc Exp'!E26</f>
        <v>0</v>
      </c>
      <c r="E27" s="134">
        <f>C27-D27</f>
        <v>0</v>
      </c>
      <c r="F27" s="36"/>
      <c r="G27" s="132">
        <v>0</v>
      </c>
      <c r="H27" s="36">
        <v>0</v>
      </c>
      <c r="I27" s="36">
        <v>0</v>
      </c>
      <c r="J27" s="135">
        <f>SUM(G27:I27)</f>
        <v>0</v>
      </c>
      <c r="K27" s="136"/>
      <c r="L27" s="138">
        <f>'[2]Alloc Exp'!D26</f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f>'[2]Alloc Exp'!F26</f>
        <v>0</v>
      </c>
      <c r="T27" s="36">
        <v>0</v>
      </c>
      <c r="U27" s="36">
        <v>0</v>
      </c>
      <c r="V27" s="134">
        <f>ROUND(SUM(Q27:U27),0)</f>
        <v>0</v>
      </c>
      <c r="W27" s="32"/>
    </row>
    <row r="28" spans="1:24" ht="3" customHeight="1">
      <c r="A28" s="106"/>
      <c r="B28" s="35"/>
      <c r="C28" s="132"/>
      <c r="D28" s="36"/>
      <c r="E28" s="134"/>
      <c r="F28" s="36"/>
      <c r="G28" s="132"/>
      <c r="H28" s="36"/>
      <c r="I28" s="36"/>
      <c r="J28" s="135"/>
      <c r="K28" s="136"/>
      <c r="L28" s="133"/>
      <c r="M28" s="36"/>
      <c r="N28" s="36"/>
      <c r="O28" s="135"/>
      <c r="P28" s="37"/>
      <c r="Q28" s="132"/>
      <c r="R28" s="36"/>
      <c r="S28" s="36"/>
      <c r="T28" s="36"/>
      <c r="U28" s="36"/>
      <c r="V28" s="134">
        <f>ROUND(SUM(Q28:U28),0)</f>
        <v>0</v>
      </c>
      <c r="W28" s="32"/>
    </row>
    <row r="29" spans="1:24" s="34" customFormat="1" ht="12" customHeight="1">
      <c r="A29" s="38" t="s">
        <v>73</v>
      </c>
      <c r="B29" s="35"/>
      <c r="C29" s="43">
        <f>SUM(C22:C28)</f>
        <v>104576.318</v>
      </c>
      <c r="D29" s="44">
        <f>SUM(D22:D28)</f>
        <v>51844.119999999995</v>
      </c>
      <c r="E29" s="45">
        <f>SUM(E22:E28)</f>
        <v>52732.198000000004</v>
      </c>
      <c r="F29" s="36"/>
      <c r="G29" s="43">
        <f t="shared" ref="G29:N29" si="7">SUM(G22:G28)</f>
        <v>-11097</v>
      </c>
      <c r="H29" s="44">
        <f t="shared" si="7"/>
        <v>0</v>
      </c>
      <c r="I29" s="44">
        <f t="shared" si="7"/>
        <v>0</v>
      </c>
      <c r="J29" s="46">
        <f t="shared" si="7"/>
        <v>-11097</v>
      </c>
      <c r="K29" s="44">
        <f t="shared" si="7"/>
        <v>0</v>
      </c>
      <c r="L29" s="43">
        <f t="shared" si="7"/>
        <v>0</v>
      </c>
      <c r="M29" s="44">
        <f t="shared" si="7"/>
        <v>51844.119999999995</v>
      </c>
      <c r="N29" s="44">
        <f t="shared" si="7"/>
        <v>0</v>
      </c>
      <c r="O29" s="46">
        <f>J29-K29-M29-N29-L29</f>
        <v>-62941.119999999995</v>
      </c>
      <c r="P29" s="37"/>
      <c r="Q29" s="43">
        <f t="shared" ref="Q29:V29" si="8">SUM(Q22:Q28)</f>
        <v>-115673.318</v>
      </c>
      <c r="R29" s="44">
        <f t="shared" si="8"/>
        <v>0</v>
      </c>
      <c r="S29" s="44">
        <f t="shared" si="8"/>
        <v>0</v>
      </c>
      <c r="T29" s="44">
        <f t="shared" si="8"/>
        <v>0</v>
      </c>
      <c r="U29" s="44">
        <f t="shared" si="8"/>
        <v>0</v>
      </c>
      <c r="V29" s="45">
        <f t="shared" si="8"/>
        <v>-115673</v>
      </c>
      <c r="W29" s="32"/>
    </row>
    <row r="30" spans="1:24" ht="3" customHeight="1">
      <c r="A30" s="106"/>
      <c r="B30" s="35"/>
      <c r="C30" s="132"/>
      <c r="D30" s="36"/>
      <c r="E30" s="134"/>
      <c r="F30" s="36"/>
      <c r="G30" s="132" t="s">
        <v>61</v>
      </c>
      <c r="H30" s="36"/>
      <c r="I30" s="36"/>
      <c r="J30" s="135"/>
      <c r="K30" s="136"/>
      <c r="L30" s="133"/>
      <c r="M30" s="36" t="s">
        <v>62</v>
      </c>
      <c r="N30" s="36"/>
      <c r="O30" s="135"/>
      <c r="P30" s="37"/>
      <c r="Q30" s="132"/>
      <c r="R30" s="36"/>
      <c r="S30" s="36"/>
      <c r="T30" s="36"/>
      <c r="U30" s="36"/>
      <c r="V30" s="134"/>
      <c r="W30" s="32"/>
    </row>
    <row r="31" spans="1:24" ht="12" customHeight="1">
      <c r="A31" s="106" t="s">
        <v>56</v>
      </c>
      <c r="B31" s="35"/>
      <c r="C31" s="132">
        <v>0</v>
      </c>
      <c r="D31" s="139">
        <v>308</v>
      </c>
      <c r="E31" s="134">
        <f>C31-D31</f>
        <v>-308</v>
      </c>
      <c r="F31" s="36"/>
      <c r="G31" s="132">
        <f>GrossMargin!I43</f>
        <v>0</v>
      </c>
      <c r="H31" s="36">
        <f>GrossMargin!J43</f>
        <v>0</v>
      </c>
      <c r="I31" s="36">
        <f>GrossMargin!K43</f>
        <v>0</v>
      </c>
      <c r="J31" s="135">
        <f>SUM(G31:I31)</f>
        <v>0</v>
      </c>
      <c r="K31" s="136"/>
      <c r="L31" s="133">
        <v>0</v>
      </c>
      <c r="M31" s="139">
        <v>308</v>
      </c>
      <c r="N31" s="36">
        <v>0</v>
      </c>
      <c r="O31" s="135">
        <f>J31-K31-M31-N31-L31</f>
        <v>-308</v>
      </c>
      <c r="P31" s="37"/>
      <c r="Q31" s="132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4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4"/>
      <c r="F32" s="36"/>
      <c r="G32" s="132"/>
      <c r="H32" s="36"/>
      <c r="I32" s="36"/>
      <c r="J32" s="135"/>
      <c r="K32" s="136"/>
      <c r="L32" s="133"/>
      <c r="M32" s="36"/>
      <c r="N32" s="36"/>
      <c r="O32" s="135"/>
      <c r="P32" s="37"/>
      <c r="Q32" s="132"/>
      <c r="R32" s="36"/>
      <c r="S32" s="36"/>
      <c r="T32" s="36"/>
      <c r="U32" s="36"/>
      <c r="V32" s="134"/>
      <c r="W32" s="32"/>
    </row>
    <row r="33" spans="1:23" s="34" customFormat="1" ht="12" customHeight="1">
      <c r="A33" s="38" t="s">
        <v>74</v>
      </c>
      <c r="B33" s="35"/>
      <c r="C33" s="39">
        <f>SUM(C29:C31)</f>
        <v>104576.318</v>
      </c>
      <c r="D33" s="40">
        <f>SUM(D29:D31)</f>
        <v>52152.119999999995</v>
      </c>
      <c r="E33" s="41">
        <f>SUM(E29:E31)</f>
        <v>52424.198000000004</v>
      </c>
      <c r="F33" s="36"/>
      <c r="G33" s="39">
        <f t="shared" ref="G33:V33" si="9">SUM(G29:G31)</f>
        <v>-11097</v>
      </c>
      <c r="H33" s="40">
        <f t="shared" si="9"/>
        <v>0</v>
      </c>
      <c r="I33" s="40">
        <f t="shared" si="9"/>
        <v>0</v>
      </c>
      <c r="J33" s="42">
        <f t="shared" si="9"/>
        <v>-11097</v>
      </c>
      <c r="K33" s="40">
        <f t="shared" si="9"/>
        <v>0</v>
      </c>
      <c r="L33" s="39">
        <f t="shared" si="9"/>
        <v>0</v>
      </c>
      <c r="M33" s="40">
        <f t="shared" si="9"/>
        <v>52152.119999999995</v>
      </c>
      <c r="N33" s="40">
        <f t="shared" si="9"/>
        <v>0</v>
      </c>
      <c r="O33" s="42">
        <f>J33-K33-M33-N33-L33</f>
        <v>-63249.119999999995</v>
      </c>
      <c r="P33" s="37"/>
      <c r="Q33" s="39">
        <f t="shared" si="9"/>
        <v>-115673.318</v>
      </c>
      <c r="R33" s="40">
        <f t="shared" si="9"/>
        <v>0</v>
      </c>
      <c r="S33" s="40">
        <f t="shared" si="9"/>
        <v>0</v>
      </c>
      <c r="T33" s="40">
        <f t="shared" si="9"/>
        <v>0</v>
      </c>
      <c r="U33" s="40">
        <f t="shared" si="9"/>
        <v>0</v>
      </c>
      <c r="V33" s="41">
        <f t="shared" si="9"/>
        <v>-115673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52</v>
      </c>
      <c r="F35" s="23"/>
      <c r="G35" s="68">
        <f>+'[2]GM-WeeklyChnge'!C44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124</v>
      </c>
      <c r="C37" s="23"/>
      <c r="D37" s="23"/>
      <c r="E37" s="23"/>
      <c r="F37" s="23"/>
      <c r="M37" s="165"/>
      <c r="T37" s="165"/>
    </row>
    <row r="38" spans="1:23">
      <c r="C38" s="23"/>
      <c r="D38" s="23"/>
      <c r="E38" s="23"/>
      <c r="F38" s="23"/>
      <c r="G38" s="165"/>
    </row>
    <row r="39" spans="1:23">
      <c r="C39" s="23"/>
      <c r="D39" s="23"/>
      <c r="E39" s="23"/>
      <c r="F39" s="23"/>
      <c r="V39" s="165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C37" sqref="C37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119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April 12,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127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122</v>
      </c>
      <c r="B9" s="34"/>
      <c r="C9" s="138">
        <f>+GrossMargin!D10-[4]GrossMargin!D10</f>
        <v>-2562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-2562</v>
      </c>
      <c r="I9" s="132">
        <v>0</v>
      </c>
      <c r="J9" s="36">
        <f>+GrossMargin!K10-[4]GrossMargin!K10</f>
        <v>0</v>
      </c>
      <c r="K9" s="134">
        <f t="shared" ref="K9:K20" si="1">SUM(H9:J9)</f>
        <v>-2562</v>
      </c>
    </row>
    <row r="10" spans="1:11" s="187" customFormat="1" ht="13.5" customHeight="1">
      <c r="A10" s="106" t="s">
        <v>1</v>
      </c>
      <c r="B10" s="34"/>
      <c r="C10" s="138">
        <f>+GrossMargin!D11-[4]GrossMargin!D11</f>
        <v>417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417</v>
      </c>
      <c r="I10" s="132">
        <v>0</v>
      </c>
      <c r="J10" s="36">
        <f>+GrossMargin!K11-[4]GrossMargin!K11</f>
        <v>0</v>
      </c>
      <c r="K10" s="134">
        <f t="shared" si="1"/>
        <v>417</v>
      </c>
    </row>
    <row r="11" spans="1:11" s="187" customFormat="1" ht="13.5" customHeight="1">
      <c r="A11" s="106" t="s">
        <v>125</v>
      </c>
      <c r="B11" s="34"/>
      <c r="C11" s="138">
        <f>+GrossMargin!D12-[4]GrossMargin!D12</f>
        <v>-43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-43</v>
      </c>
      <c r="I11" s="132">
        <v>0</v>
      </c>
      <c r="J11" s="36">
        <f>+GrossMargin!K12-[4]GrossMargin!K12</f>
        <v>0</v>
      </c>
      <c r="K11" s="134">
        <f t="shared" si="1"/>
        <v>-43</v>
      </c>
    </row>
    <row r="12" spans="1:11" s="187" customFormat="1" ht="13.5" customHeight="1">
      <c r="A12" s="106" t="s">
        <v>43</v>
      </c>
      <c r="B12" s="34"/>
      <c r="C12" s="138">
        <f>+GrossMargin!D13-[4]GrossMargin!D13</f>
        <v>316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316</v>
      </c>
      <c r="I12" s="132">
        <v>0</v>
      </c>
      <c r="J12" s="36">
        <f>+GrossMargin!K13-[4]GrossMargin!K13</f>
        <v>0</v>
      </c>
      <c r="K12" s="134">
        <f t="shared" si="1"/>
        <v>316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694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694</v>
      </c>
      <c r="I13" s="132">
        <v>0</v>
      </c>
      <c r="J13" s="36">
        <f>+GrossMargin!K14-[4]GrossMargin!K14</f>
        <v>0</v>
      </c>
      <c r="K13" s="134">
        <f t="shared" si="1"/>
        <v>694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0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0</v>
      </c>
      <c r="I14" s="132">
        <v>0</v>
      </c>
      <c r="J14" s="36">
        <f>+GrossMargin!K15-[4]GrossMargin!K15</f>
        <v>0</v>
      </c>
      <c r="K14" s="134">
        <f t="shared" si="1"/>
        <v>0</v>
      </c>
    </row>
    <row r="15" spans="1:11" ht="13.5" hidden="1" customHeight="1">
      <c r="A15" s="304" t="s">
        <v>80</v>
      </c>
      <c r="B15" s="245"/>
      <c r="C15" s="240">
        <f>+GrossMargin!D16-[4]GrossMargin!D16</f>
        <v>-65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-65</v>
      </c>
      <c r="I15" s="290">
        <v>0</v>
      </c>
      <c r="J15" s="242">
        <f>+GrossMargin!K16-[4]GrossMargin!K16</f>
        <v>0</v>
      </c>
      <c r="K15" s="291">
        <f t="shared" si="1"/>
        <v>-65</v>
      </c>
    </row>
    <row r="16" spans="1:11" ht="13.5" hidden="1" customHeight="1">
      <c r="A16" s="304" t="s">
        <v>112</v>
      </c>
      <c r="B16" s="245"/>
      <c r="C16" s="240">
        <f>+GrossMargin!D17-[4]GrossMargin!D17</f>
        <v>1565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1565</v>
      </c>
      <c r="I16" s="290">
        <v>0</v>
      </c>
      <c r="J16" s="242">
        <f>+GrossMargin!K17-[4]GrossMargin!K17</f>
        <v>0</v>
      </c>
      <c r="K16" s="291">
        <f t="shared" si="1"/>
        <v>1565</v>
      </c>
    </row>
    <row r="17" spans="1:11" ht="13.5" hidden="1" customHeight="1">
      <c r="A17" s="304" t="s">
        <v>83</v>
      </c>
      <c r="B17" s="245"/>
      <c r="C17" s="240">
        <f>+GrossMargin!D18-[4]GrossMargin!D18</f>
        <v>-2095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-2095</v>
      </c>
      <c r="I17" s="290">
        <v>0</v>
      </c>
      <c r="J17" s="242">
        <f>+GrossMargin!K18-[4]GrossMargin!K18</f>
        <v>0</v>
      </c>
      <c r="K17" s="291">
        <f t="shared" si="1"/>
        <v>-2095</v>
      </c>
    </row>
    <row r="18" spans="1:11" ht="13.5" hidden="1" customHeight="1">
      <c r="A18" s="304" t="s">
        <v>81</v>
      </c>
      <c r="B18" s="245"/>
      <c r="C18" s="240">
        <f>+GrossMargin!D19-[4]GrossMargin!D19</f>
        <v>-95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-95</v>
      </c>
      <c r="I18" s="290">
        <v>0</v>
      </c>
      <c r="J18" s="242">
        <f>+GrossMargin!K19-[4]GrossMargin!K19</f>
        <v>0</v>
      </c>
      <c r="K18" s="291">
        <f t="shared" si="1"/>
        <v>-95</v>
      </c>
    </row>
    <row r="19" spans="1:11" ht="13.5" hidden="1" customHeight="1">
      <c r="A19" s="304" t="s">
        <v>82</v>
      </c>
      <c r="B19" s="245"/>
      <c r="C19" s="240">
        <f>+GrossMargin!D20-[4]GrossMargin!D20</f>
        <v>-3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-3</v>
      </c>
      <c r="I19" s="290">
        <v>0</v>
      </c>
      <c r="J19" s="242">
        <f>+GrossMargin!K20-[4]GrossMargin!K20</f>
        <v>0</v>
      </c>
      <c r="K19" s="291">
        <f t="shared" si="1"/>
        <v>-3</v>
      </c>
    </row>
    <row r="20" spans="1:11" ht="13.5" hidden="1" customHeight="1">
      <c r="A20" s="304" t="s">
        <v>84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-693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-693</v>
      </c>
      <c r="I21" s="132">
        <f t="shared" si="2"/>
        <v>0</v>
      </c>
      <c r="J21" s="36">
        <f t="shared" si="2"/>
        <v>0</v>
      </c>
      <c r="K21" s="134">
        <f t="shared" si="2"/>
        <v>-693</v>
      </c>
    </row>
    <row r="22" spans="1:11" s="187" customFormat="1" ht="13.5" customHeight="1">
      <c r="A22" s="106" t="s">
        <v>130</v>
      </c>
      <c r="B22" s="34"/>
      <c r="C22" s="138">
        <f>+GrossMargin!D23-[4]GrossMargin!D23</f>
        <v>10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>SUM(C22:G22)</f>
        <v>10</v>
      </c>
      <c r="I22" s="132">
        <v>0</v>
      </c>
      <c r="J22" s="36">
        <f>+GrossMargin!K23-[4]GrossMargin!K23</f>
        <v>0</v>
      </c>
      <c r="K22" s="134">
        <f>SUM(H22:J22)</f>
        <v>10</v>
      </c>
    </row>
    <row r="23" spans="1:11" s="187" customFormat="1" ht="13.5" customHeight="1">
      <c r="A23" s="106" t="s">
        <v>89</v>
      </c>
      <c r="B23" s="34"/>
      <c r="C23" s="138">
        <f>+GrossMargin!D24-[4]GrossMargin!D24</f>
        <v>0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>SUM(C23:G23)</f>
        <v>0</v>
      </c>
      <c r="I23" s="132">
        <v>0</v>
      </c>
      <c r="J23" s="36">
        <f>+GrossMargin!K24-[4]GrossMargin!K24</f>
        <v>0</v>
      </c>
      <c r="K23" s="134">
        <f>SUM(H23:J23)</f>
        <v>0</v>
      </c>
    </row>
    <row r="24" spans="1:11" s="187" customFormat="1" ht="13.5" customHeight="1">
      <c r="A24" s="106" t="s">
        <v>91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-1066</v>
      </c>
      <c r="G24" s="137">
        <v>0</v>
      </c>
      <c r="H24" s="135">
        <f>SUM(C24:G24)</f>
        <v>-1066</v>
      </c>
      <c r="I24" s="132">
        <v>0</v>
      </c>
      <c r="J24" s="36">
        <f>+GrossMargin!K25-[4]GrossMargin!K25</f>
        <v>0</v>
      </c>
      <c r="K24" s="134">
        <f>SUM(H24:J24)</f>
        <v>-1066</v>
      </c>
    </row>
    <row r="25" spans="1:11" ht="13.5" customHeight="1">
      <c r="A25" s="106" t="s">
        <v>121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>SUM(C25:G25)</f>
        <v>0</v>
      </c>
      <c r="I25" s="132">
        <v>0</v>
      </c>
      <c r="J25" s="36">
        <f>+GrossMargin!K26-[4]GrossMargin!K26</f>
        <v>0</v>
      </c>
      <c r="K25" s="134">
        <f>SUM(H25:J25)</f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>SUM(C26:G26)</f>
        <v>0</v>
      </c>
      <c r="I26" s="132">
        <v>0</v>
      </c>
      <c r="J26" s="36">
        <f>+GrossMargin!K27-[4]GrossMargin!K27</f>
        <v>0</v>
      </c>
      <c r="K26" s="134">
        <f>SUM(H26:J26)</f>
        <v>0</v>
      </c>
    </row>
    <row r="27" spans="1:11" ht="3" customHeight="1">
      <c r="A27" s="106"/>
      <c r="B27" s="34"/>
      <c r="C27" s="132"/>
      <c r="D27" s="36"/>
      <c r="E27" s="36"/>
      <c r="F27" s="137"/>
      <c r="G27" s="137"/>
      <c r="H27" s="135"/>
      <c r="I27" s="132"/>
      <c r="J27" s="36"/>
      <c r="K27" s="137"/>
    </row>
    <row r="28" spans="1:11" ht="13.5" customHeight="1">
      <c r="A28" s="38" t="s">
        <v>131</v>
      </c>
      <c r="B28" s="34"/>
      <c r="C28" s="43">
        <f>SUM(C21:C26)+SUM(C9:C14)</f>
        <v>-1861</v>
      </c>
      <c r="D28" s="44">
        <f>SUM(D9:D14)+SUM(D21:D26)</f>
        <v>0</v>
      </c>
      <c r="E28" s="44">
        <f>SUM(E9:E14)+SUM(E21:E26)</f>
        <v>0</v>
      </c>
      <c r="F28" s="45">
        <f>SUM(F9:F14)+SUM(F21:F26)</f>
        <v>-1066</v>
      </c>
      <c r="G28" s="44">
        <f>SUM(G9:G14)+SUM(G21:G26)</f>
        <v>0</v>
      </c>
      <c r="H28" s="46">
        <f>SUM(H9:H14)+SUM(H21:H26)</f>
        <v>-2927</v>
      </c>
      <c r="I28" s="44" t="e">
        <f>+#REF!+#REF!</f>
        <v>#REF!</v>
      </c>
      <c r="J28" s="44">
        <f>SUM(J9:J14)+SUM(J21:J26)</f>
        <v>0</v>
      </c>
      <c r="K28" s="45">
        <f>SUM(K9:K14)+SUM(K21:K26)</f>
        <v>-2927</v>
      </c>
    </row>
    <row r="29" spans="1:11" ht="3" customHeight="1">
      <c r="A29" s="106"/>
      <c r="B29" s="34"/>
      <c r="C29" s="132"/>
      <c r="D29" s="36"/>
      <c r="E29" s="36"/>
      <c r="F29" s="137"/>
      <c r="G29" s="137"/>
      <c r="H29" s="135"/>
      <c r="I29" s="132"/>
      <c r="J29" s="36"/>
      <c r="K29" s="137"/>
    </row>
    <row r="30" spans="1:11" ht="13.5" customHeight="1">
      <c r="A30" s="106" t="s">
        <v>10</v>
      </c>
      <c r="B30" s="34"/>
      <c r="C30" s="132">
        <f>+GrossMargin!D31-[4]GrossMargin!D31</f>
        <v>0</v>
      </c>
      <c r="D30" s="36">
        <f>+GrossMargin!E31-[4]GrossMargin!E31</f>
        <v>0</v>
      </c>
      <c r="E30" s="36">
        <v>0</v>
      </c>
      <c r="F30" s="137">
        <f>+GrossMargin!G31-[4]GrossMargin!G31</f>
        <v>0</v>
      </c>
      <c r="G30" s="137">
        <v>0</v>
      </c>
      <c r="H30" s="135">
        <f>SUM(C30:G30)</f>
        <v>0</v>
      </c>
      <c r="I30" s="132">
        <v>0</v>
      </c>
      <c r="J30" s="36">
        <f>+GrossMargin!K31-[4]GrossMargin!K31</f>
        <v>0</v>
      </c>
      <c r="K30" s="134">
        <f>SUM(H30:J30)</f>
        <v>0</v>
      </c>
    </row>
    <row r="31" spans="1:11" ht="3" customHeight="1">
      <c r="A31" s="106"/>
      <c r="B31" s="34"/>
      <c r="C31" s="132"/>
      <c r="D31" s="36"/>
      <c r="E31" s="36"/>
      <c r="F31" s="137"/>
      <c r="G31" s="137"/>
      <c r="H31" s="135"/>
      <c r="I31" s="132"/>
      <c r="J31" s="36"/>
      <c r="K31" s="137"/>
    </row>
    <row r="32" spans="1:11" ht="13.5" customHeight="1">
      <c r="A32" s="38" t="s">
        <v>95</v>
      </c>
      <c r="B32" s="34"/>
      <c r="C32" s="39">
        <f>+C28+C30</f>
        <v>-1861</v>
      </c>
      <c r="D32" s="40">
        <f>+D28+D30</f>
        <v>0</v>
      </c>
      <c r="E32" s="40">
        <f>+E28+E30</f>
        <v>0</v>
      </c>
      <c r="F32" s="41">
        <f>+F28+F30</f>
        <v>-1066</v>
      </c>
      <c r="G32" s="41">
        <f>SUM(G28:G30)</f>
        <v>0</v>
      </c>
      <c r="H32" s="42">
        <f>+H28+H30</f>
        <v>-2927</v>
      </c>
      <c r="I32" s="39" t="e">
        <f>SUM(I28:I30)</f>
        <v>#REF!</v>
      </c>
      <c r="J32" s="40">
        <f>+J28+J30</f>
        <v>0</v>
      </c>
      <c r="K32" s="41">
        <f>+K28+K30</f>
        <v>-2927</v>
      </c>
    </row>
    <row r="33" spans="1:11" ht="3" customHeight="1">
      <c r="A33" s="102"/>
      <c r="B33" s="32"/>
      <c r="C33" s="103"/>
      <c r="D33" s="104"/>
      <c r="E33" s="104"/>
      <c r="F33" s="179"/>
      <c r="G33" s="179"/>
      <c r="H33" s="307"/>
      <c r="I33" s="103"/>
      <c r="J33" s="104"/>
      <c r="K33" s="179"/>
    </row>
    <row r="34" spans="1:11" ht="13.5">
      <c r="A34" s="162" t="s">
        <v>59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4"/>
    </row>
    <row r="37" spans="1:11">
      <c r="G37" s="165"/>
    </row>
    <row r="38" spans="1:11" ht="15.75">
      <c r="D38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M38" sqref="M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116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April 12,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127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122</v>
      </c>
      <c r="C10" s="186"/>
      <c r="D10" s="138">
        <v>-11164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-11164</v>
      </c>
      <c r="J10" s="136"/>
      <c r="K10" s="36">
        <v>0</v>
      </c>
      <c r="L10" s="36">
        <f>+I10+K10</f>
        <v>-11164</v>
      </c>
      <c r="M10" s="249">
        <v>32500</v>
      </c>
      <c r="N10" s="134">
        <f t="shared" ref="N10:N23" si="1">L10-M10</f>
        <v>-43664</v>
      </c>
    </row>
    <row r="11" spans="1:16" s="187" customFormat="1" ht="13.5" customHeight="1">
      <c r="A11" s="12" t="s">
        <v>17</v>
      </c>
      <c r="B11" s="106" t="s">
        <v>1</v>
      </c>
      <c r="C11" s="186"/>
      <c r="D11" s="138">
        <f>893-D12-D13</f>
        <v>2180</v>
      </c>
      <c r="E11" s="139">
        <v>0</v>
      </c>
      <c r="F11" s="139">
        <v>0</v>
      </c>
      <c r="G11" s="139">
        <v>0</v>
      </c>
      <c r="H11" s="137">
        <v>0</v>
      </c>
      <c r="I11" s="135">
        <f t="shared" si="0"/>
        <v>2180</v>
      </c>
      <c r="J11" s="136"/>
      <c r="K11" s="36">
        <v>0</v>
      </c>
      <c r="L11" s="36">
        <f t="shared" ref="L11:L23" si="2">+I11+K11</f>
        <v>2180</v>
      </c>
      <c r="M11" s="249">
        <f>13750-M12</f>
        <v>11250</v>
      </c>
      <c r="N11" s="134">
        <f t="shared" si="1"/>
        <v>-9070</v>
      </c>
    </row>
    <row r="12" spans="1:16" s="187" customFormat="1" ht="13.5" customHeight="1">
      <c r="A12" s="12"/>
      <c r="B12" s="106" t="s">
        <v>125</v>
      </c>
      <c r="C12" s="186"/>
      <c r="D12" s="138">
        <v>-1498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-1498</v>
      </c>
      <c r="J12" s="136"/>
      <c r="K12" s="36">
        <v>0</v>
      </c>
      <c r="L12" s="36">
        <f>+I12+K12</f>
        <v>-1498</v>
      </c>
      <c r="M12" s="249">
        <v>2500</v>
      </c>
      <c r="N12" s="134">
        <f>L12-M12</f>
        <v>-3998</v>
      </c>
    </row>
    <row r="13" spans="1:16" s="187" customFormat="1" ht="13.5" customHeight="1">
      <c r="A13" s="12" t="s">
        <v>0</v>
      </c>
      <c r="B13" s="106" t="s">
        <v>43</v>
      </c>
      <c r="C13" s="186"/>
      <c r="D13" s="138">
        <v>211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211</v>
      </c>
      <c r="J13" s="136"/>
      <c r="K13" s="36">
        <v>0</v>
      </c>
      <c r="L13" s="36">
        <f t="shared" si="2"/>
        <v>211</v>
      </c>
      <c r="M13" s="249">
        <f>1875+3125</f>
        <v>5000</v>
      </c>
      <c r="N13" s="134">
        <f t="shared" si="1"/>
        <v>-4789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616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616</v>
      </c>
      <c r="J14" s="136"/>
      <c r="K14" s="36">
        <v>0</v>
      </c>
      <c r="L14" s="36">
        <f t="shared" si="2"/>
        <v>616</v>
      </c>
      <c r="M14" s="249">
        <f>8578.819-1500</f>
        <v>7078.8189999999995</v>
      </c>
      <c r="N14" s="134">
        <f t="shared" si="1"/>
        <v>-6462.8189999999995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0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0</v>
      </c>
      <c r="J15" s="136"/>
      <c r="K15" s="36">
        <v>0</v>
      </c>
      <c r="L15" s="36">
        <f t="shared" si="2"/>
        <v>0</v>
      </c>
      <c r="M15" s="249">
        <v>11875</v>
      </c>
      <c r="N15" s="134">
        <f t="shared" si="1"/>
        <v>-11875</v>
      </c>
    </row>
    <row r="16" spans="1:16" ht="13.5" hidden="1" customHeight="1">
      <c r="A16" s="12" t="s">
        <v>50</v>
      </c>
      <c r="B16" s="304" t="s">
        <v>80</v>
      </c>
      <c r="C16" s="239"/>
      <c r="D16" s="240">
        <v>326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326</v>
      </c>
      <c r="J16" s="242"/>
      <c r="K16" s="242">
        <v>0</v>
      </c>
      <c r="L16" s="36">
        <f t="shared" si="2"/>
        <v>326</v>
      </c>
      <c r="M16" s="251">
        <v>0</v>
      </c>
      <c r="N16" s="243">
        <f>L16-M16</f>
        <v>326</v>
      </c>
    </row>
    <row r="17" spans="1:16" ht="13.5" hidden="1" customHeight="1">
      <c r="A17" s="12" t="s">
        <v>50</v>
      </c>
      <c r="B17" s="304" t="s">
        <v>112</v>
      </c>
      <c r="C17" s="239"/>
      <c r="D17" s="240">
        <v>1440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1440</v>
      </c>
      <c r="J17" s="242"/>
      <c r="K17" s="242">
        <v>0</v>
      </c>
      <c r="L17" s="36">
        <f>+I17+K17</f>
        <v>1440</v>
      </c>
      <c r="M17" s="251">
        <v>0</v>
      </c>
      <c r="N17" s="243">
        <f>L17-M17</f>
        <v>1440</v>
      </c>
    </row>
    <row r="18" spans="1:16" ht="13.5" hidden="1" customHeight="1">
      <c r="B18" s="304" t="s">
        <v>83</v>
      </c>
      <c r="C18" s="239"/>
      <c r="D18" s="240">
        <v>-1225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-1225</v>
      </c>
      <c r="J18" s="242"/>
      <c r="K18" s="242">
        <v>0</v>
      </c>
      <c r="L18" s="36">
        <f t="shared" si="2"/>
        <v>-1225</v>
      </c>
      <c r="M18" s="251">
        <v>0</v>
      </c>
      <c r="N18" s="243">
        <f>L18-M18</f>
        <v>-1225</v>
      </c>
      <c r="P18" s="165"/>
    </row>
    <row r="19" spans="1:16" ht="13.5" hidden="1" customHeight="1">
      <c r="B19" s="304" t="s">
        <v>81</v>
      </c>
      <c r="C19" s="239"/>
      <c r="D19" s="240">
        <v>-55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-55</v>
      </c>
      <c r="J19" s="242"/>
      <c r="K19" s="242">
        <v>0</v>
      </c>
      <c r="L19" s="36">
        <f t="shared" si="2"/>
        <v>-55</v>
      </c>
      <c r="M19" s="251">
        <v>0</v>
      </c>
      <c r="N19" s="243">
        <f t="shared" si="1"/>
        <v>-55</v>
      </c>
      <c r="O19" s="165"/>
    </row>
    <row r="20" spans="1:16" ht="13.5" hidden="1" customHeight="1">
      <c r="B20" s="304" t="s">
        <v>82</v>
      </c>
      <c r="C20" s="239"/>
      <c r="D20" s="240">
        <v>-3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-3</v>
      </c>
      <c r="J20" s="242"/>
      <c r="K20" s="242">
        <v>0</v>
      </c>
      <c r="L20" s="36">
        <f t="shared" si="2"/>
        <v>-3</v>
      </c>
      <c r="M20" s="251">
        <v>0</v>
      </c>
      <c r="N20" s="243">
        <f t="shared" si="1"/>
        <v>-3</v>
      </c>
    </row>
    <row r="21" spans="1:16" ht="13.5" hidden="1" customHeight="1">
      <c r="B21" s="304" t="s">
        <v>84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483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483</v>
      </c>
      <c r="J22" s="136"/>
      <c r="K22" s="36">
        <f>SUM(K16:K21)</f>
        <v>0</v>
      </c>
      <c r="L22" s="36">
        <f t="shared" si="2"/>
        <v>483</v>
      </c>
      <c r="M22" s="249">
        <v>27500</v>
      </c>
      <c r="N22" s="134">
        <f>L22-M22</f>
        <v>-27017</v>
      </c>
    </row>
    <row r="23" spans="1:16" s="187" customFormat="1" ht="13.5" customHeight="1">
      <c r="A23" s="12"/>
      <c r="B23" s="166" t="s">
        <v>130</v>
      </c>
      <c r="C23" s="186"/>
      <c r="D23" s="138">
        <v>17</v>
      </c>
      <c r="E23" s="139">
        <v>0</v>
      </c>
      <c r="F23" s="139">
        <v>0</v>
      </c>
      <c r="G23" s="139">
        <v>0</v>
      </c>
      <c r="H23" s="137">
        <v>0</v>
      </c>
      <c r="I23" s="135">
        <f>SUM(D23:H23)</f>
        <v>17</v>
      </c>
      <c r="J23" s="136"/>
      <c r="K23" s="36">
        <v>0</v>
      </c>
      <c r="L23" s="36">
        <f t="shared" si="2"/>
        <v>17</v>
      </c>
      <c r="M23" s="137">
        <v>1000</v>
      </c>
      <c r="N23" s="134">
        <f t="shared" si="1"/>
        <v>-983</v>
      </c>
    </row>
    <row r="24" spans="1:16" s="187" customFormat="1" ht="13.5" customHeight="1">
      <c r="A24" s="12"/>
      <c r="B24" s="106" t="s">
        <v>89</v>
      </c>
      <c r="C24" s="186"/>
      <c r="D24" s="138">
        <v>3</v>
      </c>
      <c r="E24" s="139">
        <v>0</v>
      </c>
      <c r="F24" s="139">
        <v>0</v>
      </c>
      <c r="G24" s="139">
        <v>0</v>
      </c>
      <c r="H24" s="137">
        <v>0</v>
      </c>
      <c r="I24" s="135">
        <f>SUM(D24:H24)</f>
        <v>3</v>
      </c>
      <c r="J24" s="136"/>
      <c r="K24" s="36">
        <v>0</v>
      </c>
      <c r="L24" s="36">
        <f>+I24+K24</f>
        <v>3</v>
      </c>
      <c r="M24" s="249">
        <v>5000</v>
      </c>
      <c r="N24" s="134">
        <f>L24-M24</f>
        <v>-4997</v>
      </c>
      <c r="O24" s="14"/>
    </row>
    <row r="25" spans="1:16" s="187" customFormat="1" ht="13.5" customHeight="1">
      <c r="A25" s="12"/>
      <c r="B25" s="106" t="s">
        <v>91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>SUM(D25:H25)</f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121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>SUM(D26:H26)</f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>SUM(D27:H27)</f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ht="3" customHeight="1">
      <c r="B28" s="106"/>
      <c r="C28" s="34"/>
      <c r="D28" s="132"/>
      <c r="E28" s="36"/>
      <c r="F28" s="36"/>
      <c r="G28" s="36"/>
      <c r="H28" s="137"/>
      <c r="I28" s="135"/>
      <c r="J28" s="36"/>
      <c r="K28" s="132"/>
      <c r="L28" s="36"/>
      <c r="M28" s="137"/>
      <c r="N28" s="134"/>
    </row>
    <row r="29" spans="1:16" ht="12" customHeight="1">
      <c r="B29" s="259" t="s">
        <v>75</v>
      </c>
      <c r="C29" s="34"/>
      <c r="D29" s="43">
        <f t="shared" ref="D29:N29" si="4">SUM(D10:D15)+SUM(D22:D27)</f>
        <v>-9152</v>
      </c>
      <c r="E29" s="44">
        <f t="shared" si="4"/>
        <v>0</v>
      </c>
      <c r="F29" s="44">
        <f t="shared" si="4"/>
        <v>0</v>
      </c>
      <c r="G29" s="44">
        <f t="shared" si="4"/>
        <v>-1445</v>
      </c>
      <c r="H29" s="45">
        <f t="shared" si="4"/>
        <v>0</v>
      </c>
      <c r="I29" s="46">
        <f t="shared" si="4"/>
        <v>-10597</v>
      </c>
      <c r="J29" s="44">
        <f t="shared" si="4"/>
        <v>0</v>
      </c>
      <c r="K29" s="44">
        <f t="shared" si="4"/>
        <v>0</v>
      </c>
      <c r="L29" s="44">
        <f t="shared" si="4"/>
        <v>-10597</v>
      </c>
      <c r="M29" s="45">
        <f t="shared" si="4"/>
        <v>105076.318</v>
      </c>
      <c r="N29" s="45">
        <f t="shared" si="4"/>
        <v>-115673.318</v>
      </c>
    </row>
    <row r="30" spans="1:16" ht="3" customHeight="1">
      <c r="B30" s="106"/>
      <c r="C30" s="34"/>
      <c r="D30" s="132"/>
      <c r="E30" s="36"/>
      <c r="F30" s="36"/>
      <c r="G30" s="36"/>
      <c r="H30" s="137"/>
      <c r="I30" s="135"/>
      <c r="J30" s="36"/>
      <c r="K30" s="132"/>
      <c r="L30" s="36"/>
      <c r="M30" s="137"/>
      <c r="N30" s="134"/>
    </row>
    <row r="31" spans="1:16" ht="13.5" customHeight="1">
      <c r="B31" s="106" t="s">
        <v>10</v>
      </c>
      <c r="C31" s="34"/>
      <c r="D31" s="132">
        <v>0</v>
      </c>
      <c r="E31" s="139">
        <v>0</v>
      </c>
      <c r="F31" s="139">
        <v>0</v>
      </c>
      <c r="G31" s="139">
        <v>-500</v>
      </c>
      <c r="H31" s="137">
        <v>0</v>
      </c>
      <c r="I31" s="135">
        <f>SUM(D31:H31)</f>
        <v>-500</v>
      </c>
      <c r="J31" s="36"/>
      <c r="K31" s="132">
        <v>0</v>
      </c>
      <c r="L31" s="36">
        <f>SUM(I31:K31)</f>
        <v>-500</v>
      </c>
      <c r="M31" s="137">
        <f>-2000/4</f>
        <v>-500</v>
      </c>
      <c r="N31" s="134">
        <f>L31-M31</f>
        <v>0</v>
      </c>
    </row>
    <row r="32" spans="1:16" ht="3" customHeight="1">
      <c r="B32" s="106"/>
      <c r="C32" s="34"/>
      <c r="D32" s="132"/>
      <c r="E32" s="36"/>
      <c r="F32" s="36"/>
      <c r="G32" s="36"/>
      <c r="H32" s="137"/>
      <c r="I32" s="135"/>
      <c r="J32" s="36"/>
      <c r="K32" s="132"/>
      <c r="L32" s="36"/>
      <c r="M32" s="137"/>
      <c r="N32" s="134"/>
    </row>
    <row r="33" spans="2:14" ht="12" customHeight="1">
      <c r="B33" s="38" t="s">
        <v>76</v>
      </c>
      <c r="C33" s="34"/>
      <c r="D33" s="39">
        <f>+D29+D31</f>
        <v>-9152</v>
      </c>
      <c r="E33" s="40">
        <f>+E29+E31</f>
        <v>0</v>
      </c>
      <c r="F33" s="40">
        <f>+F29+F31</f>
        <v>0</v>
      </c>
      <c r="G33" s="40">
        <f>+G29+G31</f>
        <v>-1945</v>
      </c>
      <c r="H33" s="41">
        <f>+H29+H31</f>
        <v>0</v>
      </c>
      <c r="I33" s="42">
        <f>SUM(I29:I31)</f>
        <v>-11097</v>
      </c>
      <c r="J33" s="40">
        <f>SUM(J29:J31)</f>
        <v>0</v>
      </c>
      <c r="K33" s="39">
        <f>+K29+K31</f>
        <v>0</v>
      </c>
      <c r="L33" s="40">
        <f>+L29+L31</f>
        <v>-11097</v>
      </c>
      <c r="M33" s="41">
        <f>+M29+M31</f>
        <v>104576.318</v>
      </c>
      <c r="N33" s="41">
        <f>SUM(N29:N31)</f>
        <v>-115673.318</v>
      </c>
    </row>
    <row r="34" spans="2:14" ht="3" customHeight="1">
      <c r="B34" s="24"/>
      <c r="D34" s="25"/>
      <c r="E34" s="26"/>
      <c r="F34" s="26"/>
      <c r="G34" s="26"/>
      <c r="H34" s="27"/>
      <c r="I34" s="169"/>
      <c r="J34" s="26"/>
      <c r="K34" s="25"/>
      <c r="L34" s="26"/>
      <c r="M34" s="27"/>
      <c r="N34" s="27"/>
    </row>
    <row r="35" spans="2:14">
      <c r="B35" s="162" t="s">
        <v>59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62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35" sqref="G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26" t="s">
        <v>69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58</v>
      </c>
    </row>
    <row r="3" spans="1:37" ht="15">
      <c r="A3" s="11">
        <v>36861</v>
      </c>
      <c r="B3" s="327" t="s">
        <v>129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21</v>
      </c>
      <c r="B4" s="328" t="str">
        <f>+'Mgmt Summary'!A3</f>
        <v>Results based on activity through April 12, 2001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46</v>
      </c>
      <c r="B6" s="123"/>
      <c r="D6" s="320" t="s">
        <v>25</v>
      </c>
      <c r="E6" s="321"/>
      <c r="F6" s="322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3" t="s">
        <v>38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122</v>
      </c>
      <c r="C9" s="171"/>
      <c r="D9" s="158">
        <f t="shared" ref="D9:D20" si="0">+E9</f>
        <v>6994.3119999999999</v>
      </c>
      <c r="E9" s="172">
        <v>6994.3119999999999</v>
      </c>
      <c r="F9" s="176">
        <f t="shared" ref="F9:F16" si="1">E9-D9</f>
        <v>0</v>
      </c>
      <c r="G9" s="52"/>
      <c r="H9" s="247"/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</v>
      </c>
      <c r="C10" s="50"/>
      <c r="D10" s="158">
        <f t="shared" si="0"/>
        <v>4077.2150000000001</v>
      </c>
      <c r="E10" s="172">
        <v>4077.2150000000001</v>
      </c>
      <c r="F10" s="142">
        <f t="shared" si="1"/>
        <v>0</v>
      </c>
      <c r="G10" s="52"/>
      <c r="H10" s="247"/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125</v>
      </c>
      <c r="C11" s="50"/>
      <c r="D11" s="158">
        <f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0</v>
      </c>
      <c r="B12" s="128" t="s">
        <v>43</v>
      </c>
      <c r="C12" s="50"/>
      <c r="D12" s="158">
        <f t="shared" si="0"/>
        <v>1283.7809999999999</v>
      </c>
      <c r="E12" s="172">
        <f>237.191+1046.59</f>
        <v>1283.7809999999999</v>
      </c>
      <c r="F12" s="142">
        <f t="shared" si="1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0"/>
        <v>1463.0070000000001</v>
      </c>
      <c r="E13" s="172">
        <f>1906.741-443.734</f>
        <v>1463.0070000000001</v>
      </c>
      <c r="F13" s="142">
        <f t="shared" si="1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0"/>
        <v>2304.1210000000001</v>
      </c>
      <c r="E14" s="172">
        <v>2304.1210000000001</v>
      </c>
      <c r="F14" s="142">
        <f t="shared" si="1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0"/>
        <v>3742.614</v>
      </c>
      <c r="E15" s="172">
        <v>3742.614</v>
      </c>
      <c r="F15" s="176">
        <f t="shared" si="1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130</v>
      </c>
      <c r="C16" s="171"/>
      <c r="D16" s="158">
        <f t="shared" si="0"/>
        <v>578.553</v>
      </c>
      <c r="E16" s="172">
        <v>578.553</v>
      </c>
      <c r="F16" s="176">
        <f t="shared" si="1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89</v>
      </c>
      <c r="C17" s="171"/>
      <c r="D17" s="158">
        <f>+E17</f>
        <v>1430.25</v>
      </c>
      <c r="E17" s="172">
        <v>1430.25</v>
      </c>
      <c r="F17" s="176">
        <f>E17-D17</f>
        <v>0</v>
      </c>
      <c r="G17" s="52"/>
      <c r="H17" s="247"/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91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121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 t="shared" si="0"/>
        <v>537.20000000000005</v>
      </c>
      <c r="E20" s="141">
        <v>537.20000000000005</v>
      </c>
      <c r="F20" s="142">
        <f>E20-D20</f>
        <v>0</v>
      </c>
      <c r="G20" s="52"/>
      <c r="H20" s="247"/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94</v>
      </c>
      <c r="C22" s="50"/>
      <c r="D22" s="56">
        <f>SUM(D9:D21)</f>
        <v>23409.200000000001</v>
      </c>
      <c r="E22" s="57">
        <f>SUM(E9:E21)</f>
        <v>23409.200000000001</v>
      </c>
      <c r="F22" s="180">
        <f>SUM(F9:F21)</f>
        <v>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28434.92</v>
      </c>
      <c r="E24" s="141">
        <f>29614-68.678-792.24-318.162</f>
        <v>28434.92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51844.119999999995</v>
      </c>
      <c r="E27" s="48">
        <f>SUM(E22:E25)</f>
        <v>51844.119999999995</v>
      </c>
      <c r="F27" s="49">
        <f>SUM(F22:F25)</f>
        <v>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9" t="s">
        <v>48</v>
      </c>
      <c r="E30" s="330"/>
      <c r="F30" s="331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17" t="s">
        <v>38</v>
      </c>
      <c r="I31" s="318"/>
      <c r="J31" s="318"/>
      <c r="K31" s="319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6" t="s">
        <v>69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5">
      <c r="A3" s="327" t="s">
        <v>120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April 12, 2001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3"/>
      <c r="B6" s="50"/>
      <c r="C6" s="320" t="s">
        <v>25</v>
      </c>
      <c r="D6" s="321"/>
      <c r="E6" s="322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3" t="s">
        <v>38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78</v>
      </c>
      <c r="B9" s="50"/>
      <c r="C9" s="140">
        <f>+Expenses!D9-[2]Expenses!D9</f>
        <v>226.54199999999946</v>
      </c>
      <c r="D9" s="141">
        <f>+Expenses!E9-[2]Expenses!E9</f>
        <v>226.54199999999946</v>
      </c>
      <c r="E9" s="142">
        <f t="shared" ref="E9:E15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40">
        <f>+Expenses!D10-[2]Expenses!D10</f>
        <v>64.122000000000298</v>
      </c>
      <c r="D10" s="141">
        <f>+Expenses!E10-[2]Expenses!E10</f>
        <v>64.122000000000298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43</v>
      </c>
      <c r="B11" s="50"/>
      <c r="C11" s="140">
        <f>+Expenses!D12-[2]Expenses!D12</f>
        <v>70.162000000000035</v>
      </c>
      <c r="D11" s="141">
        <f>+Expenses!E12-[2]Expenses!E12</f>
        <v>70.162000000000035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63</v>
      </c>
      <c r="B12" s="50"/>
      <c r="C12" s="140">
        <f>+Expenses!D13-[2]Expenses!D13</f>
        <v>-345.51599999999985</v>
      </c>
      <c r="D12" s="141">
        <f>+Expenses!E13-[2]Expenses!E13</f>
        <v>-345.51599999999985</v>
      </c>
      <c r="E12" s="142">
        <f t="shared" si="0"/>
        <v>0</v>
      </c>
      <c r="F12" s="52"/>
      <c r="G12" s="143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70</v>
      </c>
      <c r="B13" s="50"/>
      <c r="C13" s="140">
        <f>+Expenses!D14-[2]Expenses!D14</f>
        <v>501.47300000000018</v>
      </c>
      <c r="D13" s="141">
        <f>+Expenses!E14-[2]Expenses!E14</f>
        <v>501.47300000000018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49</v>
      </c>
      <c r="B14" s="50"/>
      <c r="C14" s="140">
        <f>+Expenses!D15-[2]Expenses!D15</f>
        <v>275.22800000000007</v>
      </c>
      <c r="D14" s="141">
        <f>+Expenses!E15-[2]Expenses!E15</f>
        <v>275.22800000000007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8" t="s">
        <v>88</v>
      </c>
      <c r="B15" s="50"/>
      <c r="C15" s="140">
        <f>+Expenses!D16-[2]Expenses!D16</f>
        <v>116.846</v>
      </c>
      <c r="D15" s="141">
        <f>+Expenses!E16-[2]Expenses!E16</f>
        <v>116.846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8" t="s">
        <v>2</v>
      </c>
      <c r="B16" s="50"/>
      <c r="C16" s="140">
        <f>+Expenses!D20-[2]Expenses!D17</f>
        <v>-893.05</v>
      </c>
      <c r="D16" s="141">
        <f>+Expenses!E20-[2]Expenses!E17</f>
        <v>-893.05</v>
      </c>
      <c r="E16" s="142">
        <f>D16-C16</f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8"/>
      <c r="B17" s="50"/>
      <c r="C17" s="140"/>
      <c r="D17" s="141"/>
      <c r="E17" s="142"/>
      <c r="F17" s="52"/>
      <c r="G17" s="143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58" t="s">
        <v>97</v>
      </c>
      <c r="B18" s="50"/>
      <c r="C18" s="47">
        <f>SUM(C9:C17)</f>
        <v>15.807000000000244</v>
      </c>
      <c r="D18" s="48">
        <f>SUM(D9:D17)</f>
        <v>15.807000000000244</v>
      </c>
      <c r="E18" s="49">
        <f>SUM(E9:E17)</f>
        <v>0</v>
      </c>
      <c r="F18" s="52"/>
      <c r="G18" s="143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8"/>
      <c r="B19" s="50"/>
      <c r="C19" s="140"/>
      <c r="D19" s="141"/>
      <c r="E19" s="142"/>
      <c r="F19" s="52"/>
      <c r="G19" s="143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8" t="s">
        <v>89</v>
      </c>
      <c r="B20" s="50"/>
      <c r="C20" s="140">
        <f>+Expenses!D17-[2]Expenses!D21</f>
        <v>896.88099999999997</v>
      </c>
      <c r="D20" s="141">
        <f>+Expenses!E17-[2]Expenses!E21</f>
        <v>896.88099999999997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90</v>
      </c>
      <c r="B21" s="50"/>
      <c r="C21" s="140" t="e">
        <f>+Expenses!#REF!-[2]Expenses!D22</f>
        <v>#REF!</v>
      </c>
      <c r="D21" s="141" t="e">
        <f>+Expenses!#REF!-[2]Expenses!E22</f>
        <v>#REF!</v>
      </c>
      <c r="E21" s="142" t="e">
        <f>D21-C21</f>
        <v>#REF!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8" t="s">
        <v>91</v>
      </c>
      <c r="B22" s="50"/>
      <c r="C22" s="140">
        <f>+Expenses!D18-[2]Expenses!D23</f>
        <v>-22990.219999999998</v>
      </c>
      <c r="D22" s="141">
        <f>+Expenses!E18-[2]Expenses!E23</f>
        <v>-22990.219999999998</v>
      </c>
      <c r="E22" s="142">
        <f>D22-C22</f>
        <v>0</v>
      </c>
      <c r="F22" s="52"/>
      <c r="G22" s="247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8"/>
      <c r="B23" s="50"/>
      <c r="C23" s="140"/>
      <c r="D23" s="141"/>
      <c r="E23" s="142"/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58" t="s">
        <v>94</v>
      </c>
      <c r="B24" s="50"/>
      <c r="C24" s="47" t="e">
        <f>SUM(C20:C23)</f>
        <v>#REF!</v>
      </c>
      <c r="D24" s="48" t="e">
        <f>SUM(D20:D23)</f>
        <v>#REF!</v>
      </c>
      <c r="E24" s="49" t="e">
        <f>SUM(E20:E23)</f>
        <v>#REF!</v>
      </c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8"/>
      <c r="B25" s="50"/>
      <c r="C25" s="140"/>
      <c r="D25" s="141"/>
      <c r="E25" s="142"/>
      <c r="F25" s="52"/>
      <c r="G25" s="143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8"/>
      <c r="B26" s="50"/>
      <c r="C26" s="140"/>
      <c r="D26" s="141"/>
      <c r="E26" s="142"/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>+C18+C24</f>
        <v>#REF!</v>
      </c>
      <c r="D27" s="48" t="e">
        <f>+D18+D24</f>
        <v>#REF!</v>
      </c>
      <c r="E27" s="49" t="e">
        <f>+E18+E24</f>
        <v>#REF!</v>
      </c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8"/>
      <c r="B28" s="50"/>
      <c r="C28" s="140"/>
      <c r="D28" s="141"/>
      <c r="E28" s="142"/>
      <c r="F28" s="52"/>
      <c r="G28" s="143"/>
      <c r="H28" s="144"/>
      <c r="I28" s="144"/>
      <c r="J28" s="14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8" t="s">
        <v>22</v>
      </c>
      <c r="B29" s="50"/>
      <c r="C29" s="140">
        <f>+Expenses!D24-[2]Expenses!D30</f>
        <v>28434.92</v>
      </c>
      <c r="D29" s="141">
        <f>+Expenses!E24-[2]Expenses!E30</f>
        <v>28434.92</v>
      </c>
      <c r="E29" s="142">
        <f>D29-C29</f>
        <v>0</v>
      </c>
      <c r="F29" s="52"/>
      <c r="G29" s="247"/>
      <c r="H29" s="144"/>
      <c r="I29" s="144"/>
      <c r="J29" s="14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8" t="s">
        <v>10</v>
      </c>
      <c r="B30" s="50"/>
      <c r="C30" s="140" t="e">
        <f>+Expenses!D25-[2]Expenses!D31</f>
        <v>#VALUE!</v>
      </c>
      <c r="D30" s="141">
        <f>+Expenses!E25-[2]Expenses!E31</f>
        <v>0</v>
      </c>
      <c r="E30" s="142" t="e">
        <f>D30-C30</f>
        <v>#VALUE!</v>
      </c>
      <c r="F30" s="52"/>
      <c r="G30" s="143"/>
      <c r="H30" s="144"/>
      <c r="I30" s="144"/>
      <c r="J30" s="14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8"/>
      <c r="B31" s="50"/>
      <c r="C31" s="140"/>
      <c r="D31" s="141"/>
      <c r="E31" s="142"/>
      <c r="F31" s="52"/>
      <c r="G31" s="143"/>
      <c r="H31" s="144"/>
      <c r="I31" s="144"/>
      <c r="J31" s="14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>SUM(C27:C30)</f>
        <v>#REF!</v>
      </c>
      <c r="D32" s="48" t="e">
        <f>SUM(D27:D30)</f>
        <v>#REF!</v>
      </c>
      <c r="E32" s="49" t="e">
        <f>SUM(E27:E30)</f>
        <v>#REF!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3"/>
      <c r="C35" s="320" t="s">
        <v>48</v>
      </c>
      <c r="D35" s="321"/>
      <c r="E35" s="322"/>
      <c r="G35" s="124"/>
      <c r="H35" s="125"/>
      <c r="I35" s="125"/>
      <c r="J35" s="126"/>
    </row>
    <row r="36" spans="1:33" s="50" customFormat="1" ht="12" hidden="1">
      <c r="A36" s="156" t="s">
        <v>9</v>
      </c>
      <c r="C36" s="86" t="s">
        <v>6</v>
      </c>
      <c r="D36" s="87" t="s">
        <v>8</v>
      </c>
      <c r="E36" s="74" t="s">
        <v>11</v>
      </c>
      <c r="G36" s="323" t="s">
        <v>38</v>
      </c>
      <c r="H36" s="324"/>
      <c r="I36" s="324"/>
      <c r="J36" s="325"/>
    </row>
    <row r="37" spans="1:33" s="50" customFormat="1" ht="12" hidden="1">
      <c r="A37" s="123"/>
      <c r="C37" s="140">
        <f>Expenses!D32-[2]Expenses!D36</f>
        <v>0</v>
      </c>
      <c r="D37" s="141">
        <f>Expenses!E32-[2]Expenses!E36</f>
        <v>0</v>
      </c>
      <c r="E37" s="142">
        <f>D37-C37</f>
        <v>0</v>
      </c>
      <c r="G37" s="124"/>
      <c r="H37" s="125"/>
      <c r="I37" s="125"/>
      <c r="J37" s="126"/>
    </row>
    <row r="38" spans="1:33" s="50" customFormat="1" ht="12" hidden="1">
      <c r="A38" s="128"/>
      <c r="C38" s="140">
        <f>Expenses!D33-[2]Expenses!D37</f>
        <v>0</v>
      </c>
      <c r="D38" s="141">
        <f>Expenses!E33-[2]Expenses!E37</f>
        <v>0</v>
      </c>
      <c r="E38" s="142">
        <f>D38-C38</f>
        <v>0</v>
      </c>
      <c r="G38" s="143"/>
      <c r="H38" s="144"/>
      <c r="I38" s="144"/>
      <c r="J38" s="145"/>
    </row>
    <row r="39" spans="1:33" s="50" customFormat="1" ht="12" hidden="1">
      <c r="A39" s="146"/>
      <c r="C39" s="153">
        <f>Expenses!D34-[2]Expenses!D38</f>
        <v>0</v>
      </c>
      <c r="D39" s="154">
        <f>Expenses!E34-[2]Expenses!E38</f>
        <v>0</v>
      </c>
      <c r="E39" s="155">
        <f>D39-C39</f>
        <v>0</v>
      </c>
      <c r="G39" s="147"/>
      <c r="H39" s="148"/>
      <c r="I39" s="148"/>
      <c r="J39" s="149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5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G35" sqref="G35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26" t="s">
        <v>69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20" ht="15">
      <c r="A3" s="10" t="s">
        <v>30</v>
      </c>
      <c r="B3" s="327" t="s">
        <v>123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+'Mgmt Summary'!A3</f>
        <v>Results based on activity through April 12, 2001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3" t="s">
        <v>31</v>
      </c>
      <c r="E7" s="324"/>
      <c r="F7" s="324"/>
      <c r="G7" s="324"/>
      <c r="H7" s="324"/>
      <c r="I7" s="325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2" t="s">
        <v>32</v>
      </c>
      <c r="H8" s="333"/>
      <c r="I8" s="334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122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10003.704</v>
      </c>
      <c r="L10" s="172">
        <v>10003.704</v>
      </c>
      <c r="M10" s="173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3401.9789999999998</v>
      </c>
      <c r="L11" s="172">
        <v>3401.9789999999998</v>
      </c>
      <c r="M11" s="157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125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57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874.50099999999998</v>
      </c>
      <c r="L13" s="172">
        <v>874.50099999999998</v>
      </c>
      <c r="M13" s="157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2264.424</v>
      </c>
      <c r="L14" s="172">
        <v>2264.424</v>
      </c>
      <c r="M14" s="157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814.46100000000001</v>
      </c>
      <c r="L15" s="172">
        <v>814.46100000000001</v>
      </c>
      <c r="M15" s="157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2141.165</v>
      </c>
      <c r="L16" s="172">
        <v>2141.165</v>
      </c>
      <c r="M16" s="173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130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169.846</v>
      </c>
      <c r="L17" s="172">
        <v>169.846</v>
      </c>
      <c r="M17" s="173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89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1207.0029999999999</v>
      </c>
      <c r="L18" s="172">
        <v>1207.0029999999999</v>
      </c>
      <c r="M18" s="173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91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3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121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3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57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57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94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21994.538000000004</v>
      </c>
      <c r="L23" s="57">
        <f>SUM(L10:L22)</f>
        <v>21994.538000000004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57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57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92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-21994.538000000004</v>
      </c>
      <c r="L26" s="141">
        <f>-L23</f>
        <v>-21994.538000000004</v>
      </c>
      <c r="M26" s="157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57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154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38" t="s">
        <v>69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>
      <c r="A2" s="10" t="s">
        <v>44</v>
      </c>
      <c r="B2" s="339" t="s">
        <v>66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45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35" t="s">
        <v>64</v>
      </c>
      <c r="E6" s="336"/>
      <c r="F6" s="337"/>
      <c r="G6" s="1"/>
      <c r="H6" s="335" t="s">
        <v>65</v>
      </c>
      <c r="I6" s="336"/>
      <c r="J6" s="337"/>
      <c r="K6" s="1"/>
      <c r="L6" s="335" t="s">
        <v>37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2001-04-16T12:52:19Z</cp:lastPrinted>
  <dcterms:created xsi:type="dcterms:W3CDTF">1999-10-18T12:36:30Z</dcterms:created>
  <dcterms:modified xsi:type="dcterms:W3CDTF">2014-09-05T10:49:50Z</dcterms:modified>
</cp:coreProperties>
</file>