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2120" windowHeight="8415" tabRatio="848"/>
  </bookViews>
  <sheets>
    <sheet name="YTD Mgmt Summary" sheetId="18" r:id="rId1"/>
    <sheet name="Q1 Mgmt Summary" sheetId="17" r:id="rId2"/>
    <sheet name="QTD Mgmt Summary" sheetId="13" r:id="rId3"/>
    <sheet name="Hotlist - Identified" sheetId="14" r:id="rId4"/>
    <sheet name="Greensheet" sheetId="12" state="hidden" r:id="rId5"/>
    <sheet name="Old Mgmt Summary" sheetId="1" r:id="rId6"/>
    <sheet name="Summary YTD" sheetId="6" state="hidden" r:id="rId7"/>
    <sheet name="Summary YTD-Qtr" sheetId="10" state="hidden" r:id="rId8"/>
    <sheet name="GM-WklyChnge" sheetId="9" r:id="rId9"/>
    <sheet name="GrossMargin" sheetId="2" r:id="rId10"/>
    <sheet name="Hotlist - Completed" sheetId="16" r:id="rId11"/>
    <sheet name="Expenses" sheetId="3" r:id="rId12"/>
    <sheet name="Expense Weekly Change" sheetId="19" r:id="rId13"/>
    <sheet name="CapChrg-AllocExp" sheetId="4" r:id="rId14"/>
    <sheet name="Headcount" sheetId="8" r:id="rId15"/>
  </sheets>
  <externalReferences>
    <externalReference r:id="rId16"/>
    <externalReference r:id="rId17"/>
  </externalReferences>
  <definedNames>
    <definedName name="_xlnm.Print_Area" localSheetId="13">'CapChrg-AllocExp'!$B$2:$P$52</definedName>
    <definedName name="_xlnm.Print_Area" localSheetId="11">Expenses!$B$2:$K$56</definedName>
    <definedName name="_xlnm.Print_Area" localSheetId="8">'GM-WklyChnge'!$A$1:$K$60</definedName>
    <definedName name="_xlnm.Print_Area" localSheetId="4">Greensheet!$A$1:$M$143</definedName>
    <definedName name="_xlnm.Print_Area" localSheetId="9">GrossMargin!$B$2:$O$55</definedName>
    <definedName name="_xlnm.Print_Area" localSheetId="14">Headcount!$B$1:$N$49</definedName>
    <definedName name="_xlnm.Print_Area" localSheetId="10">'Hotlist - Completed'!$A$1:$Q$146</definedName>
    <definedName name="_xlnm.Print_Area" localSheetId="3">'Hotlist - Identified'!$A$1:$Q$164</definedName>
    <definedName name="_xlnm.Print_Area" localSheetId="5">'Old Mgmt Summary'!$A$1:$V$62</definedName>
    <definedName name="_xlnm.Print_Area" localSheetId="1">'Q1 Mgmt Summary'!$A$1:$N$50</definedName>
    <definedName name="_xlnm.Print_Area" localSheetId="2">'QTD Mgmt Summary'!$A$1:$N$63</definedName>
    <definedName name="_xlnm.Print_Area" localSheetId="6">'Summary YTD'!$A$1:$V$62</definedName>
    <definedName name="_xlnm.Print_Area" localSheetId="7">'Summary YTD-Qtr'!$B$2:$V$61</definedName>
    <definedName name="_xlnm.Print_Titles" localSheetId="4">Greensheet!$1:$4</definedName>
    <definedName name="_xlnm.Print_Titles" localSheetId="10">'Hotlist - Completed'!$1:$5</definedName>
    <definedName name="_xlnm.Print_Titles" localSheetId="3">'Hotlist - Identified'!$1:$5</definedName>
  </definedNames>
  <calcPr calcId="152511" fullCalcOnLoad="1"/>
</workbook>
</file>

<file path=xl/calcChain.xml><?xml version="1.0" encoding="utf-8"?>
<calcChain xmlns="http://schemas.openxmlformats.org/spreadsheetml/2006/main">
  <c r="B4" i="4" l="1"/>
  <c r="D11" i="4"/>
  <c r="F14" i="4"/>
  <c r="D23" i="4"/>
  <c r="F25" i="4"/>
  <c r="K25" i="4"/>
  <c r="D36" i="4"/>
  <c r="K45" i="4"/>
  <c r="B4" i="19"/>
  <c r="D17" i="19"/>
  <c r="E28" i="19"/>
  <c r="D29" i="19"/>
  <c r="D33" i="19"/>
  <c r="D40" i="19"/>
  <c r="D42" i="19"/>
  <c r="H42" i="19"/>
  <c r="D46" i="19"/>
  <c r="H46" i="19"/>
  <c r="D55" i="19"/>
  <c r="E55" i="19"/>
  <c r="F55" i="19" s="1"/>
  <c r="D56" i="19"/>
  <c r="E56" i="19"/>
  <c r="F56" i="19" s="1"/>
  <c r="B4" i="3"/>
  <c r="D28" i="3"/>
  <c r="F28" i="3"/>
  <c r="D55" i="3"/>
  <c r="F55" i="3"/>
  <c r="F56" i="3"/>
  <c r="D57" i="3"/>
  <c r="E57" i="3"/>
  <c r="C9" i="9"/>
  <c r="H9" i="9" s="1"/>
  <c r="D9" i="9"/>
  <c r="D19" i="9" s="1"/>
  <c r="E9" i="9"/>
  <c r="F9" i="9"/>
  <c r="G9" i="9"/>
  <c r="I9" i="9"/>
  <c r="C10" i="9"/>
  <c r="D10" i="9"/>
  <c r="E10" i="9"/>
  <c r="E19" i="9" s="1"/>
  <c r="F10" i="9"/>
  <c r="G10" i="9"/>
  <c r="C11" i="9"/>
  <c r="D11" i="9"/>
  <c r="E11" i="9"/>
  <c r="F11" i="9"/>
  <c r="F19" i="9" s="1"/>
  <c r="G11" i="9"/>
  <c r="D12" i="9"/>
  <c r="E12" i="9"/>
  <c r="F12" i="9"/>
  <c r="G12" i="9"/>
  <c r="C13" i="9"/>
  <c r="D13" i="9"/>
  <c r="E13" i="9"/>
  <c r="F13" i="9"/>
  <c r="G13" i="9"/>
  <c r="H13" i="9" s="1"/>
  <c r="K13" i="9" s="1"/>
  <c r="C14" i="9"/>
  <c r="D14" i="9"/>
  <c r="E14" i="9"/>
  <c r="F14" i="9"/>
  <c r="G14" i="9"/>
  <c r="H14" i="9"/>
  <c r="K14" i="9"/>
  <c r="C15" i="9"/>
  <c r="D15" i="9"/>
  <c r="E15" i="9"/>
  <c r="F15" i="9"/>
  <c r="G15" i="9"/>
  <c r="H15" i="9"/>
  <c r="K15" i="9"/>
  <c r="C16" i="9"/>
  <c r="H16" i="9" s="1"/>
  <c r="K16" i="9" s="1"/>
  <c r="D16" i="9"/>
  <c r="E16" i="9"/>
  <c r="F16" i="9"/>
  <c r="G16" i="9"/>
  <c r="C17" i="9"/>
  <c r="H17" i="9" s="1"/>
  <c r="K17" i="9" s="1"/>
  <c r="D17" i="9"/>
  <c r="E17" i="9"/>
  <c r="F17" i="9"/>
  <c r="G17" i="9"/>
  <c r="J19" i="9"/>
  <c r="C21" i="9"/>
  <c r="D21" i="9"/>
  <c r="D28" i="9" s="1"/>
  <c r="E21" i="9"/>
  <c r="E28" i="9" s="1"/>
  <c r="F21" i="9"/>
  <c r="G21" i="9"/>
  <c r="C22" i="9"/>
  <c r="D22" i="9"/>
  <c r="E22" i="9"/>
  <c r="F22" i="9"/>
  <c r="G22" i="9"/>
  <c r="D23" i="9"/>
  <c r="E23" i="9"/>
  <c r="F23" i="9"/>
  <c r="G23" i="9"/>
  <c r="C24" i="9"/>
  <c r="D24" i="9"/>
  <c r="E24" i="9"/>
  <c r="F24" i="9"/>
  <c r="H24" i="9" s="1"/>
  <c r="K24" i="9" s="1"/>
  <c r="G24" i="9"/>
  <c r="C25" i="9"/>
  <c r="D25" i="9"/>
  <c r="E25" i="9"/>
  <c r="F25" i="9"/>
  <c r="G25" i="9"/>
  <c r="H25" i="9"/>
  <c r="K25" i="9" s="1"/>
  <c r="C26" i="9"/>
  <c r="D26" i="9"/>
  <c r="E26" i="9"/>
  <c r="F26" i="9"/>
  <c r="G26" i="9"/>
  <c r="H26" i="9"/>
  <c r="K26" i="9"/>
  <c r="J28" i="9"/>
  <c r="C30" i="9"/>
  <c r="E30" i="9"/>
  <c r="G30" i="9"/>
  <c r="C31" i="9"/>
  <c r="D31" i="9"/>
  <c r="E31" i="9"/>
  <c r="F31" i="9"/>
  <c r="G31" i="9"/>
  <c r="G34" i="9" s="1"/>
  <c r="D32" i="9"/>
  <c r="E32" i="9"/>
  <c r="E34" i="9" s="1"/>
  <c r="F32" i="9"/>
  <c r="G32" i="9"/>
  <c r="F34" i="9"/>
  <c r="J34" i="9"/>
  <c r="C36" i="9"/>
  <c r="D36" i="9"/>
  <c r="E36" i="9"/>
  <c r="E42" i="9" s="1"/>
  <c r="F36" i="9"/>
  <c r="G36" i="9"/>
  <c r="C37" i="9"/>
  <c r="D37" i="9"/>
  <c r="E37" i="9"/>
  <c r="F37" i="9"/>
  <c r="G37" i="9"/>
  <c r="C38" i="9"/>
  <c r="C40" i="9" s="1"/>
  <c r="F38" i="9"/>
  <c r="F40" i="9" s="1"/>
  <c r="G38" i="9"/>
  <c r="C39" i="9"/>
  <c r="D39" i="9"/>
  <c r="E39" i="9"/>
  <c r="F39" i="9"/>
  <c r="G39" i="9"/>
  <c r="H39" i="9"/>
  <c r="K39" i="9" s="1"/>
  <c r="J40" i="9"/>
  <c r="J42" i="9"/>
  <c r="C44" i="9"/>
  <c r="D44" i="9"/>
  <c r="E44" i="9"/>
  <c r="F44" i="9"/>
  <c r="G44" i="9"/>
  <c r="H44" i="9"/>
  <c r="K44" i="9" s="1"/>
  <c r="C46" i="9"/>
  <c r="H46" i="9" s="1"/>
  <c r="K46" i="9" s="1"/>
  <c r="D46" i="9"/>
  <c r="E46" i="9"/>
  <c r="F46" i="9"/>
  <c r="G46" i="9"/>
  <c r="C48" i="9"/>
  <c r="H48" i="9" s="1"/>
  <c r="K48" i="9" s="1"/>
  <c r="D48" i="9"/>
  <c r="E48" i="9"/>
  <c r="F48" i="9"/>
  <c r="G48" i="9"/>
  <c r="C50" i="9"/>
  <c r="D50" i="9"/>
  <c r="E50" i="9"/>
  <c r="F50" i="9"/>
  <c r="G50" i="9"/>
  <c r="E52" i="9"/>
  <c r="I60" i="9"/>
  <c r="J60" i="9"/>
  <c r="A3" i="12"/>
  <c r="E10" i="12"/>
  <c r="G10" i="12"/>
  <c r="I10" i="12"/>
  <c r="I90" i="12" s="1"/>
  <c r="K10" i="12"/>
  <c r="K90" i="12" s="1"/>
  <c r="E16" i="12"/>
  <c r="G16" i="12"/>
  <c r="I16" i="12"/>
  <c r="K16" i="12"/>
  <c r="E20" i="12"/>
  <c r="G20" i="12"/>
  <c r="I20" i="12"/>
  <c r="K20" i="12"/>
  <c r="M20" i="12"/>
  <c r="E24" i="12"/>
  <c r="G24" i="12"/>
  <c r="I24" i="12"/>
  <c r="K24" i="12"/>
  <c r="E28" i="12"/>
  <c r="G28" i="12"/>
  <c r="I28" i="12"/>
  <c r="M28" i="12" s="1"/>
  <c r="K28" i="12"/>
  <c r="E34" i="12"/>
  <c r="M34" i="12" s="1"/>
  <c r="G34" i="12"/>
  <c r="I34" i="12"/>
  <c r="K34" i="12"/>
  <c r="E38" i="12"/>
  <c r="G38" i="12"/>
  <c r="I38" i="12"/>
  <c r="K38" i="12"/>
  <c r="E42" i="12"/>
  <c r="G42" i="12"/>
  <c r="I42" i="12"/>
  <c r="K42" i="12"/>
  <c r="M42" i="12"/>
  <c r="E49" i="12"/>
  <c r="M49" i="12" s="1"/>
  <c r="G49" i="12"/>
  <c r="I49" i="12"/>
  <c r="K49" i="12"/>
  <c r="E76" i="12"/>
  <c r="G76" i="12"/>
  <c r="I76" i="12"/>
  <c r="K76" i="12"/>
  <c r="E80" i="12"/>
  <c r="G80" i="12"/>
  <c r="I80" i="12"/>
  <c r="K80" i="12"/>
  <c r="M80" i="12"/>
  <c r="E84" i="12"/>
  <c r="M84" i="12" s="1"/>
  <c r="G84" i="12"/>
  <c r="I84" i="12"/>
  <c r="K84" i="12"/>
  <c r="E88" i="12"/>
  <c r="G88" i="12"/>
  <c r="I88" i="12"/>
  <c r="M88" i="12" s="1"/>
  <c r="K39" i="2" s="1"/>
  <c r="K88" i="12"/>
  <c r="M100" i="12"/>
  <c r="M105" i="12"/>
  <c r="M143" i="12" s="1"/>
  <c r="M113" i="12"/>
  <c r="M118" i="12"/>
  <c r="M126" i="12"/>
  <c r="M131" i="12"/>
  <c r="M136" i="12"/>
  <c r="M141" i="12"/>
  <c r="T335" i="12"/>
  <c r="Z335" i="12" s="1"/>
  <c r="U335" i="12"/>
  <c r="V335" i="12"/>
  <c r="W335" i="12"/>
  <c r="X335" i="12"/>
  <c r="Y335" i="12"/>
  <c r="B4" i="2"/>
  <c r="J10" i="2"/>
  <c r="M10" i="2"/>
  <c r="J11" i="2"/>
  <c r="N11" i="2"/>
  <c r="J12" i="2"/>
  <c r="M12" i="2"/>
  <c r="D13" i="2"/>
  <c r="C12" i="9" s="1"/>
  <c r="H12" i="9" s="1"/>
  <c r="K12" i="9" s="1"/>
  <c r="J13" i="2"/>
  <c r="M13" i="2"/>
  <c r="J14" i="2"/>
  <c r="M14" i="2"/>
  <c r="O14" i="2"/>
  <c r="J15" i="2"/>
  <c r="M15" i="2" s="1"/>
  <c r="J16" i="2"/>
  <c r="M16" i="2"/>
  <c r="J17" i="2"/>
  <c r="J18" i="2"/>
  <c r="D20" i="2"/>
  <c r="E20" i="2"/>
  <c r="F20" i="2"/>
  <c r="H20" i="2"/>
  <c r="I20" i="2"/>
  <c r="K20" i="2"/>
  <c r="L20" i="2"/>
  <c r="J22" i="2"/>
  <c r="M22" i="2"/>
  <c r="J23" i="2"/>
  <c r="M23" i="2" s="1"/>
  <c r="D24" i="2"/>
  <c r="J25" i="2"/>
  <c r="M25" i="2" s="1"/>
  <c r="J26" i="2"/>
  <c r="M26" i="2"/>
  <c r="O26" i="2" s="1"/>
  <c r="Q24" i="1" s="1"/>
  <c r="J27" i="2"/>
  <c r="M27" i="2"/>
  <c r="E29" i="2"/>
  <c r="F29" i="2"/>
  <c r="H29" i="2"/>
  <c r="I29" i="2"/>
  <c r="I53" i="2" s="1"/>
  <c r="K29" i="2"/>
  <c r="L29" i="2"/>
  <c r="E31" i="2"/>
  <c r="D30" i="9" s="1"/>
  <c r="H31" i="2"/>
  <c r="F30" i="9" s="1"/>
  <c r="J31" i="2"/>
  <c r="J32" i="2"/>
  <c r="M32" i="2"/>
  <c r="N32" i="2"/>
  <c r="S32" i="2"/>
  <c r="D33" i="2"/>
  <c r="E35" i="2"/>
  <c r="F35" i="2"/>
  <c r="F53" i="2" s="1"/>
  <c r="H35" i="2"/>
  <c r="I35" i="2"/>
  <c r="K35" i="2"/>
  <c r="L35" i="2"/>
  <c r="L53" i="2" s="1"/>
  <c r="J37" i="2"/>
  <c r="M37" i="2"/>
  <c r="J38" i="2"/>
  <c r="M38" i="2"/>
  <c r="E39" i="2"/>
  <c r="D38" i="9" s="1"/>
  <c r="D40" i="9" s="1"/>
  <c r="F39" i="2"/>
  <c r="E38" i="9" s="1"/>
  <c r="E40" i="9" s="1"/>
  <c r="J39" i="2"/>
  <c r="J40" i="2"/>
  <c r="M40" i="2"/>
  <c r="D41" i="2"/>
  <c r="E41" i="2"/>
  <c r="F41" i="2"/>
  <c r="F43" i="2" s="1"/>
  <c r="H41" i="2"/>
  <c r="I41" i="2"/>
  <c r="L41" i="2"/>
  <c r="D43" i="2"/>
  <c r="H43" i="2"/>
  <c r="H53" i="2" s="1"/>
  <c r="I43" i="2"/>
  <c r="L43" i="2"/>
  <c r="J45" i="2"/>
  <c r="M45" i="2"/>
  <c r="J47" i="2"/>
  <c r="M47" i="2"/>
  <c r="O47" i="2"/>
  <c r="J49" i="2"/>
  <c r="J51" i="2"/>
  <c r="M51" i="2" s="1"/>
  <c r="O51" i="2" s="1"/>
  <c r="N51" i="2"/>
  <c r="F41" i="8"/>
  <c r="J41" i="8"/>
  <c r="N41" i="8"/>
  <c r="L46" i="8"/>
  <c r="L3" i="16"/>
  <c r="D16" i="16"/>
  <c r="E16" i="16"/>
  <c r="G16" i="16"/>
  <c r="H16" i="16" s="1"/>
  <c r="J16" i="16"/>
  <c r="K16" i="16" s="1"/>
  <c r="L16" i="16"/>
  <c r="M16" i="16"/>
  <c r="P16" i="16" s="1"/>
  <c r="D27" i="16"/>
  <c r="G27" i="16"/>
  <c r="H27" i="16" s="1"/>
  <c r="J27" i="16"/>
  <c r="K27" i="16"/>
  <c r="L27" i="16"/>
  <c r="O27" i="16" s="1"/>
  <c r="M27" i="16"/>
  <c r="C38" i="16"/>
  <c r="D38" i="16"/>
  <c r="E38" i="16"/>
  <c r="F38" i="16"/>
  <c r="F146" i="16" s="1"/>
  <c r="G38" i="16"/>
  <c r="H38" i="16" s="1"/>
  <c r="I38" i="16"/>
  <c r="J38" i="16"/>
  <c r="L38" i="16"/>
  <c r="M38" i="16"/>
  <c r="D49" i="16"/>
  <c r="E49" i="16" s="1"/>
  <c r="G49" i="16"/>
  <c r="H49" i="16"/>
  <c r="J49" i="16"/>
  <c r="K49" i="16"/>
  <c r="L49" i="16"/>
  <c r="O49" i="16" s="1"/>
  <c r="M49" i="16"/>
  <c r="N49" i="16"/>
  <c r="D60" i="16"/>
  <c r="E60" i="16"/>
  <c r="G60" i="16"/>
  <c r="H60" i="16"/>
  <c r="J60" i="16"/>
  <c r="K60" i="16" s="1"/>
  <c r="L60" i="16"/>
  <c r="M60" i="16"/>
  <c r="O60" i="16"/>
  <c r="D71" i="16"/>
  <c r="E71" i="16" s="1"/>
  <c r="G71" i="16"/>
  <c r="H71" i="16"/>
  <c r="J71" i="16"/>
  <c r="K71" i="16"/>
  <c r="L71" i="16"/>
  <c r="O71" i="16" s="1"/>
  <c r="Q71" i="16" s="1"/>
  <c r="M71" i="16"/>
  <c r="P71" i="16" s="1"/>
  <c r="N71" i="16"/>
  <c r="D78" i="16"/>
  <c r="E78" i="16"/>
  <c r="G78" i="16"/>
  <c r="H78" i="16"/>
  <c r="J78" i="16"/>
  <c r="K78" i="16" s="1"/>
  <c r="L78" i="16"/>
  <c r="M78" i="16"/>
  <c r="O78" i="16"/>
  <c r="D89" i="16"/>
  <c r="E89" i="16" s="1"/>
  <c r="G89" i="16"/>
  <c r="H89" i="16"/>
  <c r="J89" i="16"/>
  <c r="K89" i="16"/>
  <c r="L89" i="16"/>
  <c r="O89" i="16" s="1"/>
  <c r="M89" i="16"/>
  <c r="N89" i="16"/>
  <c r="D100" i="16"/>
  <c r="E100" i="16"/>
  <c r="G100" i="16"/>
  <c r="H100" i="16"/>
  <c r="J100" i="16"/>
  <c r="K100" i="16" s="1"/>
  <c r="L100" i="16"/>
  <c r="M100" i="16"/>
  <c r="O100" i="16"/>
  <c r="D111" i="16"/>
  <c r="E111" i="16" s="1"/>
  <c r="G111" i="16"/>
  <c r="H111" i="16"/>
  <c r="J111" i="16"/>
  <c r="K111" i="16"/>
  <c r="L111" i="16"/>
  <c r="O111" i="16" s="1"/>
  <c r="M111" i="16"/>
  <c r="D122" i="16"/>
  <c r="E122" i="16"/>
  <c r="G122" i="16"/>
  <c r="H122" i="16"/>
  <c r="J122" i="16"/>
  <c r="M122" i="16"/>
  <c r="N122" i="16"/>
  <c r="O122" i="16"/>
  <c r="D133" i="16"/>
  <c r="E133" i="16"/>
  <c r="G133" i="16"/>
  <c r="H133" i="16" s="1"/>
  <c r="J133" i="16"/>
  <c r="M133" i="16"/>
  <c r="O133" i="16"/>
  <c r="D144" i="16"/>
  <c r="E144" i="16"/>
  <c r="G144" i="16"/>
  <c r="H144" i="16"/>
  <c r="J144" i="16"/>
  <c r="K144" i="16"/>
  <c r="L144" i="16"/>
  <c r="N144" i="16" s="1"/>
  <c r="M144" i="16"/>
  <c r="O144" i="16"/>
  <c r="P144" i="16"/>
  <c r="Q144" i="16"/>
  <c r="C146" i="16"/>
  <c r="L146" i="16"/>
  <c r="L3" i="14"/>
  <c r="D19" i="14"/>
  <c r="E19" i="14" s="1"/>
  <c r="G19" i="14"/>
  <c r="H19" i="14" s="1"/>
  <c r="J19" i="14"/>
  <c r="K19" i="14"/>
  <c r="L19" i="14"/>
  <c r="O19" i="14" s="1"/>
  <c r="M19" i="14"/>
  <c r="N19" i="14"/>
  <c r="D30" i="14"/>
  <c r="E30" i="14"/>
  <c r="G30" i="14"/>
  <c r="P30" i="14" s="1"/>
  <c r="Q30" i="14" s="1"/>
  <c r="J30" i="14"/>
  <c r="K30" i="14" s="1"/>
  <c r="L30" i="14"/>
  <c r="N30" i="14" s="1"/>
  <c r="M30" i="14"/>
  <c r="O30" i="14"/>
  <c r="C45" i="14"/>
  <c r="C163" i="14" s="1"/>
  <c r="D45" i="14"/>
  <c r="E45" i="14" s="1"/>
  <c r="F45" i="14"/>
  <c r="G45" i="14"/>
  <c r="H45" i="14"/>
  <c r="I45" i="14"/>
  <c r="I163" i="14" s="1"/>
  <c r="J45" i="14"/>
  <c r="K45" i="14" s="1"/>
  <c r="L45" i="14"/>
  <c r="M45" i="14"/>
  <c r="D58" i="14"/>
  <c r="E58" i="14"/>
  <c r="G58" i="14"/>
  <c r="H58" i="14"/>
  <c r="J58" i="14"/>
  <c r="K58" i="14"/>
  <c r="L58" i="14"/>
  <c r="M58" i="14"/>
  <c r="N58" i="14"/>
  <c r="O58" i="14"/>
  <c r="Q58" i="14" s="1"/>
  <c r="P58" i="14"/>
  <c r="D67" i="14"/>
  <c r="E67" i="14"/>
  <c r="G67" i="14"/>
  <c r="H67" i="14" s="1"/>
  <c r="J67" i="14"/>
  <c r="K67" i="14"/>
  <c r="L67" i="14"/>
  <c r="O67" i="14" s="1"/>
  <c r="M67" i="14"/>
  <c r="P67" i="14"/>
  <c r="Q67" i="14"/>
  <c r="D74" i="14"/>
  <c r="E74" i="14" s="1"/>
  <c r="G74" i="14"/>
  <c r="H74" i="14" s="1"/>
  <c r="J74" i="14"/>
  <c r="K74" i="14"/>
  <c r="L74" i="14"/>
  <c r="O74" i="14" s="1"/>
  <c r="M74" i="14"/>
  <c r="N74" i="14" s="1"/>
  <c r="P74" i="14"/>
  <c r="Q74" i="14"/>
  <c r="D83" i="14"/>
  <c r="E83" i="14"/>
  <c r="G83" i="14"/>
  <c r="H83" i="14"/>
  <c r="J83" i="14"/>
  <c r="K83" i="14" s="1"/>
  <c r="L83" i="14"/>
  <c r="O83" i="14" s="1"/>
  <c r="M83" i="14"/>
  <c r="N83" i="14" s="1"/>
  <c r="P83" i="14"/>
  <c r="Q83" i="14" s="1"/>
  <c r="D92" i="14"/>
  <c r="E92" i="14"/>
  <c r="G92" i="14"/>
  <c r="H92" i="14" s="1"/>
  <c r="J92" i="14"/>
  <c r="K92" i="14"/>
  <c r="L92" i="14"/>
  <c r="O92" i="14" s="1"/>
  <c r="M92" i="14"/>
  <c r="D101" i="14"/>
  <c r="E101" i="14"/>
  <c r="G101" i="14"/>
  <c r="H101" i="14"/>
  <c r="J101" i="14"/>
  <c r="K101" i="14" s="1"/>
  <c r="M101" i="14"/>
  <c r="O101" i="14"/>
  <c r="D113" i="14"/>
  <c r="E113" i="14" s="1"/>
  <c r="G113" i="14"/>
  <c r="P113" i="14" s="1"/>
  <c r="Q113" i="14" s="1"/>
  <c r="H113" i="14"/>
  <c r="J113" i="14"/>
  <c r="K113" i="14" s="1"/>
  <c r="L113" i="14"/>
  <c r="M113" i="14"/>
  <c r="N113" i="14"/>
  <c r="O113" i="14"/>
  <c r="D132" i="14"/>
  <c r="E132" i="14" s="1"/>
  <c r="G132" i="14"/>
  <c r="H132" i="14"/>
  <c r="J132" i="14"/>
  <c r="K132" i="14"/>
  <c r="M132" i="14"/>
  <c r="N132" i="14" s="1"/>
  <c r="O132" i="14"/>
  <c r="D143" i="14"/>
  <c r="E143" i="14"/>
  <c r="G143" i="14"/>
  <c r="H143" i="14"/>
  <c r="J143" i="14"/>
  <c r="M143" i="14"/>
  <c r="N143" i="14" s="1"/>
  <c r="O143" i="14"/>
  <c r="P143" i="14"/>
  <c r="Q143" i="14" s="1"/>
  <c r="D156" i="14"/>
  <c r="E156" i="14"/>
  <c r="G156" i="14"/>
  <c r="J156" i="14"/>
  <c r="K156" i="14" s="1"/>
  <c r="L156" i="14"/>
  <c r="M156" i="14"/>
  <c r="D161" i="14"/>
  <c r="E161" i="14" s="1"/>
  <c r="G161" i="14"/>
  <c r="H161" i="14"/>
  <c r="J161" i="14"/>
  <c r="K161" i="14" s="1"/>
  <c r="M161" i="14"/>
  <c r="N161" i="14"/>
  <c r="O161" i="14"/>
  <c r="D163" i="14"/>
  <c r="E163" i="14" s="1"/>
  <c r="F163" i="14"/>
  <c r="G9" i="1"/>
  <c r="J9" i="1" s="1"/>
  <c r="H9" i="1"/>
  <c r="H18" i="1" s="1"/>
  <c r="I9" i="1"/>
  <c r="I18" i="1" s="1"/>
  <c r="C10" i="1"/>
  <c r="G10" i="1"/>
  <c r="J10" i="1" s="1"/>
  <c r="H10" i="1"/>
  <c r="I10" i="1"/>
  <c r="K10" i="1"/>
  <c r="L10" i="1"/>
  <c r="R10" i="1"/>
  <c r="R18" i="1" s="1"/>
  <c r="G11" i="1"/>
  <c r="J11" i="1" s="1"/>
  <c r="H11" i="1"/>
  <c r="I11" i="1"/>
  <c r="G12" i="1"/>
  <c r="H12" i="1"/>
  <c r="I12" i="1"/>
  <c r="J12" i="1"/>
  <c r="C13" i="1"/>
  <c r="G13" i="1"/>
  <c r="H13" i="1"/>
  <c r="I13" i="1"/>
  <c r="J13" i="1"/>
  <c r="L13" i="1"/>
  <c r="Q13" i="1"/>
  <c r="S13" i="1"/>
  <c r="G14" i="1"/>
  <c r="H14" i="1"/>
  <c r="I14" i="1"/>
  <c r="J14" i="1"/>
  <c r="L14" i="1"/>
  <c r="G15" i="1"/>
  <c r="J15" i="1" s="1"/>
  <c r="H15" i="1"/>
  <c r="I15" i="1"/>
  <c r="G16" i="1"/>
  <c r="J16" i="1" s="1"/>
  <c r="H16" i="1"/>
  <c r="I16" i="1"/>
  <c r="G17" i="1"/>
  <c r="H17" i="1"/>
  <c r="I17" i="1"/>
  <c r="J17" i="1"/>
  <c r="M17" i="1"/>
  <c r="N17" i="1"/>
  <c r="K18" i="1"/>
  <c r="G20" i="1"/>
  <c r="H20" i="1"/>
  <c r="I20" i="1"/>
  <c r="G21" i="1"/>
  <c r="H21" i="1"/>
  <c r="I21" i="1"/>
  <c r="J21" i="1"/>
  <c r="L21" i="1"/>
  <c r="H22" i="1"/>
  <c r="I22" i="1"/>
  <c r="L22" i="1"/>
  <c r="G23" i="1"/>
  <c r="H23" i="1"/>
  <c r="I23" i="1"/>
  <c r="J23" i="1"/>
  <c r="C24" i="1"/>
  <c r="G24" i="1"/>
  <c r="H24" i="1"/>
  <c r="I24" i="1"/>
  <c r="J24" i="1" s="1"/>
  <c r="L24" i="1"/>
  <c r="N24" i="1"/>
  <c r="S24" i="1"/>
  <c r="U24" i="1"/>
  <c r="G25" i="1"/>
  <c r="H25" i="1"/>
  <c r="J25" i="1" s="1"/>
  <c r="I25" i="1"/>
  <c r="F26" i="1"/>
  <c r="I26" i="1"/>
  <c r="I44" i="1" s="1"/>
  <c r="I54" i="1" s="1"/>
  <c r="I58" i="1" s="1"/>
  <c r="K26" i="1"/>
  <c r="R26" i="1"/>
  <c r="C28" i="1"/>
  <c r="G28" i="1"/>
  <c r="H28" i="1"/>
  <c r="H31" i="1" s="1"/>
  <c r="I28" i="1"/>
  <c r="I31" i="1" s="1"/>
  <c r="J28" i="1"/>
  <c r="L28" i="1"/>
  <c r="M28" i="1"/>
  <c r="T28" i="1"/>
  <c r="C29" i="1"/>
  <c r="G29" i="1"/>
  <c r="H29" i="1"/>
  <c r="I29" i="1"/>
  <c r="J29" i="1"/>
  <c r="K29" i="1"/>
  <c r="L29" i="1"/>
  <c r="M29" i="1"/>
  <c r="R29" i="1"/>
  <c r="R31" i="1" s="1"/>
  <c r="H30" i="1"/>
  <c r="I30" i="1"/>
  <c r="K31" i="1"/>
  <c r="G33" i="1"/>
  <c r="H33" i="1"/>
  <c r="I33" i="1"/>
  <c r="J33" i="1" s="1"/>
  <c r="L33" i="1"/>
  <c r="M33" i="1"/>
  <c r="G34" i="1"/>
  <c r="H34" i="1"/>
  <c r="I34" i="1"/>
  <c r="J34" i="1"/>
  <c r="L34" i="1"/>
  <c r="H35" i="1"/>
  <c r="I35" i="1"/>
  <c r="H36" i="1"/>
  <c r="I36" i="1"/>
  <c r="K36" i="1"/>
  <c r="R36" i="1"/>
  <c r="G38" i="1"/>
  <c r="H38" i="1"/>
  <c r="I38" i="1"/>
  <c r="J38" i="1"/>
  <c r="M38" i="1"/>
  <c r="C40" i="1"/>
  <c r="E40" i="1" s="1"/>
  <c r="G40" i="1"/>
  <c r="I40" i="1"/>
  <c r="J40" i="1" s="1"/>
  <c r="O40" i="1" s="1"/>
  <c r="Q40" i="1"/>
  <c r="V40" i="1" s="1"/>
  <c r="C42" i="1"/>
  <c r="G42" i="1"/>
  <c r="H42" i="1"/>
  <c r="I42" i="1"/>
  <c r="M42" i="1"/>
  <c r="N42" i="1"/>
  <c r="Q42" i="1"/>
  <c r="K44" i="1"/>
  <c r="K54" i="1" s="1"/>
  <c r="K58" i="1" s="1"/>
  <c r="R44" i="1"/>
  <c r="M46" i="1"/>
  <c r="O46" i="1" s="1"/>
  <c r="E47" i="1"/>
  <c r="H50" i="1"/>
  <c r="I50" i="1"/>
  <c r="J52" i="1"/>
  <c r="V53" i="1"/>
  <c r="R54" i="1"/>
  <c r="R58" i="1" s="1"/>
  <c r="E56" i="1"/>
  <c r="O56" i="1"/>
  <c r="T56" i="1"/>
  <c r="V56" i="1" s="1"/>
  <c r="C8" i="17"/>
  <c r="E8" i="17"/>
  <c r="G8" i="17"/>
  <c r="J8" i="17" s="1"/>
  <c r="H8" i="17"/>
  <c r="L8" i="17"/>
  <c r="M8" i="17"/>
  <c r="C9" i="17"/>
  <c r="D9" i="17"/>
  <c r="D17" i="17" s="1"/>
  <c r="E9" i="17"/>
  <c r="G9" i="17"/>
  <c r="H9" i="17"/>
  <c r="J9" i="17"/>
  <c r="L9" i="17"/>
  <c r="E10" i="17"/>
  <c r="J10" i="17"/>
  <c r="L10" i="17"/>
  <c r="M10" i="17"/>
  <c r="N10" i="17"/>
  <c r="E11" i="17"/>
  <c r="J11" i="17"/>
  <c r="L11" i="17"/>
  <c r="M11" i="17"/>
  <c r="N11" i="17"/>
  <c r="C12" i="17"/>
  <c r="L12" i="17" s="1"/>
  <c r="E12" i="17"/>
  <c r="G12" i="17"/>
  <c r="G17" i="17" s="1"/>
  <c r="H12" i="17"/>
  <c r="E13" i="17"/>
  <c r="J13" i="17"/>
  <c r="L13" i="17"/>
  <c r="M13" i="17"/>
  <c r="E14" i="17"/>
  <c r="J14" i="17"/>
  <c r="L14" i="17"/>
  <c r="N14" i="17" s="1"/>
  <c r="M14" i="17"/>
  <c r="E15" i="17"/>
  <c r="J15" i="17"/>
  <c r="L15" i="17"/>
  <c r="M15" i="17"/>
  <c r="N15" i="17"/>
  <c r="E16" i="17"/>
  <c r="J16" i="17"/>
  <c r="L16" i="17"/>
  <c r="M16" i="17"/>
  <c r="N16" i="17" s="1"/>
  <c r="I17" i="17"/>
  <c r="E19" i="17"/>
  <c r="J19" i="17"/>
  <c r="L19" i="17"/>
  <c r="M19" i="17"/>
  <c r="E20" i="17"/>
  <c r="J20" i="17"/>
  <c r="L20" i="17"/>
  <c r="M20" i="17"/>
  <c r="N20" i="17"/>
  <c r="E21" i="17"/>
  <c r="G21" i="17"/>
  <c r="H21" i="17"/>
  <c r="I21" i="17"/>
  <c r="I25" i="17" s="1"/>
  <c r="E22" i="17"/>
  <c r="J22" i="17"/>
  <c r="L22" i="17"/>
  <c r="M22" i="17"/>
  <c r="E23" i="17"/>
  <c r="G23" i="17"/>
  <c r="H23" i="17"/>
  <c r="J23" i="17" s="1"/>
  <c r="L23" i="17"/>
  <c r="N23" i="17" s="1"/>
  <c r="M23" i="17"/>
  <c r="E24" i="17"/>
  <c r="J24" i="17"/>
  <c r="L24" i="17"/>
  <c r="M24" i="17"/>
  <c r="N24" i="17" s="1"/>
  <c r="C25" i="17"/>
  <c r="D25" i="17"/>
  <c r="E25" i="17"/>
  <c r="E27" i="17"/>
  <c r="E30" i="17" s="1"/>
  <c r="J27" i="17"/>
  <c r="L27" i="17"/>
  <c r="M27" i="17"/>
  <c r="N27" i="17"/>
  <c r="E28" i="17"/>
  <c r="J28" i="17"/>
  <c r="J30" i="17" s="1"/>
  <c r="L28" i="17"/>
  <c r="M28" i="17"/>
  <c r="M30" i="17" s="1"/>
  <c r="E29" i="17"/>
  <c r="J29" i="17"/>
  <c r="L29" i="17"/>
  <c r="N29" i="17" s="1"/>
  <c r="M29" i="17"/>
  <c r="C30" i="17"/>
  <c r="D30" i="17"/>
  <c r="G30" i="17"/>
  <c r="H30" i="17"/>
  <c r="I30" i="17"/>
  <c r="E32" i="17"/>
  <c r="J32" i="17"/>
  <c r="L32" i="17"/>
  <c r="M32" i="17"/>
  <c r="N32" i="17" s="1"/>
  <c r="E33" i="17"/>
  <c r="J33" i="17"/>
  <c r="L33" i="17"/>
  <c r="M33" i="17"/>
  <c r="C34" i="17"/>
  <c r="L34" i="17" s="1"/>
  <c r="N34" i="17" s="1"/>
  <c r="E34" i="17"/>
  <c r="E35" i="17" s="1"/>
  <c r="G34" i="17"/>
  <c r="H34" i="17"/>
  <c r="M34" i="17" s="1"/>
  <c r="I34" i="17"/>
  <c r="I35" i="17" s="1"/>
  <c r="I40" i="17" s="1"/>
  <c r="I46" i="17" s="1"/>
  <c r="I48" i="17" s="1"/>
  <c r="J34" i="17"/>
  <c r="C35" i="17"/>
  <c r="D35" i="17"/>
  <c r="G35" i="17"/>
  <c r="H35" i="17"/>
  <c r="M35" i="17"/>
  <c r="E37" i="17"/>
  <c r="J37" i="17"/>
  <c r="L37" i="17"/>
  <c r="N37" i="17" s="1"/>
  <c r="M37" i="17"/>
  <c r="E38" i="17"/>
  <c r="J38" i="17"/>
  <c r="L38" i="17"/>
  <c r="M38" i="17"/>
  <c r="N38" i="17"/>
  <c r="E39" i="17"/>
  <c r="J39" i="17"/>
  <c r="L39" i="17"/>
  <c r="M39" i="17"/>
  <c r="N39" i="17"/>
  <c r="D40" i="17"/>
  <c r="D46" i="17" s="1"/>
  <c r="D48" i="17" s="1"/>
  <c r="E42" i="17"/>
  <c r="J42" i="17"/>
  <c r="L42" i="17"/>
  <c r="M42" i="17"/>
  <c r="N42" i="17"/>
  <c r="E43" i="17"/>
  <c r="J43" i="17"/>
  <c r="L43" i="17"/>
  <c r="M43" i="17"/>
  <c r="N43" i="17"/>
  <c r="E44" i="17"/>
  <c r="J44" i="17"/>
  <c r="L44" i="17"/>
  <c r="M44" i="17"/>
  <c r="N44" i="17" s="1"/>
  <c r="C45" i="17"/>
  <c r="L45" i="17" s="1"/>
  <c r="D45" i="17"/>
  <c r="M45" i="17" s="1"/>
  <c r="J45" i="17"/>
  <c r="N45" i="17"/>
  <c r="E47" i="17"/>
  <c r="J47" i="17"/>
  <c r="L47" i="17"/>
  <c r="M47" i="17"/>
  <c r="N47" i="17"/>
  <c r="N3" i="13"/>
  <c r="C8" i="13"/>
  <c r="C9" i="13"/>
  <c r="D9" i="13"/>
  <c r="E9" i="13"/>
  <c r="C10" i="13"/>
  <c r="C11" i="13"/>
  <c r="C12" i="13"/>
  <c r="D12" i="13"/>
  <c r="E12" i="13" s="1"/>
  <c r="I12" i="13"/>
  <c r="C13" i="13"/>
  <c r="C14" i="13"/>
  <c r="C15" i="13"/>
  <c r="C16" i="13"/>
  <c r="C19" i="13"/>
  <c r="C20" i="13"/>
  <c r="C22" i="13"/>
  <c r="C23" i="13"/>
  <c r="D23" i="13"/>
  <c r="I23" i="13"/>
  <c r="C24" i="13"/>
  <c r="F25" i="13"/>
  <c r="C27" i="13"/>
  <c r="D27" i="13"/>
  <c r="C28" i="13"/>
  <c r="D28" i="13"/>
  <c r="C32" i="13"/>
  <c r="C33" i="13"/>
  <c r="C37" i="13"/>
  <c r="C38" i="13"/>
  <c r="E38" i="13" s="1"/>
  <c r="D38" i="13"/>
  <c r="C39" i="13"/>
  <c r="L39" i="13" s="1"/>
  <c r="D39" i="13"/>
  <c r="G39" i="13"/>
  <c r="H39" i="13"/>
  <c r="J39" i="13"/>
  <c r="E42" i="13"/>
  <c r="G42" i="13"/>
  <c r="L42" i="13"/>
  <c r="E43" i="13"/>
  <c r="C44" i="13"/>
  <c r="E45" i="13"/>
  <c r="E47" i="13"/>
  <c r="G47" i="13"/>
  <c r="H47" i="13"/>
  <c r="M47" i="13" s="1"/>
  <c r="J47" i="13"/>
  <c r="J47" i="18" s="1"/>
  <c r="L47" i="13"/>
  <c r="I53" i="13"/>
  <c r="E60" i="13"/>
  <c r="I60" i="13"/>
  <c r="J9" i="6"/>
  <c r="J19" i="6" s="1"/>
  <c r="O9" i="6"/>
  <c r="V9" i="6"/>
  <c r="V19" i="6" s="1"/>
  <c r="J10" i="6"/>
  <c r="O10" i="6" s="1"/>
  <c r="V10" i="6"/>
  <c r="J11" i="6"/>
  <c r="O11" i="6" s="1"/>
  <c r="V11" i="6"/>
  <c r="J12" i="6"/>
  <c r="O12" i="6" s="1"/>
  <c r="V12" i="6"/>
  <c r="J13" i="6"/>
  <c r="O13" i="6" s="1"/>
  <c r="V13" i="6"/>
  <c r="J14" i="6"/>
  <c r="O14" i="6"/>
  <c r="V14" i="6"/>
  <c r="J15" i="6"/>
  <c r="O15" i="6" s="1"/>
  <c r="V15" i="6"/>
  <c r="J16" i="6"/>
  <c r="O16" i="6"/>
  <c r="V16" i="6"/>
  <c r="J17" i="6"/>
  <c r="O17" i="6" s="1"/>
  <c r="V17" i="6"/>
  <c r="J18" i="6"/>
  <c r="O18" i="6"/>
  <c r="V18" i="6"/>
  <c r="G19" i="6"/>
  <c r="G45" i="6" s="1"/>
  <c r="G55" i="6" s="1"/>
  <c r="G59" i="6" s="1"/>
  <c r="H19" i="6"/>
  <c r="I19" i="6"/>
  <c r="M19" i="6"/>
  <c r="M45" i="6" s="1"/>
  <c r="M55" i="6" s="1"/>
  <c r="N19" i="6"/>
  <c r="Q19" i="6"/>
  <c r="T19" i="6"/>
  <c r="T45" i="6" s="1"/>
  <c r="T55" i="6" s="1"/>
  <c r="T59" i="6" s="1"/>
  <c r="U19" i="6"/>
  <c r="J21" i="6"/>
  <c r="O21" i="6"/>
  <c r="V21" i="6"/>
  <c r="V27" i="6" s="1"/>
  <c r="V45" i="6" s="1"/>
  <c r="V55" i="6" s="1"/>
  <c r="J22" i="6"/>
  <c r="O22" i="6" s="1"/>
  <c r="V22" i="6"/>
  <c r="J23" i="6"/>
  <c r="O23" i="6"/>
  <c r="V23" i="6"/>
  <c r="J24" i="6"/>
  <c r="J27" i="6" s="1"/>
  <c r="O24" i="6"/>
  <c r="V24" i="6"/>
  <c r="J25" i="6"/>
  <c r="O25" i="6"/>
  <c r="V25" i="6"/>
  <c r="J26" i="6"/>
  <c r="O26" i="6" s="1"/>
  <c r="V26" i="6"/>
  <c r="G27" i="6"/>
  <c r="H27" i="6"/>
  <c r="I27" i="6"/>
  <c r="M27" i="6"/>
  <c r="N27" i="6"/>
  <c r="O27" i="6"/>
  <c r="Q27" i="6"/>
  <c r="T27" i="6"/>
  <c r="U27" i="6"/>
  <c r="J29" i="6"/>
  <c r="J33" i="6" s="1"/>
  <c r="V29" i="6"/>
  <c r="Z29" i="6"/>
  <c r="J30" i="6"/>
  <c r="O30" i="6"/>
  <c r="V30" i="6"/>
  <c r="V33" i="6" s="1"/>
  <c r="J31" i="6"/>
  <c r="O31" i="6" s="1"/>
  <c r="V31" i="6"/>
  <c r="Z31" i="6"/>
  <c r="J32" i="6"/>
  <c r="O32" i="6" s="1"/>
  <c r="V32" i="6"/>
  <c r="G33" i="6"/>
  <c r="H33" i="6"/>
  <c r="I33" i="6"/>
  <c r="M33" i="6"/>
  <c r="N33" i="6"/>
  <c r="O33" i="6"/>
  <c r="Q33" i="6"/>
  <c r="T33" i="6"/>
  <c r="U33" i="6"/>
  <c r="J35" i="6"/>
  <c r="J39" i="6" s="1"/>
  <c r="O39" i="6" s="1"/>
  <c r="V35" i="6"/>
  <c r="J36" i="6"/>
  <c r="O36" i="6"/>
  <c r="V36" i="6"/>
  <c r="V39" i="6" s="1"/>
  <c r="J37" i="6"/>
  <c r="O37" i="6" s="1"/>
  <c r="V37" i="6"/>
  <c r="J38" i="6"/>
  <c r="O38" i="6"/>
  <c r="V38" i="6"/>
  <c r="G39" i="6"/>
  <c r="H39" i="6"/>
  <c r="H45" i="6" s="1"/>
  <c r="H55" i="6" s="1"/>
  <c r="H59" i="6" s="1"/>
  <c r="I39" i="6"/>
  <c r="M39" i="6"/>
  <c r="N39" i="6"/>
  <c r="Q39" i="6"/>
  <c r="T39" i="6"/>
  <c r="U39" i="6"/>
  <c r="J41" i="6"/>
  <c r="O41" i="6"/>
  <c r="V41" i="6"/>
  <c r="J43" i="6"/>
  <c r="O43" i="6"/>
  <c r="V43" i="6"/>
  <c r="I45" i="6"/>
  <c r="I55" i="6" s="1"/>
  <c r="I59" i="6" s="1"/>
  <c r="N45" i="6"/>
  <c r="U45" i="6"/>
  <c r="U55" i="6" s="1"/>
  <c r="U59" i="6" s="1"/>
  <c r="O47" i="6"/>
  <c r="V47" i="6"/>
  <c r="O49" i="6"/>
  <c r="V49" i="6"/>
  <c r="J51" i="6"/>
  <c r="O51" i="6" s="1"/>
  <c r="V51" i="6"/>
  <c r="V52" i="6"/>
  <c r="O53" i="6"/>
  <c r="V53" i="6"/>
  <c r="N55" i="6"/>
  <c r="N59" i="6" s="1"/>
  <c r="D57" i="6"/>
  <c r="E57" i="6"/>
  <c r="O57" i="6"/>
  <c r="V57" i="6"/>
  <c r="M59" i="6"/>
  <c r="V59" i="6"/>
  <c r="F58" i="10"/>
  <c r="H58" i="10"/>
  <c r="J58" i="10"/>
  <c r="L58" i="10"/>
  <c r="T58" i="10" s="1"/>
  <c r="V58" i="10" s="1"/>
  <c r="P58" i="10"/>
  <c r="R58" i="10" s="1"/>
  <c r="U58" i="10"/>
  <c r="N3" i="18"/>
  <c r="C8" i="18"/>
  <c r="C9" i="18"/>
  <c r="D9" i="18"/>
  <c r="E9" i="18"/>
  <c r="C10" i="18"/>
  <c r="C11" i="18"/>
  <c r="C12" i="18"/>
  <c r="D12" i="18"/>
  <c r="E12" i="18"/>
  <c r="I12" i="18"/>
  <c r="C13" i="18"/>
  <c r="C14" i="18"/>
  <c r="C15" i="18"/>
  <c r="C16" i="18"/>
  <c r="C17" i="18"/>
  <c r="C19" i="18"/>
  <c r="C20" i="18"/>
  <c r="C22" i="18"/>
  <c r="C23" i="18"/>
  <c r="D23" i="18"/>
  <c r="I23" i="18"/>
  <c r="C24" i="18"/>
  <c r="C27" i="18"/>
  <c r="D27" i="18"/>
  <c r="E27" i="18" s="1"/>
  <c r="C28" i="18"/>
  <c r="D28" i="18"/>
  <c r="C32" i="18"/>
  <c r="C33" i="18"/>
  <c r="C37" i="18"/>
  <c r="C38" i="18"/>
  <c r="D38" i="18"/>
  <c r="C39" i="18"/>
  <c r="D39" i="18"/>
  <c r="E39" i="18"/>
  <c r="G39" i="18"/>
  <c r="H39" i="18"/>
  <c r="M39" i="18" s="1"/>
  <c r="I39" i="18"/>
  <c r="J39" i="18"/>
  <c r="L39" i="18"/>
  <c r="C42" i="18"/>
  <c r="D42" i="18"/>
  <c r="E42" i="18"/>
  <c r="G42" i="18"/>
  <c r="I42" i="18"/>
  <c r="C43" i="18"/>
  <c r="D43" i="18"/>
  <c r="I43" i="18"/>
  <c r="I44" i="18"/>
  <c r="C45" i="18"/>
  <c r="D45" i="18"/>
  <c r="E45" i="18"/>
  <c r="C47" i="18"/>
  <c r="D47" i="18"/>
  <c r="M47" i="18" s="1"/>
  <c r="G47" i="18"/>
  <c r="H47" i="18"/>
  <c r="I47" i="18"/>
  <c r="E11" i="4"/>
  <c r="L15" i="4"/>
  <c r="L23" i="4"/>
  <c r="E13" i="3"/>
  <c r="E25" i="3"/>
  <c r="E36" i="3"/>
  <c r="E40" i="3"/>
  <c r="L12" i="4"/>
  <c r="E17" i="4"/>
  <c r="L18" i="4"/>
  <c r="L29" i="4"/>
  <c r="E31" i="4"/>
  <c r="E35" i="4"/>
  <c r="L41" i="4"/>
  <c r="E16" i="3"/>
  <c r="E20" i="3"/>
  <c r="N16" i="2"/>
  <c r="E10" i="4"/>
  <c r="E21" i="4"/>
  <c r="L22" i="4"/>
  <c r="L36" i="4"/>
  <c r="E11" i="3"/>
  <c r="E23" i="3"/>
  <c r="E30" i="3"/>
  <c r="E34" i="3"/>
  <c r="E42" i="3"/>
  <c r="E48" i="3"/>
  <c r="N15" i="2"/>
  <c r="N25" i="2"/>
  <c r="D9" i="8"/>
  <c r="L11" i="4"/>
  <c r="L14" i="4"/>
  <c r="E16" i="4"/>
  <c r="E24" i="4"/>
  <c r="E26" i="4"/>
  <c r="E30" i="4"/>
  <c r="E49" i="4"/>
  <c r="E14" i="3"/>
  <c r="E17" i="3"/>
  <c r="N23" i="2"/>
  <c r="N24" i="2"/>
  <c r="E9" i="8"/>
  <c r="D10" i="8"/>
  <c r="E13" i="4"/>
  <c r="L17" i="4"/>
  <c r="L31" i="4"/>
  <c r="E34" i="4"/>
  <c r="L35" i="4"/>
  <c r="E37" i="4"/>
  <c r="E43" i="4"/>
  <c r="E9" i="3"/>
  <c r="E21" i="3"/>
  <c r="E18" i="4"/>
  <c r="E22" i="4"/>
  <c r="L34" i="4"/>
  <c r="E36" i="4"/>
  <c r="L37" i="4"/>
  <c r="E10" i="3"/>
  <c r="E22" i="3"/>
  <c r="E29" i="3"/>
  <c r="E33" i="3"/>
  <c r="E46" i="3"/>
  <c r="N10" i="2"/>
  <c r="N18" i="2"/>
  <c r="N39" i="2"/>
  <c r="N49" i="2"/>
  <c r="I10" i="8"/>
  <c r="E35" i="3"/>
  <c r="N33" i="2"/>
  <c r="D11" i="8"/>
  <c r="I15" i="8"/>
  <c r="H16" i="8"/>
  <c r="D20" i="8"/>
  <c r="I25" i="8"/>
  <c r="E29" i="8"/>
  <c r="D30" i="8"/>
  <c r="I35" i="8"/>
  <c r="H36" i="8"/>
  <c r="D40" i="8"/>
  <c r="I42" i="8"/>
  <c r="I46" i="8"/>
  <c r="L10" i="4"/>
  <c r="E15" i="4"/>
  <c r="L21" i="4"/>
  <c r="N40" i="2"/>
  <c r="E11" i="8"/>
  <c r="D12" i="8"/>
  <c r="E24" i="3"/>
  <c r="E10" i="8"/>
  <c r="E12" i="8"/>
  <c r="D13" i="8"/>
  <c r="I17" i="8"/>
  <c r="E21" i="8"/>
  <c r="D22" i="8"/>
  <c r="I28" i="8"/>
  <c r="H29" i="8"/>
  <c r="D33" i="8"/>
  <c r="L26" i="4"/>
  <c r="E41" i="4"/>
  <c r="N27" i="2"/>
  <c r="H11" i="8"/>
  <c r="E13" i="8"/>
  <c r="D14" i="8"/>
  <c r="L16" i="4"/>
  <c r="E23" i="4"/>
  <c r="N17" i="2"/>
  <c r="N38" i="2"/>
  <c r="H10" i="8"/>
  <c r="I11" i="8"/>
  <c r="H12" i="8"/>
  <c r="E14" i="8"/>
  <c r="D15" i="8"/>
  <c r="I20" i="8"/>
  <c r="H21" i="8"/>
  <c r="E23" i="8"/>
  <c r="D25" i="8"/>
  <c r="I30" i="8"/>
  <c r="E34" i="8"/>
  <c r="D35" i="8"/>
  <c r="I40" i="8"/>
  <c r="D42" i="8"/>
  <c r="L24" i="4"/>
  <c r="L30" i="4"/>
  <c r="N37" i="2"/>
  <c r="N45" i="2"/>
  <c r="I9" i="8"/>
  <c r="I14" i="8"/>
  <c r="H15" i="8"/>
  <c r="E17" i="8"/>
  <c r="I23" i="8"/>
  <c r="H25" i="8"/>
  <c r="E28" i="8"/>
  <c r="D29" i="8"/>
  <c r="I34" i="8"/>
  <c r="H35" i="8"/>
  <c r="H42" i="8"/>
  <c r="L43" i="4"/>
  <c r="I12" i="8"/>
  <c r="I16" i="8"/>
  <c r="D21" i="8"/>
  <c r="H28" i="8"/>
  <c r="E30" i="8"/>
  <c r="I36" i="8"/>
  <c r="D23" i="8"/>
  <c r="H30" i="8"/>
  <c r="E12" i="4"/>
  <c r="E15" i="8"/>
  <c r="I21" i="8"/>
  <c r="H33" i="8"/>
  <c r="E35" i="8"/>
  <c r="H9" i="8"/>
  <c r="H13" i="8"/>
  <c r="D17" i="8"/>
  <c r="H23" i="8"/>
  <c r="E29" i="4"/>
  <c r="N12" i="2"/>
  <c r="I13" i="8"/>
  <c r="H17" i="8"/>
  <c r="E20" i="8"/>
  <c r="E40" i="8"/>
  <c r="E46" i="8"/>
  <c r="E15" i="3"/>
  <c r="H14" i="8"/>
  <c r="E16" i="8"/>
  <c r="I22" i="8"/>
  <c r="D28" i="8"/>
  <c r="H34" i="8"/>
  <c r="E36" i="8"/>
  <c r="H22" i="8"/>
  <c r="AB9" i="6"/>
  <c r="AE10" i="6"/>
  <c r="AH11" i="6"/>
  <c r="H40" i="8"/>
  <c r="D16" i="8"/>
  <c r="E25" i="8"/>
  <c r="D36" i="8"/>
  <c r="E33" i="8"/>
  <c r="I33" i="8"/>
  <c r="E22" i="8"/>
  <c r="AA9" i="6"/>
  <c r="AG11" i="6"/>
  <c r="AC9" i="6"/>
  <c r="AE11" i="6"/>
  <c r="AA12" i="6"/>
  <c r="AE13" i="6"/>
  <c r="AH14" i="6"/>
  <c r="Y15" i="6"/>
  <c r="AB16" i="6"/>
  <c r="AE17" i="6"/>
  <c r="AH18" i="6"/>
  <c r="AB21" i="6"/>
  <c r="AE22" i="6"/>
  <c r="AH23" i="6"/>
  <c r="Y24" i="6"/>
  <c r="AB25" i="6"/>
  <c r="AE26" i="6"/>
  <c r="AI29" i="6"/>
  <c r="AA30" i="6"/>
  <c r="AB31" i="6"/>
  <c r="AE32" i="6"/>
  <c r="Y35" i="6"/>
  <c r="AB36" i="6"/>
  <c r="AE37" i="6"/>
  <c r="AH38" i="6"/>
  <c r="AB41" i="6"/>
  <c r="AI43" i="6"/>
  <c r="H10" i="10"/>
  <c r="M14" i="10"/>
  <c r="D15" i="10"/>
  <c r="E16" i="10"/>
  <c r="P16" i="10"/>
  <c r="Q17" i="10"/>
  <c r="H18" i="10"/>
  <c r="I19" i="10"/>
  <c r="L22" i="10"/>
  <c r="M23" i="10"/>
  <c r="D24" i="10"/>
  <c r="E25" i="10"/>
  <c r="P25" i="10"/>
  <c r="H26" i="10"/>
  <c r="I27" i="10"/>
  <c r="L30" i="10"/>
  <c r="M31" i="10"/>
  <c r="D32" i="10"/>
  <c r="E33" i="10"/>
  <c r="P33" i="10"/>
  <c r="H36" i="10"/>
  <c r="I37" i="10"/>
  <c r="L39" i="10"/>
  <c r="D42" i="10"/>
  <c r="H48" i="10"/>
  <c r="M54" i="10"/>
  <c r="H20" i="8"/>
  <c r="AE9" i="6"/>
  <c r="Y10" i="6"/>
  <c r="AI11" i="6"/>
  <c r="AG13" i="6"/>
  <c r="AI14" i="6"/>
  <c r="AA15" i="6"/>
  <c r="AC16" i="6"/>
  <c r="AG17" i="6"/>
  <c r="AI18" i="6"/>
  <c r="AC21" i="6"/>
  <c r="AG22" i="6"/>
  <c r="AI23" i="6"/>
  <c r="AA24" i="6"/>
  <c r="AC25" i="6"/>
  <c r="AG26" i="6"/>
  <c r="AB30" i="6"/>
  <c r="AC31" i="6"/>
  <c r="AG32" i="6"/>
  <c r="AA35" i="6"/>
  <c r="AC36" i="6"/>
  <c r="AG37" i="6"/>
  <c r="AI38" i="6"/>
  <c r="AC41" i="6"/>
  <c r="AG9" i="6"/>
  <c r="AH13" i="6"/>
  <c r="Y14" i="6"/>
  <c r="AB15" i="6"/>
  <c r="AE16" i="6"/>
  <c r="AH17" i="6"/>
  <c r="Y18" i="6"/>
  <c r="AE21" i="6"/>
  <c r="AH22" i="6"/>
  <c r="Y23" i="6"/>
  <c r="AB24" i="6"/>
  <c r="AE25" i="6"/>
  <c r="AH26" i="6"/>
  <c r="AA29" i="6"/>
  <c r="AC30" i="6"/>
  <c r="AE31" i="6"/>
  <c r="AH32" i="6"/>
  <c r="AB35" i="6"/>
  <c r="AE36" i="6"/>
  <c r="AH37" i="6"/>
  <c r="Y38" i="6"/>
  <c r="AE41" i="6"/>
  <c r="AH9" i="6"/>
  <c r="AI13" i="6"/>
  <c r="AA14" i="6"/>
  <c r="AC15" i="6"/>
  <c r="AG16" i="6"/>
  <c r="AI17" i="6"/>
  <c r="AA18" i="6"/>
  <c r="AG21" i="6"/>
  <c r="AI22" i="6"/>
  <c r="AA23" i="6"/>
  <c r="AC24" i="6"/>
  <c r="AG25" i="6"/>
  <c r="AI26" i="6"/>
  <c r="AB29" i="6"/>
  <c r="AE30" i="6"/>
  <c r="AG31" i="6"/>
  <c r="AI32" i="6"/>
  <c r="AC35" i="6"/>
  <c r="AG36" i="6"/>
  <c r="AI37" i="6"/>
  <c r="AA38" i="6"/>
  <c r="AG41" i="6"/>
  <c r="AA43" i="6"/>
  <c r="AB47" i="6"/>
  <c r="I29" i="8"/>
  <c r="E42" i="8"/>
  <c r="AI9" i="6"/>
  <c r="Y11" i="6"/>
  <c r="AG12" i="6"/>
  <c r="Y13" i="6"/>
  <c r="AB14" i="6"/>
  <c r="AE15" i="6"/>
  <c r="AH16" i="6"/>
  <c r="Y17" i="6"/>
  <c r="AB18" i="6"/>
  <c r="AH21" i="6"/>
  <c r="Y22" i="6"/>
  <c r="AB23" i="6"/>
  <c r="AE24" i="6"/>
  <c r="AH25" i="6"/>
  <c r="Y26" i="6"/>
  <c r="AC29" i="6"/>
  <c r="AG30" i="6"/>
  <c r="AH31" i="6"/>
  <c r="Y32" i="6"/>
  <c r="AE35" i="6"/>
  <c r="AH36" i="6"/>
  <c r="Y37" i="6"/>
  <c r="AB38" i="6"/>
  <c r="AH41" i="6"/>
  <c r="AB43" i="6"/>
  <c r="AC47" i="6"/>
  <c r="Y49" i="6"/>
  <c r="Y53" i="6"/>
  <c r="N22" i="2"/>
  <c r="Y9" i="6"/>
  <c r="AC11" i="6"/>
  <c r="AC13" i="6"/>
  <c r="AG14" i="6"/>
  <c r="AI15" i="6"/>
  <c r="AA16" i="6"/>
  <c r="AC17" i="6"/>
  <c r="AG18" i="6"/>
  <c r="AA21" i="6"/>
  <c r="AC22" i="6"/>
  <c r="AG23" i="6"/>
  <c r="AI24" i="6"/>
  <c r="AA25" i="6"/>
  <c r="AC26" i="6"/>
  <c r="AH29" i="6"/>
  <c r="Y30" i="6"/>
  <c r="AA31" i="6"/>
  <c r="AC32" i="6"/>
  <c r="AI35" i="6"/>
  <c r="AA36" i="6"/>
  <c r="AC37" i="6"/>
  <c r="AG38" i="6"/>
  <c r="AA41" i="6"/>
  <c r="AH43" i="6"/>
  <c r="AH49" i="6"/>
  <c r="Q10" i="10"/>
  <c r="I12" i="10"/>
  <c r="L14" i="10"/>
  <c r="M15" i="10"/>
  <c r="D16" i="10"/>
  <c r="E17" i="10"/>
  <c r="P17" i="10"/>
  <c r="Q18" i="10"/>
  <c r="H19" i="10"/>
  <c r="L23" i="10"/>
  <c r="M24" i="10"/>
  <c r="D25" i="10"/>
  <c r="Q26" i="10"/>
  <c r="H27" i="10"/>
  <c r="L31" i="10"/>
  <c r="M32" i="10"/>
  <c r="D33" i="10"/>
  <c r="Q36" i="10"/>
  <c r="H37" i="10"/>
  <c r="I38" i="10"/>
  <c r="M42" i="10"/>
  <c r="D44" i="10"/>
  <c r="Q48" i="10"/>
  <c r="I52" i="10"/>
  <c r="L54" i="10"/>
  <c r="AB11" i="6"/>
  <c r="AA13" i="6"/>
  <c r="AE14" i="6"/>
  <c r="AB22" i="6"/>
  <c r="Y25" i="6"/>
  <c r="AB37" i="6"/>
  <c r="I10" i="10"/>
  <c r="L12" i="10"/>
  <c r="H15" i="10"/>
  <c r="Q16" i="10"/>
  <c r="D18" i="10"/>
  <c r="M19" i="10"/>
  <c r="P22" i="10"/>
  <c r="I23" i="10"/>
  <c r="E24" i="10"/>
  <c r="L25" i="10"/>
  <c r="I26" i="10"/>
  <c r="P27" i="10"/>
  <c r="E30" i="10"/>
  <c r="H32" i="10"/>
  <c r="Q33" i="10"/>
  <c r="D36" i="10"/>
  <c r="M37" i="10"/>
  <c r="P39" i="10"/>
  <c r="E42" i="10"/>
  <c r="D52" i="10"/>
  <c r="Q52" i="10"/>
  <c r="E18" i="10"/>
  <c r="H38" i="10"/>
  <c r="P54" i="10"/>
  <c r="AB13" i="6"/>
  <c r="Y16" i="6"/>
  <c r="AI25" i="6"/>
  <c r="AI31" i="6"/>
  <c r="AC43" i="6"/>
  <c r="M12" i="10"/>
  <c r="P14" i="10"/>
  <c r="I15" i="10"/>
  <c r="L17" i="10"/>
  <c r="D22" i="10"/>
  <c r="Q22" i="10"/>
  <c r="M25" i="10"/>
  <c r="D27" i="10"/>
  <c r="I32" i="10"/>
  <c r="Q39" i="10"/>
  <c r="P48" i="10"/>
  <c r="AI16" i="6"/>
  <c r="Y21" i="6"/>
  <c r="Y36" i="6"/>
  <c r="AG43" i="6"/>
  <c r="AH47" i="6"/>
  <c r="AA51" i="6"/>
  <c r="L10" i="10"/>
  <c r="D14" i="10"/>
  <c r="Q14" i="10"/>
  <c r="M17" i="10"/>
  <c r="I18" i="10"/>
  <c r="P19" i="10"/>
  <c r="E22" i="10"/>
  <c r="H24" i="10"/>
  <c r="Q25" i="10"/>
  <c r="L26" i="10"/>
  <c r="E27" i="10"/>
  <c r="H30" i="10"/>
  <c r="D31" i="10"/>
  <c r="Q31" i="10"/>
  <c r="I36" i="10"/>
  <c r="P37" i="10"/>
  <c r="L38" i="10"/>
  <c r="E39" i="10"/>
  <c r="H42" i="10"/>
  <c r="D48" i="10"/>
  <c r="Q54" i="10"/>
  <c r="D34" i="8"/>
  <c r="AI21" i="6"/>
  <c r="AG24" i="6"/>
  <c r="AH30" i="6"/>
  <c r="AI36" i="6"/>
  <c r="Y41" i="6"/>
  <c r="AI47" i="6"/>
  <c r="AG51" i="6"/>
  <c r="M10" i="10"/>
  <c r="P12" i="10"/>
  <c r="E14" i="10"/>
  <c r="L15" i="10"/>
  <c r="H16" i="10"/>
  <c r="D19" i="10"/>
  <c r="Q19" i="10"/>
  <c r="P23" i="10"/>
  <c r="I24" i="10"/>
  <c r="M26" i="10"/>
  <c r="I30" i="10"/>
  <c r="E31" i="10"/>
  <c r="L32" i="10"/>
  <c r="H33" i="10"/>
  <c r="D37" i="10"/>
  <c r="Q37" i="10"/>
  <c r="M38" i="10"/>
  <c r="I42" i="10"/>
  <c r="E48" i="10"/>
  <c r="H52" i="10"/>
  <c r="E54" i="10"/>
  <c r="AG15" i="6"/>
  <c r="AH24" i="6"/>
  <c r="AI30" i="6"/>
  <c r="AI41" i="6"/>
  <c r="D12" i="10"/>
  <c r="Q12" i="10"/>
  <c r="P15" i="10"/>
  <c r="I16" i="10"/>
  <c r="L18" i="10"/>
  <c r="E19" i="10"/>
  <c r="H22" i="10"/>
  <c r="D23" i="10"/>
  <c r="Q23" i="10"/>
  <c r="M30" i="10"/>
  <c r="P32" i="10"/>
  <c r="I33" i="10"/>
  <c r="L36" i="10"/>
  <c r="E37" i="10"/>
  <c r="H39" i="10"/>
  <c r="I48" i="10"/>
  <c r="L52" i="10"/>
  <c r="AA11" i="6"/>
  <c r="AC14" i="6"/>
  <c r="AB17" i="6"/>
  <c r="AA22" i="6"/>
  <c r="AE23" i="6"/>
  <c r="AG29" i="6"/>
  <c r="Y31" i="6"/>
  <c r="AA37" i="6"/>
  <c r="AE38" i="6"/>
  <c r="AE49" i="6"/>
  <c r="E10" i="10"/>
  <c r="H12" i="10"/>
  <c r="M16" i="10"/>
  <c r="I17" i="10"/>
  <c r="P18" i="10"/>
  <c r="L19" i="10"/>
  <c r="H23" i="10"/>
  <c r="Q24" i="10"/>
  <c r="E26" i="10"/>
  <c r="D30" i="10"/>
  <c r="Q30" i="10"/>
  <c r="M33" i="10"/>
  <c r="P36" i="10"/>
  <c r="L37" i="10"/>
  <c r="E38" i="10"/>
  <c r="Q42" i="10"/>
  <c r="M48" i="10"/>
  <c r="P52" i="10"/>
  <c r="Q27" i="10"/>
  <c r="P31" i="10"/>
  <c r="E36" i="10"/>
  <c r="D39" i="10"/>
  <c r="E52" i="10"/>
  <c r="AC23" i="6"/>
  <c r="AA32" i="6"/>
  <c r="E12" i="10"/>
  <c r="L24" i="10"/>
  <c r="L27" i="10"/>
  <c r="H31" i="10"/>
  <c r="M52" i="10"/>
  <c r="AB32" i="6"/>
  <c r="P24" i="10"/>
  <c r="D38" i="10"/>
  <c r="P38" i="10"/>
  <c r="AG35" i="6"/>
  <c r="AC18" i="6"/>
  <c r="AA26" i="6"/>
  <c r="E15" i="10"/>
  <c r="I31" i="10"/>
  <c r="H54" i="10"/>
  <c r="Y29" i="6"/>
  <c r="D17" i="10"/>
  <c r="AA17" i="6"/>
  <c r="AB26" i="6"/>
  <c r="Q15" i="10"/>
  <c r="M18" i="10"/>
  <c r="I22" i="10"/>
  <c r="H25" i="10"/>
  <c r="L16" i="10"/>
  <c r="D10" i="10"/>
  <c r="M22" i="10"/>
  <c r="I25" i="10"/>
  <c r="E32" i="10"/>
  <c r="Q38" i="10"/>
  <c r="P42" i="10"/>
  <c r="L48" i="10"/>
  <c r="I54" i="10"/>
  <c r="AH35" i="6"/>
  <c r="H14" i="10"/>
  <c r="AH15" i="6"/>
  <c r="P10" i="10"/>
  <c r="E23" i="10"/>
  <c r="Q32" i="10"/>
  <c r="M36" i="10"/>
  <c r="I39" i="10"/>
  <c r="M39" i="10"/>
  <c r="AE18" i="6"/>
  <c r="AE29" i="6"/>
  <c r="AC38" i="6"/>
  <c r="I14" i="10"/>
  <c r="H17" i="10"/>
  <c r="P30" i="10"/>
  <c r="L33" i="10"/>
  <c r="M27" i="10"/>
  <c r="L42" i="10"/>
  <c r="AB49" i="6"/>
  <c r="P26" i="10"/>
  <c r="R26" i="10" l="1"/>
  <c r="D49" i="6"/>
  <c r="N42" i="10"/>
  <c r="N33" i="10"/>
  <c r="P34" i="10"/>
  <c r="R30" i="10"/>
  <c r="R34" i="10" s="1"/>
  <c r="J17" i="10"/>
  <c r="M40" i="10"/>
  <c r="U23" i="10"/>
  <c r="R10" i="10"/>
  <c r="R20" i="10" s="1"/>
  <c r="P20" i="10"/>
  <c r="J14" i="10"/>
  <c r="N48" i="10"/>
  <c r="R42" i="10"/>
  <c r="U32" i="10"/>
  <c r="M28" i="10"/>
  <c r="F10" i="10"/>
  <c r="F20" i="10" s="1"/>
  <c r="T10" i="10"/>
  <c r="D20" i="10"/>
  <c r="N16" i="10"/>
  <c r="J25" i="10"/>
  <c r="I28" i="10"/>
  <c r="D17" i="6"/>
  <c r="F17" i="10"/>
  <c r="T17" i="10"/>
  <c r="C29" i="6"/>
  <c r="T54" i="10"/>
  <c r="J54" i="10"/>
  <c r="U15" i="10"/>
  <c r="D26" i="6"/>
  <c r="R38" i="10"/>
  <c r="T38" i="10"/>
  <c r="F38" i="10"/>
  <c r="R24" i="10"/>
  <c r="J31" i="10"/>
  <c r="N27" i="10"/>
  <c r="N24" i="10"/>
  <c r="U12" i="10"/>
  <c r="D32" i="6"/>
  <c r="U52" i="10"/>
  <c r="F39" i="10"/>
  <c r="T39" i="10"/>
  <c r="U36" i="10"/>
  <c r="U40" i="10" s="1"/>
  <c r="E40" i="10"/>
  <c r="R31" i="10"/>
  <c r="R52" i="10"/>
  <c r="U38" i="10"/>
  <c r="N37" i="10"/>
  <c r="R36" i="10"/>
  <c r="R40" i="10" s="1"/>
  <c r="P40" i="10"/>
  <c r="Q34" i="10"/>
  <c r="T30" i="10"/>
  <c r="F30" i="10"/>
  <c r="F34" i="10" s="1"/>
  <c r="D34" i="10"/>
  <c r="F26" i="10"/>
  <c r="U26" i="10"/>
  <c r="J23" i="10"/>
  <c r="N19" i="10"/>
  <c r="R18" i="10"/>
  <c r="J12" i="10"/>
  <c r="U10" i="10"/>
  <c r="U20" i="10" s="1"/>
  <c r="U46" i="10" s="1"/>
  <c r="U56" i="10" s="1"/>
  <c r="U60" i="10" s="1"/>
  <c r="E20" i="10"/>
  <c r="D37" i="6"/>
  <c r="C31" i="6"/>
  <c r="D22" i="6"/>
  <c r="D11" i="6"/>
  <c r="N52" i="10"/>
  <c r="J39" i="10"/>
  <c r="U37" i="10"/>
  <c r="L40" i="10"/>
  <c r="N36" i="10"/>
  <c r="N40" i="10" s="1"/>
  <c r="R32" i="10"/>
  <c r="M34" i="10"/>
  <c r="F23" i="10"/>
  <c r="T23" i="10"/>
  <c r="J22" i="10"/>
  <c r="J28" i="10" s="1"/>
  <c r="H28" i="10"/>
  <c r="U19" i="10"/>
  <c r="N18" i="10"/>
  <c r="R15" i="10"/>
  <c r="T12" i="10"/>
  <c r="V12" i="10" s="1"/>
  <c r="F12" i="10"/>
  <c r="F54" i="10"/>
  <c r="U54" i="10"/>
  <c r="J52" i="10"/>
  <c r="U48" i="10"/>
  <c r="T37" i="10"/>
  <c r="F37" i="10"/>
  <c r="J33" i="10"/>
  <c r="N32" i="10"/>
  <c r="U31" i="10"/>
  <c r="I34" i="10"/>
  <c r="R23" i="10"/>
  <c r="T19" i="10"/>
  <c r="F19" i="10"/>
  <c r="J16" i="10"/>
  <c r="N15" i="10"/>
  <c r="U14" i="10"/>
  <c r="R12" i="10"/>
  <c r="M20" i="10"/>
  <c r="M46" i="10" s="1"/>
  <c r="M56" i="10" s="1"/>
  <c r="M60" i="10" s="1"/>
  <c r="C41" i="6"/>
  <c r="L34" i="8"/>
  <c r="F34" i="8"/>
  <c r="F48" i="10"/>
  <c r="T48" i="10"/>
  <c r="J42" i="10"/>
  <c r="U39" i="10"/>
  <c r="N38" i="10"/>
  <c r="R37" i="10"/>
  <c r="I40" i="10"/>
  <c r="F31" i="10"/>
  <c r="T31" i="10"/>
  <c r="V31" i="10" s="1"/>
  <c r="J30" i="10"/>
  <c r="J34" i="10" s="1"/>
  <c r="H34" i="10"/>
  <c r="U27" i="10"/>
  <c r="N26" i="10"/>
  <c r="J24" i="10"/>
  <c r="U22" i="10"/>
  <c r="U28" i="10" s="1"/>
  <c r="E28" i="10"/>
  <c r="R19" i="10"/>
  <c r="F14" i="10"/>
  <c r="T14" i="10"/>
  <c r="V14" i="10" s="1"/>
  <c r="L20" i="10"/>
  <c r="N10" i="10"/>
  <c r="N20" i="10" s="1"/>
  <c r="D51" i="6"/>
  <c r="E51" i="6" s="1"/>
  <c r="C36" i="6"/>
  <c r="C21" i="6"/>
  <c r="R48" i="10"/>
  <c r="T27" i="10"/>
  <c r="V27" i="10" s="1"/>
  <c r="F27" i="10"/>
  <c r="Q28" i="10"/>
  <c r="F22" i="10"/>
  <c r="F28" i="10" s="1"/>
  <c r="T22" i="10"/>
  <c r="D28" i="10"/>
  <c r="N17" i="10"/>
  <c r="R14" i="10"/>
  <c r="C16" i="6"/>
  <c r="E16" i="6" s="1"/>
  <c r="R54" i="10"/>
  <c r="J38" i="10"/>
  <c r="U18" i="10"/>
  <c r="T52" i="10"/>
  <c r="V52" i="10" s="1"/>
  <c r="F52" i="10"/>
  <c r="U42" i="10"/>
  <c r="R39" i="10"/>
  <c r="F36" i="10"/>
  <c r="F40" i="10" s="1"/>
  <c r="T36" i="10"/>
  <c r="D40" i="10"/>
  <c r="J32" i="10"/>
  <c r="U30" i="10"/>
  <c r="U34" i="10" s="1"/>
  <c r="E34" i="10"/>
  <c r="R27" i="10"/>
  <c r="N25" i="10"/>
  <c r="U24" i="10"/>
  <c r="R22" i="10"/>
  <c r="R28" i="10" s="1"/>
  <c r="P28" i="10"/>
  <c r="F18" i="10"/>
  <c r="T18" i="10"/>
  <c r="V18" i="10" s="1"/>
  <c r="J15" i="10"/>
  <c r="N12" i="10"/>
  <c r="I20" i="10"/>
  <c r="C25" i="6"/>
  <c r="E25" i="6" s="1"/>
  <c r="D13" i="6"/>
  <c r="N54" i="10"/>
  <c r="J37" i="10"/>
  <c r="Q40" i="10"/>
  <c r="F33" i="10"/>
  <c r="T33" i="10"/>
  <c r="V33" i="10" s="1"/>
  <c r="N31" i="10"/>
  <c r="J27" i="10"/>
  <c r="F25" i="10"/>
  <c r="T25" i="10"/>
  <c r="N23" i="10"/>
  <c r="J19" i="10"/>
  <c r="R17" i="10"/>
  <c r="U17" i="10"/>
  <c r="F16" i="10"/>
  <c r="T16" i="10"/>
  <c r="N14" i="10"/>
  <c r="Q20" i="10"/>
  <c r="D41" i="6"/>
  <c r="D36" i="6"/>
  <c r="C30" i="6"/>
  <c r="E30" i="6" s="1"/>
  <c r="D25" i="6"/>
  <c r="D21" i="6"/>
  <c r="D27" i="6" s="1"/>
  <c r="D16" i="6"/>
  <c r="C9" i="6"/>
  <c r="N29" i="2"/>
  <c r="R22" i="2"/>
  <c r="O22" i="2"/>
  <c r="C20" i="1"/>
  <c r="D19" i="13"/>
  <c r="C53" i="6"/>
  <c r="E53" i="6" s="1"/>
  <c r="C49" i="6"/>
  <c r="E49" i="6" s="1"/>
  <c r="C37" i="6"/>
  <c r="E37" i="6" s="1"/>
  <c r="C32" i="6"/>
  <c r="E32" i="6" s="1"/>
  <c r="C26" i="6"/>
  <c r="E26" i="6" s="1"/>
  <c r="C22" i="6"/>
  <c r="C17" i="6"/>
  <c r="E17" i="6" s="1"/>
  <c r="C13" i="6"/>
  <c r="E13" i="6" s="1"/>
  <c r="C11" i="6"/>
  <c r="E11" i="6" s="1"/>
  <c r="M42" i="8"/>
  <c r="D47" i="6"/>
  <c r="E47" i="6" s="1"/>
  <c r="D43" i="6"/>
  <c r="E43" i="6" s="1"/>
  <c r="D38" i="6"/>
  <c r="D23" i="6"/>
  <c r="D18" i="6"/>
  <c r="D14" i="6"/>
  <c r="C38" i="6"/>
  <c r="E38" i="6" s="1"/>
  <c r="C23" i="6"/>
  <c r="C18" i="6"/>
  <c r="C14" i="6"/>
  <c r="D35" i="6"/>
  <c r="D39" i="6" s="1"/>
  <c r="D24" i="6"/>
  <c r="D15" i="6"/>
  <c r="C10" i="6"/>
  <c r="H26" i="8"/>
  <c r="J20" i="8"/>
  <c r="J26" i="8" s="1"/>
  <c r="J48" i="10"/>
  <c r="F42" i="10"/>
  <c r="T42" i="10"/>
  <c r="V42" i="10" s="1"/>
  <c r="N39" i="10"/>
  <c r="J36" i="10"/>
  <c r="J40" i="10" s="1"/>
  <c r="H40" i="10"/>
  <c r="R33" i="10"/>
  <c r="U33" i="10"/>
  <c r="F32" i="10"/>
  <c r="T32" i="10"/>
  <c r="V32" i="10" s="1"/>
  <c r="L34" i="10"/>
  <c r="N30" i="10"/>
  <c r="N34" i="10" s="1"/>
  <c r="J26" i="10"/>
  <c r="T26" i="10"/>
  <c r="V26" i="10" s="1"/>
  <c r="R25" i="10"/>
  <c r="U25" i="10"/>
  <c r="F24" i="10"/>
  <c r="T24" i="10"/>
  <c r="V24" i="10" s="1"/>
  <c r="L28" i="10"/>
  <c r="N22" i="10"/>
  <c r="N28" i="10" s="1"/>
  <c r="J18" i="10"/>
  <c r="R16" i="10"/>
  <c r="U16" i="10"/>
  <c r="F15" i="10"/>
  <c r="T15" i="10"/>
  <c r="V15" i="10" s="1"/>
  <c r="J10" i="10"/>
  <c r="J20" i="10" s="1"/>
  <c r="H20" i="10"/>
  <c r="C35" i="6"/>
  <c r="D30" i="6"/>
  <c r="C24" i="6"/>
  <c r="E24" i="6" s="1"/>
  <c r="C15" i="6"/>
  <c r="E15" i="6" s="1"/>
  <c r="D12" i="6"/>
  <c r="D9" i="6"/>
  <c r="D19" i="6" s="1"/>
  <c r="D45" i="6" s="1"/>
  <c r="D55" i="6" s="1"/>
  <c r="D59" i="6" s="1"/>
  <c r="M22" i="8"/>
  <c r="I38" i="8"/>
  <c r="E38" i="8"/>
  <c r="M33" i="8"/>
  <c r="M38" i="8" s="1"/>
  <c r="F36" i="8"/>
  <c r="L36" i="8"/>
  <c r="M25" i="8"/>
  <c r="F16" i="8"/>
  <c r="L16" i="8"/>
  <c r="N16" i="8" s="1"/>
  <c r="J40" i="8"/>
  <c r="J22" i="8"/>
  <c r="M36" i="8"/>
  <c r="J34" i="8"/>
  <c r="F28" i="8"/>
  <c r="F31" i="8" s="1"/>
  <c r="L28" i="8"/>
  <c r="D31" i="8"/>
  <c r="M16" i="8"/>
  <c r="J14" i="8"/>
  <c r="E15" i="19"/>
  <c r="F15" i="3"/>
  <c r="T15" i="1" s="1"/>
  <c r="D15" i="3"/>
  <c r="D15" i="1"/>
  <c r="H14" i="13"/>
  <c r="F46" i="8"/>
  <c r="M46" i="8"/>
  <c r="N46" i="8" s="1"/>
  <c r="M40" i="8"/>
  <c r="M20" i="8"/>
  <c r="M26" i="8" s="1"/>
  <c r="E26" i="8"/>
  <c r="J17" i="8"/>
  <c r="R12" i="2"/>
  <c r="C11" i="1"/>
  <c r="E11" i="1" s="1"/>
  <c r="O12" i="2"/>
  <c r="Q11" i="1" s="1"/>
  <c r="V11" i="1" s="1"/>
  <c r="D10" i="13"/>
  <c r="F29" i="4"/>
  <c r="E32" i="4"/>
  <c r="R31" i="2"/>
  <c r="D28" i="1"/>
  <c r="H27" i="13"/>
  <c r="J23" i="8"/>
  <c r="F17" i="8"/>
  <c r="L17" i="8"/>
  <c r="J13" i="8"/>
  <c r="J9" i="8"/>
  <c r="J18" i="8" s="1"/>
  <c r="J44" i="8" s="1"/>
  <c r="H18" i="8"/>
  <c r="E37" i="8"/>
  <c r="M35" i="8"/>
  <c r="M37" i="8" s="1"/>
  <c r="H38" i="8"/>
  <c r="J33" i="8"/>
  <c r="J38" i="8" s="1"/>
  <c r="M15" i="8"/>
  <c r="D12" i="4"/>
  <c r="L11" i="1" s="1"/>
  <c r="J30" i="8"/>
  <c r="F23" i="8"/>
  <c r="L23" i="8"/>
  <c r="N23" i="8" s="1"/>
  <c r="M30" i="8"/>
  <c r="H31" i="8"/>
  <c r="J28" i="8"/>
  <c r="J31" i="8" s="1"/>
  <c r="L21" i="8"/>
  <c r="N21" i="8" s="1"/>
  <c r="F21" i="8"/>
  <c r="M43" i="4"/>
  <c r="U42" i="1" s="1"/>
  <c r="J42" i="8"/>
  <c r="J35" i="8"/>
  <c r="J37" i="8" s="1"/>
  <c r="H37" i="8"/>
  <c r="F29" i="8"/>
  <c r="L29" i="8"/>
  <c r="E31" i="8"/>
  <c r="M28" i="8"/>
  <c r="M31" i="8" s="1"/>
  <c r="J25" i="8"/>
  <c r="M17" i="8"/>
  <c r="J15" i="8"/>
  <c r="I18" i="8"/>
  <c r="I44" i="8" s="1"/>
  <c r="I48" i="8" s="1"/>
  <c r="R45" i="2"/>
  <c r="C38" i="1"/>
  <c r="D37" i="13"/>
  <c r="R37" i="2"/>
  <c r="C33" i="1"/>
  <c r="D32" i="13"/>
  <c r="M30" i="4"/>
  <c r="U29" i="1" s="1"/>
  <c r="K30" i="4"/>
  <c r="K24" i="4"/>
  <c r="N23" i="1" s="1"/>
  <c r="L42" i="8"/>
  <c r="F42" i="8"/>
  <c r="L35" i="8"/>
  <c r="F35" i="8"/>
  <c r="F37" i="8" s="1"/>
  <c r="D37" i="8"/>
  <c r="M34" i="8"/>
  <c r="L25" i="8"/>
  <c r="F25" i="8"/>
  <c r="M23" i="8"/>
  <c r="J21" i="8"/>
  <c r="I26" i="8"/>
  <c r="L15" i="8"/>
  <c r="N15" i="8" s="1"/>
  <c r="F15" i="8"/>
  <c r="M14" i="8"/>
  <c r="J12" i="8"/>
  <c r="J10" i="8"/>
  <c r="R38" i="2"/>
  <c r="O38" i="2"/>
  <c r="Q34" i="1" s="1"/>
  <c r="V34" i="1" s="1"/>
  <c r="C34" i="1"/>
  <c r="D33" i="13"/>
  <c r="R17" i="2"/>
  <c r="T17" i="2" s="1"/>
  <c r="C16" i="1"/>
  <c r="D15" i="13"/>
  <c r="F23" i="4"/>
  <c r="M16" i="4"/>
  <c r="U15" i="1" s="1"/>
  <c r="K16" i="4"/>
  <c r="N15" i="1" s="1"/>
  <c r="L14" i="8"/>
  <c r="N14" i="8" s="1"/>
  <c r="F14" i="8"/>
  <c r="M13" i="8"/>
  <c r="J11" i="8"/>
  <c r="O27" i="2"/>
  <c r="Q25" i="1" s="1"/>
  <c r="V25" i="1" s="1"/>
  <c r="R27" i="2"/>
  <c r="C25" i="1"/>
  <c r="D24" i="13"/>
  <c r="D41" i="4"/>
  <c r="M26" i="4"/>
  <c r="U25" i="1" s="1"/>
  <c r="K26" i="4"/>
  <c r="N25" i="1" s="1"/>
  <c r="L33" i="8"/>
  <c r="F33" i="8"/>
  <c r="F38" i="8" s="1"/>
  <c r="D38" i="8"/>
  <c r="J29" i="8"/>
  <c r="I31" i="8"/>
  <c r="L22" i="8"/>
  <c r="F22" i="8"/>
  <c r="M21" i="8"/>
  <c r="L13" i="8"/>
  <c r="F13" i="8"/>
  <c r="M12" i="8"/>
  <c r="M10" i="8"/>
  <c r="E24" i="19"/>
  <c r="D24" i="3"/>
  <c r="F24" i="3"/>
  <c r="T24" i="1" s="1"/>
  <c r="V24" i="1" s="1"/>
  <c r="D24" i="1"/>
  <c r="H23" i="13"/>
  <c r="F12" i="8"/>
  <c r="L12" i="8"/>
  <c r="N12" i="8" s="1"/>
  <c r="M11" i="8"/>
  <c r="R40" i="2"/>
  <c r="K21" i="4"/>
  <c r="M21" i="4" s="1"/>
  <c r="L27" i="4"/>
  <c r="F15" i="4"/>
  <c r="K10" i="4"/>
  <c r="M10" i="4" s="1"/>
  <c r="L19" i="4"/>
  <c r="J46" i="8"/>
  <c r="F40" i="8"/>
  <c r="L40" i="8"/>
  <c r="N40" i="8" s="1"/>
  <c r="J36" i="8"/>
  <c r="I37" i="8"/>
  <c r="F30" i="8"/>
  <c r="L30" i="8"/>
  <c r="M29" i="8"/>
  <c r="F20" i="8"/>
  <c r="F26" i="8" s="1"/>
  <c r="D26" i="8"/>
  <c r="L20" i="8"/>
  <c r="J16" i="8"/>
  <c r="F11" i="8"/>
  <c r="L11" i="8"/>
  <c r="N11" i="8" s="1"/>
  <c r="R33" i="2"/>
  <c r="C30" i="1"/>
  <c r="D29" i="13"/>
  <c r="E37" i="3"/>
  <c r="D35" i="3"/>
  <c r="F35" i="3" s="1"/>
  <c r="F37" i="3" s="1"/>
  <c r="T35" i="1" s="1"/>
  <c r="E35" i="19"/>
  <c r="C50" i="1"/>
  <c r="D44" i="13"/>
  <c r="N41" i="2"/>
  <c r="R39" i="2"/>
  <c r="R18" i="2"/>
  <c r="C17" i="1"/>
  <c r="E17" i="1" s="1"/>
  <c r="D16" i="13"/>
  <c r="R10" i="2"/>
  <c r="N20" i="2"/>
  <c r="C9" i="1"/>
  <c r="D8" i="13"/>
  <c r="F46" i="3"/>
  <c r="T46" i="1" s="1"/>
  <c r="V46" i="1" s="1"/>
  <c r="E46" i="19"/>
  <c r="F46" i="19" s="1"/>
  <c r="D46" i="1"/>
  <c r="E46" i="1" s="1"/>
  <c r="H42" i="13"/>
  <c r="F33" i="3"/>
  <c r="E33" i="19"/>
  <c r="E38" i="3"/>
  <c r="D33" i="1"/>
  <c r="D36" i="1" s="1"/>
  <c r="H32" i="13"/>
  <c r="F29" i="3"/>
  <c r="T29" i="1" s="1"/>
  <c r="T31" i="1" s="1"/>
  <c r="E29" i="19"/>
  <c r="E31" i="3"/>
  <c r="D29" i="1"/>
  <c r="E29" i="1" s="1"/>
  <c r="H28" i="13"/>
  <c r="E22" i="19"/>
  <c r="D22" i="3"/>
  <c r="D22" i="1"/>
  <c r="H21" i="13"/>
  <c r="E10" i="19"/>
  <c r="D10" i="3"/>
  <c r="F10" i="3" s="1"/>
  <c r="T10" i="1" s="1"/>
  <c r="H9" i="13"/>
  <c r="D10" i="1"/>
  <c r="E10" i="1" s="1"/>
  <c r="K37" i="4"/>
  <c r="M37" i="4" s="1"/>
  <c r="F36" i="4"/>
  <c r="F38" i="4" s="1"/>
  <c r="E38" i="4"/>
  <c r="L39" i="4"/>
  <c r="K34" i="4"/>
  <c r="F22" i="4"/>
  <c r="D18" i="4"/>
  <c r="S18" i="2" s="1"/>
  <c r="E21" i="19"/>
  <c r="D21" i="3"/>
  <c r="F21" i="3"/>
  <c r="T21" i="1" s="1"/>
  <c r="H20" i="13"/>
  <c r="D21" i="1"/>
  <c r="E9" i="19"/>
  <c r="D9" i="3"/>
  <c r="S10" i="2" s="1"/>
  <c r="S20" i="2" s="1"/>
  <c r="F9" i="3"/>
  <c r="E18" i="3"/>
  <c r="E44" i="3" s="1"/>
  <c r="E50" i="3" s="1"/>
  <c r="D9" i="1"/>
  <c r="D18" i="1" s="1"/>
  <c r="H8" i="13"/>
  <c r="D43" i="4"/>
  <c r="F43" i="4"/>
  <c r="F37" i="4"/>
  <c r="K35" i="4"/>
  <c r="N34" i="1" s="1"/>
  <c r="M35" i="4"/>
  <c r="U34" i="1" s="1"/>
  <c r="E39" i="4"/>
  <c r="E45" i="4" s="1"/>
  <c r="F34" i="4"/>
  <c r="K31" i="4"/>
  <c r="N30" i="1" s="1"/>
  <c r="M31" i="4"/>
  <c r="U30" i="1" s="1"/>
  <c r="K17" i="4"/>
  <c r="N16" i="1" s="1"/>
  <c r="D13" i="4"/>
  <c r="L12" i="1" s="1"/>
  <c r="F13" i="4"/>
  <c r="F10" i="8"/>
  <c r="L10" i="8"/>
  <c r="E18" i="8"/>
  <c r="M9" i="8"/>
  <c r="M18" i="8" s="1"/>
  <c r="M44" i="8" s="1"/>
  <c r="M48" i="8" s="1"/>
  <c r="R24" i="2"/>
  <c r="D21" i="13"/>
  <c r="C22" i="1"/>
  <c r="O23" i="2"/>
  <c r="Q21" i="1" s="1"/>
  <c r="V21" i="1" s="1"/>
  <c r="R23" i="2"/>
  <c r="C21" i="1"/>
  <c r="D20" i="13"/>
  <c r="E17" i="19"/>
  <c r="F17" i="19" s="1"/>
  <c r="F17" i="3"/>
  <c r="T17" i="1" s="1"/>
  <c r="D17" i="1"/>
  <c r="H16" i="13"/>
  <c r="D14" i="3"/>
  <c r="F14" i="3"/>
  <c r="T14" i="1" s="1"/>
  <c r="E14" i="19"/>
  <c r="H13" i="13"/>
  <c r="D14" i="1"/>
  <c r="D49" i="4"/>
  <c r="F49" i="4"/>
  <c r="F30" i="4"/>
  <c r="D26" i="4"/>
  <c r="L25" i="1" s="1"/>
  <c r="D24" i="4"/>
  <c r="L23" i="1" s="1"/>
  <c r="F24" i="4"/>
  <c r="D16" i="4"/>
  <c r="L15" i="1" s="1"/>
  <c r="K14" i="4"/>
  <c r="N13" i="1" s="1"/>
  <c r="M14" i="4"/>
  <c r="U13" i="1" s="1"/>
  <c r="K11" i="4"/>
  <c r="N10" i="1" s="1"/>
  <c r="L9" i="8"/>
  <c r="D18" i="8"/>
  <c r="F9" i="8"/>
  <c r="F18" i="8" s="1"/>
  <c r="F44" i="8" s="1"/>
  <c r="R25" i="2"/>
  <c r="C23" i="1"/>
  <c r="E23" i="1" s="1"/>
  <c r="D22" i="13"/>
  <c r="R15" i="2"/>
  <c r="D13" i="13"/>
  <c r="C14" i="1"/>
  <c r="D48" i="3"/>
  <c r="F48" i="3"/>
  <c r="T50" i="1" s="1"/>
  <c r="E48" i="19"/>
  <c r="D50" i="1"/>
  <c r="H44" i="13"/>
  <c r="F42" i="3"/>
  <c r="T42" i="1" s="1"/>
  <c r="E42" i="19"/>
  <c r="F42" i="19" s="1"/>
  <c r="D42" i="1"/>
  <c r="H38" i="13"/>
  <c r="D34" i="3"/>
  <c r="F34" i="3" s="1"/>
  <c r="T34" i="1" s="1"/>
  <c r="E34" i="19"/>
  <c r="D34" i="1"/>
  <c r="H33" i="13"/>
  <c r="E30" i="19"/>
  <c r="D30" i="3"/>
  <c r="F30" i="3"/>
  <c r="T30" i="1" s="1"/>
  <c r="D30" i="1"/>
  <c r="H29" i="13"/>
  <c r="D23" i="3"/>
  <c r="F23" i="3"/>
  <c r="T23" i="1" s="1"/>
  <c r="E23" i="19"/>
  <c r="D23" i="1"/>
  <c r="H22" i="13"/>
  <c r="D11" i="3"/>
  <c r="F11" i="3"/>
  <c r="T11" i="1" s="1"/>
  <c r="E11" i="19"/>
  <c r="D11" i="1"/>
  <c r="H10" i="13"/>
  <c r="K36" i="4"/>
  <c r="K38" i="4" s="1"/>
  <c r="N35" i="1" s="1"/>
  <c r="M36" i="4"/>
  <c r="L38" i="4"/>
  <c r="M38" i="4" s="1"/>
  <c r="U35" i="1" s="1"/>
  <c r="K22" i="4"/>
  <c r="N21" i="1" s="1"/>
  <c r="D21" i="4"/>
  <c r="E27" i="4"/>
  <c r="F21" i="4"/>
  <c r="D10" i="4"/>
  <c r="F10" i="4"/>
  <c r="E19" i="4"/>
  <c r="R16" i="2"/>
  <c r="C15" i="1"/>
  <c r="E15" i="1" s="1"/>
  <c r="D14" i="13"/>
  <c r="D20" i="3"/>
  <c r="F20" i="3"/>
  <c r="E26" i="3"/>
  <c r="D20" i="1"/>
  <c r="D26" i="1" s="1"/>
  <c r="E20" i="19"/>
  <c r="H19" i="13"/>
  <c r="D16" i="3"/>
  <c r="F16" i="3"/>
  <c r="T16" i="1" s="1"/>
  <c r="E16" i="19"/>
  <c r="D16" i="1"/>
  <c r="H15" i="13"/>
  <c r="K41" i="4"/>
  <c r="N38" i="1" s="1"/>
  <c r="M41" i="4"/>
  <c r="U38" i="1" s="1"/>
  <c r="F35" i="4"/>
  <c r="D31" i="4"/>
  <c r="F31" i="4"/>
  <c r="K29" i="4"/>
  <c r="M29" i="4"/>
  <c r="L32" i="4"/>
  <c r="M18" i="4"/>
  <c r="U17" i="1" s="1"/>
  <c r="D17" i="4"/>
  <c r="L16" i="1" s="1"/>
  <c r="F17" i="4"/>
  <c r="K12" i="4"/>
  <c r="N11" i="1" s="1"/>
  <c r="M12" i="4"/>
  <c r="U11" i="1" s="1"/>
  <c r="E40" i="19"/>
  <c r="F40" i="19" s="1"/>
  <c r="F40" i="3"/>
  <c r="T38" i="1" s="1"/>
  <c r="D38" i="1"/>
  <c r="H37" i="13"/>
  <c r="E36" i="19"/>
  <c r="D36" i="3"/>
  <c r="D25" i="3"/>
  <c r="E25" i="19"/>
  <c r="H24" i="13"/>
  <c r="D25" i="1"/>
  <c r="E13" i="19"/>
  <c r="D13" i="3"/>
  <c r="F13" i="3" s="1"/>
  <c r="T13" i="1" s="1"/>
  <c r="V13" i="1" s="1"/>
  <c r="R14" i="2"/>
  <c r="H12" i="13"/>
  <c r="D13" i="1"/>
  <c r="K23" i="4"/>
  <c r="N22" i="1" s="1"/>
  <c r="M15" i="4"/>
  <c r="U14" i="1" s="1"/>
  <c r="K15" i="4"/>
  <c r="N14" i="1" s="1"/>
  <c r="F11" i="4"/>
  <c r="E47" i="18"/>
  <c r="N58" i="10"/>
  <c r="N39" i="18"/>
  <c r="E23" i="18"/>
  <c r="O19" i="6"/>
  <c r="J45" i="6"/>
  <c r="E23" i="13"/>
  <c r="M38" i="13"/>
  <c r="L42" i="18"/>
  <c r="H30" i="14"/>
  <c r="C44" i="18"/>
  <c r="L21" i="17"/>
  <c r="G25" i="17"/>
  <c r="E43" i="18"/>
  <c r="L47" i="18"/>
  <c r="N47" i="18" s="1"/>
  <c r="E38" i="18"/>
  <c r="E28" i="18"/>
  <c r="N30" i="17"/>
  <c r="J25" i="17"/>
  <c r="Q45" i="6"/>
  <c r="Q55" i="6" s="1"/>
  <c r="Q59" i="6" s="1"/>
  <c r="N47" i="13"/>
  <c r="E27" i="13"/>
  <c r="C17" i="13"/>
  <c r="N19" i="17"/>
  <c r="N60" i="16"/>
  <c r="P60" i="16"/>
  <c r="Q60" i="16" s="1"/>
  <c r="M146" i="16"/>
  <c r="G40" i="17"/>
  <c r="G46" i="17" s="1"/>
  <c r="G48" i="17" s="1"/>
  <c r="O35" i="6"/>
  <c r="O29" i="6"/>
  <c r="P156" i="14"/>
  <c r="M163" i="14"/>
  <c r="N156" i="14"/>
  <c r="E28" i="13"/>
  <c r="N8" i="17"/>
  <c r="L17" i="17"/>
  <c r="O156" i="14"/>
  <c r="L163" i="14"/>
  <c r="O163" i="14" s="1"/>
  <c r="J163" i="14"/>
  <c r="K163" i="14" s="1"/>
  <c r="N39" i="13"/>
  <c r="N28" i="17"/>
  <c r="L30" i="17"/>
  <c r="J20" i="1"/>
  <c r="H26" i="1"/>
  <c r="H44" i="1" s="1"/>
  <c r="H54" i="1" s="1"/>
  <c r="H58" i="1" s="1"/>
  <c r="D31" i="6"/>
  <c r="D30" i="13"/>
  <c r="H25" i="17"/>
  <c r="H40" i="17" s="1"/>
  <c r="H46" i="17" s="1"/>
  <c r="H48" i="17" s="1"/>
  <c r="M21" i="17"/>
  <c r="M25" i="17" s="1"/>
  <c r="J21" i="17"/>
  <c r="N13" i="17"/>
  <c r="E27" i="16"/>
  <c r="P27" i="16"/>
  <c r="Q27" i="16" s="1"/>
  <c r="N22" i="17"/>
  <c r="M12" i="17"/>
  <c r="J12" i="17"/>
  <c r="J17" i="17" s="1"/>
  <c r="H17" i="17"/>
  <c r="E13" i="1"/>
  <c r="D29" i="6"/>
  <c r="D33" i="6" s="1"/>
  <c r="E39" i="13"/>
  <c r="E45" i="17"/>
  <c r="E24" i="1"/>
  <c r="J18" i="1"/>
  <c r="G163" i="14"/>
  <c r="H163" i="14" s="1"/>
  <c r="N33" i="17"/>
  <c r="N35" i="17" s="1"/>
  <c r="L35" i="17"/>
  <c r="E17" i="17"/>
  <c r="E40" i="17" s="1"/>
  <c r="E46" i="17" s="1"/>
  <c r="E48" i="17" s="1"/>
  <c r="K122" i="16"/>
  <c r="P122" i="16"/>
  <c r="J35" i="17"/>
  <c r="N12" i="17"/>
  <c r="K133" i="16"/>
  <c r="J146" i="16"/>
  <c r="M39" i="13"/>
  <c r="J42" i="1"/>
  <c r="P132" i="14"/>
  <c r="Q132" i="14" s="1"/>
  <c r="P92" i="14"/>
  <c r="Q92" i="14" s="1"/>
  <c r="N92" i="14"/>
  <c r="D146" i="16"/>
  <c r="E146" i="16" s="1"/>
  <c r="C17" i="17"/>
  <c r="C40" i="17" s="1"/>
  <c r="C46" i="17" s="1"/>
  <c r="C48" i="17" s="1"/>
  <c r="M9" i="17"/>
  <c r="N9" i="17" s="1"/>
  <c r="O45" i="14"/>
  <c r="N133" i="16"/>
  <c r="P133" i="16"/>
  <c r="Q133" i="16" s="1"/>
  <c r="N78" i="16"/>
  <c r="P78" i="16"/>
  <c r="Q78" i="16" s="1"/>
  <c r="E42" i="1"/>
  <c r="J41" i="2"/>
  <c r="E43" i="2"/>
  <c r="E53" i="2" s="1"/>
  <c r="H156" i="14"/>
  <c r="K143" i="14"/>
  <c r="N67" i="14"/>
  <c r="G146" i="16"/>
  <c r="M49" i="2"/>
  <c r="O49" i="2" s="1"/>
  <c r="Q50" i="1" s="1"/>
  <c r="V50" i="1" s="1"/>
  <c r="G50" i="1"/>
  <c r="J50" i="1" s="1"/>
  <c r="M20" i="2"/>
  <c r="O10" i="2"/>
  <c r="P19" i="14"/>
  <c r="Q19" i="14" s="1"/>
  <c r="P111" i="16"/>
  <c r="N111" i="16"/>
  <c r="N100" i="16"/>
  <c r="P100" i="16"/>
  <c r="Q100" i="16" s="1"/>
  <c r="H146" i="16"/>
  <c r="D38" i="4"/>
  <c r="L35" i="1" s="1"/>
  <c r="L36" i="1" s="1"/>
  <c r="D39" i="4"/>
  <c r="D45" i="4" s="1"/>
  <c r="G18" i="1"/>
  <c r="P161" i="14"/>
  <c r="Q161" i="14" s="1"/>
  <c r="N45" i="14"/>
  <c r="P45" i="14"/>
  <c r="N146" i="16"/>
  <c r="Q111" i="16"/>
  <c r="P101" i="14"/>
  <c r="Q101" i="14" s="1"/>
  <c r="N38" i="16"/>
  <c r="P38" i="16"/>
  <c r="P89" i="16"/>
  <c r="Q89" i="16" s="1"/>
  <c r="I146" i="16"/>
  <c r="K146" i="16" s="1"/>
  <c r="K38" i="16"/>
  <c r="N27" i="16"/>
  <c r="M18" i="2"/>
  <c r="O18" i="2" s="1"/>
  <c r="Q17" i="1" s="1"/>
  <c r="V17" i="1" s="1"/>
  <c r="K43" i="2"/>
  <c r="K53" i="2" s="1"/>
  <c r="M39" i="2"/>
  <c r="O39" i="2" s="1"/>
  <c r="O41" i="2" s="1"/>
  <c r="Q35" i="1" s="1"/>
  <c r="V35" i="1" s="1"/>
  <c r="H31" i="9"/>
  <c r="K31" i="9" s="1"/>
  <c r="K9" i="9"/>
  <c r="O16" i="16"/>
  <c r="Q16" i="16" s="1"/>
  <c r="N16" i="16"/>
  <c r="M31" i="2"/>
  <c r="J35" i="2"/>
  <c r="S31" i="2"/>
  <c r="F42" i="9"/>
  <c r="F31" i="3"/>
  <c r="O45" i="2"/>
  <c r="Q38" i="1" s="1"/>
  <c r="V38" i="1" s="1"/>
  <c r="O37" i="2"/>
  <c r="J33" i="2"/>
  <c r="C32" i="9"/>
  <c r="H32" i="9" s="1"/>
  <c r="K32" i="9" s="1"/>
  <c r="D35" i="2"/>
  <c r="D53" i="2" s="1"/>
  <c r="D61" i="2"/>
  <c r="J24" i="2"/>
  <c r="C23" i="9"/>
  <c r="D62" i="2"/>
  <c r="D29" i="2"/>
  <c r="R11" i="2"/>
  <c r="N101" i="14"/>
  <c r="Q122" i="16"/>
  <c r="P49" i="16"/>
  <c r="Q49" i="16" s="1"/>
  <c r="O38" i="16"/>
  <c r="Q38" i="16" s="1"/>
  <c r="J43" i="2"/>
  <c r="S37" i="2"/>
  <c r="D34" i="9"/>
  <c r="M38" i="12"/>
  <c r="S11" i="2"/>
  <c r="G40" i="9"/>
  <c r="J52" i="9"/>
  <c r="J20" i="2"/>
  <c r="G42" i="9"/>
  <c r="H36" i="9"/>
  <c r="D42" i="9"/>
  <c r="F28" i="9"/>
  <c r="F52" i="9" s="1"/>
  <c r="E55" i="13" s="1"/>
  <c r="H21" i="9"/>
  <c r="D28" i="19"/>
  <c r="D31" i="3"/>
  <c r="R32" i="2"/>
  <c r="T32" i="2" s="1"/>
  <c r="N35" i="2"/>
  <c r="S17" i="2"/>
  <c r="M17" i="2"/>
  <c r="O17" i="2" s="1"/>
  <c r="Q16" i="1" s="1"/>
  <c r="V16" i="1" s="1"/>
  <c r="O15" i="2"/>
  <c r="Q14" i="1" s="1"/>
  <c r="V14" i="1" s="1"/>
  <c r="M10" i="12"/>
  <c r="E90" i="12"/>
  <c r="M90" i="12" s="1"/>
  <c r="H10" i="9"/>
  <c r="K10" i="9" s="1"/>
  <c r="O32" i="2"/>
  <c r="Q29" i="1" s="1"/>
  <c r="O25" i="2"/>
  <c r="Q23" i="1" s="1"/>
  <c r="V23" i="1" s="1"/>
  <c r="M76" i="12"/>
  <c r="H22" i="9"/>
  <c r="K22" i="9" s="1"/>
  <c r="H30" i="9"/>
  <c r="C34" i="9"/>
  <c r="H11" i="9"/>
  <c r="K11" i="9" s="1"/>
  <c r="O40" i="2"/>
  <c r="O16" i="2"/>
  <c r="Q15" i="1" s="1"/>
  <c r="V15" i="1" s="1"/>
  <c r="M11" i="2"/>
  <c r="O11" i="2" s="1"/>
  <c r="Q10" i="1" s="1"/>
  <c r="M24" i="12"/>
  <c r="G90" i="12"/>
  <c r="M16" i="12"/>
  <c r="H50" i="9"/>
  <c r="K50" i="9" s="1"/>
  <c r="H38" i="9"/>
  <c r="H37" i="9"/>
  <c r="K37" i="9" s="1"/>
  <c r="G28" i="9"/>
  <c r="C19" i="9"/>
  <c r="G19" i="9"/>
  <c r="G52" i="9" s="1"/>
  <c r="C42" i="9"/>
  <c r="L13" i="10"/>
  <c r="I50" i="10"/>
  <c r="AI10" i="6"/>
  <c r="AH12" i="6"/>
  <c r="P11" i="10"/>
  <c r="P13" i="10"/>
  <c r="E44" i="10"/>
  <c r="AB10" i="6"/>
  <c r="M44" i="10"/>
  <c r="L44" i="10"/>
  <c r="AC10" i="6"/>
  <c r="L11" i="10"/>
  <c r="E13" i="10"/>
  <c r="Q11" i="10"/>
  <c r="AG10" i="6"/>
  <c r="Q44" i="10"/>
  <c r="I13" i="10"/>
  <c r="M50" i="10"/>
  <c r="L50" i="10"/>
  <c r="Q13" i="10"/>
  <c r="N13" i="2"/>
  <c r="D11" i="10"/>
  <c r="Q50" i="10"/>
  <c r="AC12" i="6"/>
  <c r="Y12" i="6"/>
  <c r="E12" i="3"/>
  <c r="L13" i="4"/>
  <c r="H44" i="10"/>
  <c r="P50" i="10"/>
  <c r="I11" i="10"/>
  <c r="H11" i="10"/>
  <c r="AE12" i="6"/>
  <c r="E50" i="10"/>
  <c r="H13" i="10"/>
  <c r="M11" i="10"/>
  <c r="H50" i="10"/>
  <c r="AI12" i="6"/>
  <c r="D50" i="10"/>
  <c r="D13" i="10"/>
  <c r="P44" i="10"/>
  <c r="E11" i="10"/>
  <c r="AH10" i="6"/>
  <c r="I44" i="10"/>
  <c r="M13" i="10"/>
  <c r="AB12" i="6"/>
  <c r="AA10" i="6"/>
  <c r="D10" i="6" l="1"/>
  <c r="U11" i="10"/>
  <c r="R44" i="10"/>
  <c r="F13" i="10"/>
  <c r="T13" i="10"/>
  <c r="T50" i="10"/>
  <c r="V50" i="10" s="1"/>
  <c r="F50" i="10"/>
  <c r="J50" i="10"/>
  <c r="J13" i="10"/>
  <c r="U50" i="10"/>
  <c r="J11" i="10"/>
  <c r="R50" i="10"/>
  <c r="J44" i="10"/>
  <c r="T44" i="10"/>
  <c r="V44" i="10" s="1"/>
  <c r="M13" i="4"/>
  <c r="U12" i="1" s="1"/>
  <c r="K13" i="4"/>
  <c r="N12" i="1" s="1"/>
  <c r="E12" i="19"/>
  <c r="D12" i="3"/>
  <c r="F12" i="3"/>
  <c r="T12" i="1" s="1"/>
  <c r="D12" i="1"/>
  <c r="H11" i="13"/>
  <c r="C12" i="6"/>
  <c r="E12" i="6" s="1"/>
  <c r="T11" i="10"/>
  <c r="V11" i="10" s="1"/>
  <c r="F11" i="10"/>
  <c r="R13" i="2"/>
  <c r="O13" i="2"/>
  <c r="Q12" i="1" s="1"/>
  <c r="V12" i="1" s="1"/>
  <c r="C12" i="1"/>
  <c r="E12" i="1" s="1"/>
  <c r="D11" i="13"/>
  <c r="N50" i="10"/>
  <c r="U13" i="10"/>
  <c r="N11" i="10"/>
  <c r="N44" i="10"/>
  <c r="U44" i="10"/>
  <c r="F44" i="10"/>
  <c r="R13" i="10"/>
  <c r="R11" i="10"/>
  <c r="N13" i="10"/>
  <c r="M19" i="4"/>
  <c r="U9" i="1"/>
  <c r="U18" i="1" s="1"/>
  <c r="M27" i="4"/>
  <c r="U20" i="1"/>
  <c r="U26" i="1" s="1"/>
  <c r="J40" i="17"/>
  <c r="J46" i="17" s="1"/>
  <c r="J48" i="17" s="1"/>
  <c r="F23" i="19"/>
  <c r="F45" i="4"/>
  <c r="D52" i="1"/>
  <c r="E52" i="1" s="1"/>
  <c r="H45" i="13"/>
  <c r="E31" i="19"/>
  <c r="F29" i="19"/>
  <c r="N20" i="8"/>
  <c r="N26" i="8" s="1"/>
  <c r="L26" i="8"/>
  <c r="N25" i="17"/>
  <c r="N40" i="17" s="1"/>
  <c r="N46" i="17" s="1"/>
  <c r="N48" i="17" s="1"/>
  <c r="K32" i="4"/>
  <c r="K47" i="4" s="1"/>
  <c r="K49" i="4" s="1"/>
  <c r="N28" i="1"/>
  <c r="G27" i="13"/>
  <c r="S45" i="2"/>
  <c r="T45" i="2" s="1"/>
  <c r="L38" i="1"/>
  <c r="O38" i="1" s="1"/>
  <c r="G37" i="13"/>
  <c r="M32" i="13"/>
  <c r="E32" i="13"/>
  <c r="E35" i="13" s="1"/>
  <c r="D32" i="18"/>
  <c r="M41" i="2"/>
  <c r="M43" i="2" s="1"/>
  <c r="G35" i="1"/>
  <c r="C34" i="13"/>
  <c r="O146" i="16"/>
  <c r="P163" i="14"/>
  <c r="Q163" i="14" s="1"/>
  <c r="N163" i="14"/>
  <c r="S34" i="1"/>
  <c r="I33" i="13"/>
  <c r="I33" i="18" s="1"/>
  <c r="K36" i="9"/>
  <c r="H42" i="9"/>
  <c r="T11" i="2"/>
  <c r="O31" i="2"/>
  <c r="M35" i="2"/>
  <c r="M17" i="17"/>
  <c r="M40" i="17" s="1"/>
  <c r="M46" i="17" s="1"/>
  <c r="M48" i="17" s="1"/>
  <c r="S12" i="2"/>
  <c r="D11" i="19"/>
  <c r="F11" i="19" s="1"/>
  <c r="M11" i="1"/>
  <c r="O11" i="1" s="1"/>
  <c r="G10" i="13"/>
  <c r="D48" i="19"/>
  <c r="I55" i="13" s="1"/>
  <c r="M50" i="1"/>
  <c r="O50" i="1" s="1"/>
  <c r="G44" i="13"/>
  <c r="N17" i="17"/>
  <c r="L25" i="17"/>
  <c r="L40" i="17" s="1"/>
  <c r="L46" i="17" s="1"/>
  <c r="L48" i="17" s="1"/>
  <c r="N21" i="17"/>
  <c r="M23" i="4"/>
  <c r="U22" i="1" s="1"/>
  <c r="K38" i="9"/>
  <c r="K40" i="9" s="1"/>
  <c r="H40" i="9"/>
  <c r="S39" i="2"/>
  <c r="O43" i="2"/>
  <c r="Q33" i="1"/>
  <c r="E44" i="18"/>
  <c r="L47" i="4"/>
  <c r="L49" i="4" s="1"/>
  <c r="H15" i="18"/>
  <c r="D19" i="4"/>
  <c r="L9" i="1"/>
  <c r="L18" i="1" s="1"/>
  <c r="F30" i="19"/>
  <c r="E13" i="13"/>
  <c r="M13" i="13"/>
  <c r="D13" i="18"/>
  <c r="M11" i="4"/>
  <c r="U10" i="1" s="1"/>
  <c r="F26" i="4"/>
  <c r="E21" i="1"/>
  <c r="N10" i="8"/>
  <c r="F39" i="4"/>
  <c r="S33" i="1"/>
  <c r="S36" i="1" s="1"/>
  <c r="I32" i="13"/>
  <c r="D21" i="19"/>
  <c r="S23" i="2"/>
  <c r="M21" i="1"/>
  <c r="O21" i="1" s="1"/>
  <c r="G20" i="13"/>
  <c r="J20" i="13" s="1"/>
  <c r="J20" i="18" s="1"/>
  <c r="J42" i="13"/>
  <c r="J42" i="18" s="1"/>
  <c r="M42" i="13"/>
  <c r="N42" i="13" s="1"/>
  <c r="H42" i="18"/>
  <c r="M42" i="18" s="1"/>
  <c r="E16" i="13"/>
  <c r="M16" i="13"/>
  <c r="D16" i="18"/>
  <c r="E16" i="1"/>
  <c r="N29" i="1"/>
  <c r="O29" i="1" s="1"/>
  <c r="G28" i="13"/>
  <c r="J28" i="13" s="1"/>
  <c r="J28" i="18" s="1"/>
  <c r="E23" i="6"/>
  <c r="O29" i="2"/>
  <c r="Q20" i="1"/>
  <c r="L46" i="10"/>
  <c r="L56" i="10" s="1"/>
  <c r="L60" i="10" s="1"/>
  <c r="E41" i="6"/>
  <c r="V19" i="10"/>
  <c r="V37" i="10"/>
  <c r="V23" i="10"/>
  <c r="E46" i="10"/>
  <c r="E56" i="10" s="1"/>
  <c r="E60" i="10" s="1"/>
  <c r="V39" i="10"/>
  <c r="O45" i="6"/>
  <c r="J55" i="6"/>
  <c r="J21" i="13"/>
  <c r="J21" i="18" s="1"/>
  <c r="H21" i="18"/>
  <c r="D37" i="3"/>
  <c r="D35" i="19"/>
  <c r="R29" i="2"/>
  <c r="G16" i="13"/>
  <c r="L17" i="1"/>
  <c r="O17" i="1" s="1"/>
  <c r="H14" i="18"/>
  <c r="H19" i="9"/>
  <c r="S10" i="1"/>
  <c r="V10" i="1" s="1"/>
  <c r="I9" i="13"/>
  <c r="I9" i="18" s="1"/>
  <c r="D13" i="19"/>
  <c r="F13" i="19" s="1"/>
  <c r="S14" i="2"/>
  <c r="G12" i="13"/>
  <c r="M13" i="1"/>
  <c r="O13" i="1" s="1"/>
  <c r="D36" i="19"/>
  <c r="S40" i="2"/>
  <c r="S30" i="1"/>
  <c r="I29" i="13"/>
  <c r="I29" i="18" s="1"/>
  <c r="M14" i="13"/>
  <c r="E14" i="13"/>
  <c r="D14" i="18"/>
  <c r="D27" i="4"/>
  <c r="L20" i="1"/>
  <c r="L26" i="1" s="1"/>
  <c r="S25" i="2"/>
  <c r="D23" i="19"/>
  <c r="M23" i="1"/>
  <c r="O23" i="1" s="1"/>
  <c r="G22" i="13"/>
  <c r="J22" i="13" s="1"/>
  <c r="J22" i="18" s="1"/>
  <c r="H16" i="18"/>
  <c r="E22" i="1"/>
  <c r="D9" i="19"/>
  <c r="D18" i="19" s="1"/>
  <c r="D18" i="3"/>
  <c r="G8" i="13"/>
  <c r="M9" i="1"/>
  <c r="F18" i="4"/>
  <c r="D22" i="19"/>
  <c r="F22" i="19" s="1"/>
  <c r="G21" i="13"/>
  <c r="G21" i="18" s="1"/>
  <c r="M22" i="1"/>
  <c r="H35" i="13"/>
  <c r="H32" i="18"/>
  <c r="H35" i="18" s="1"/>
  <c r="T39" i="2"/>
  <c r="E29" i="13"/>
  <c r="E30" i="13" s="1"/>
  <c r="M29" i="13"/>
  <c r="D29" i="18"/>
  <c r="T40" i="2"/>
  <c r="F41" i="4"/>
  <c r="E34" i="1"/>
  <c r="N35" i="8"/>
  <c r="N37" i="8" s="1"/>
  <c r="L37" i="8"/>
  <c r="C36" i="1"/>
  <c r="E33" i="1"/>
  <c r="E36" i="1" s="1"/>
  <c r="E28" i="1"/>
  <c r="E31" i="1" s="1"/>
  <c r="D31" i="1"/>
  <c r="D44" i="1" s="1"/>
  <c r="D54" i="1" s="1"/>
  <c r="D58" i="1" s="1"/>
  <c r="T12" i="2"/>
  <c r="J46" i="10"/>
  <c r="J56" i="10" s="1"/>
  <c r="J60" i="10" s="1"/>
  <c r="C19" i="6"/>
  <c r="E9" i="6"/>
  <c r="E19" i="6" s="1"/>
  <c r="V48" i="10"/>
  <c r="V30" i="10"/>
  <c r="V34" i="10" s="1"/>
  <c r="T34" i="10"/>
  <c r="V54" i="10"/>
  <c r="D46" i="10"/>
  <c r="D56" i="10" s="1"/>
  <c r="D60" i="10" s="1"/>
  <c r="G45" i="13"/>
  <c r="L52" i="1"/>
  <c r="O52" i="1" s="1"/>
  <c r="J12" i="13"/>
  <c r="J12" i="18" s="1"/>
  <c r="M12" i="13"/>
  <c r="H12" i="18"/>
  <c r="M12" i="18" s="1"/>
  <c r="H33" i="18"/>
  <c r="T23" i="2"/>
  <c r="C39" i="6"/>
  <c r="E35" i="6"/>
  <c r="E39" i="6" s="1"/>
  <c r="E10" i="6"/>
  <c r="D31" i="19"/>
  <c r="F28" i="19"/>
  <c r="K27" i="4"/>
  <c r="N20" i="1"/>
  <c r="N26" i="1" s="1"/>
  <c r="M33" i="13"/>
  <c r="E33" i="13"/>
  <c r="D33" i="18"/>
  <c r="J27" i="13"/>
  <c r="H30" i="13"/>
  <c r="M27" i="13"/>
  <c r="M30" i="13" s="1"/>
  <c r="H27" i="18"/>
  <c r="K21" i="9"/>
  <c r="O20" i="1"/>
  <c r="N42" i="18"/>
  <c r="F36" i="3"/>
  <c r="D32" i="4"/>
  <c r="L30" i="1"/>
  <c r="L31" i="1" s="1"/>
  <c r="D16" i="19"/>
  <c r="F16" i="19" s="1"/>
  <c r="M16" i="1"/>
  <c r="O16" i="1" s="1"/>
  <c r="G15" i="13"/>
  <c r="M22" i="4"/>
  <c r="U21" i="1" s="1"/>
  <c r="H29" i="18"/>
  <c r="F34" i="19"/>
  <c r="F48" i="19"/>
  <c r="T25" i="2"/>
  <c r="F16" i="4"/>
  <c r="M21" i="13"/>
  <c r="D21" i="18"/>
  <c r="M17" i="4"/>
  <c r="U16" i="1" s="1"/>
  <c r="F9" i="19"/>
  <c r="F18" i="19" s="1"/>
  <c r="E18" i="19"/>
  <c r="S21" i="1"/>
  <c r="I20" i="13"/>
  <c r="I20" i="18" s="1"/>
  <c r="D17" i="13"/>
  <c r="E8" i="13"/>
  <c r="E17" i="13" s="1"/>
  <c r="M8" i="13"/>
  <c r="M17" i="13" s="1"/>
  <c r="D8" i="18"/>
  <c r="C35" i="1"/>
  <c r="E35" i="1" s="1"/>
  <c r="D34" i="13"/>
  <c r="D35" i="13" s="1"/>
  <c r="E30" i="1"/>
  <c r="C31" i="1"/>
  <c r="E24" i="13"/>
  <c r="D24" i="18"/>
  <c r="M24" i="13"/>
  <c r="N43" i="2"/>
  <c r="N53" i="2" s="1"/>
  <c r="H44" i="8"/>
  <c r="H48" i="8" s="1"/>
  <c r="T31" i="2"/>
  <c r="T35" i="2" s="1"/>
  <c r="R35" i="2"/>
  <c r="D15" i="19"/>
  <c r="S16" i="2"/>
  <c r="M15" i="1"/>
  <c r="O15" i="1" s="1"/>
  <c r="G14" i="13"/>
  <c r="N36" i="8"/>
  <c r="Q46" i="10"/>
  <c r="Q56" i="10" s="1"/>
  <c r="Q60" i="10" s="1"/>
  <c r="E21" i="6"/>
  <c r="E27" i="6" s="1"/>
  <c r="C27" i="6"/>
  <c r="E29" i="6"/>
  <c r="E33" i="6" s="1"/>
  <c r="C33" i="6"/>
  <c r="T20" i="10"/>
  <c r="V10" i="10"/>
  <c r="V20" i="10" s="1"/>
  <c r="V46" i="10" s="1"/>
  <c r="V56" i="10" s="1"/>
  <c r="V60" i="10" s="1"/>
  <c r="P46" i="10"/>
  <c r="P56" i="10" s="1"/>
  <c r="P60" i="10" s="1"/>
  <c r="F26" i="3"/>
  <c r="T20" i="1"/>
  <c r="T26" i="1" s="1"/>
  <c r="I28" i="13"/>
  <c r="I28" i="18" s="1"/>
  <c r="S29" i="1"/>
  <c r="N22" i="8"/>
  <c r="F36" i="19"/>
  <c r="S16" i="1"/>
  <c r="I15" i="13"/>
  <c r="I15" i="18" s="1"/>
  <c r="H25" i="13"/>
  <c r="H19" i="18"/>
  <c r="H25" i="18" s="1"/>
  <c r="D34" i="19"/>
  <c r="D38" i="19" s="1"/>
  <c r="D38" i="3"/>
  <c r="M34" i="1"/>
  <c r="S38" i="2"/>
  <c r="T38" i="2" s="1"/>
  <c r="G33" i="13"/>
  <c r="F48" i="8"/>
  <c r="T24" i="2"/>
  <c r="I38" i="13"/>
  <c r="I38" i="18" s="1"/>
  <c r="S42" i="1"/>
  <c r="V42" i="1" s="1"/>
  <c r="K39" i="4"/>
  <c r="N33" i="1"/>
  <c r="G32" i="13"/>
  <c r="M9" i="13"/>
  <c r="J9" i="13"/>
  <c r="J9" i="18" s="1"/>
  <c r="H9" i="18"/>
  <c r="M9" i="18" s="1"/>
  <c r="F22" i="3"/>
  <c r="T22" i="1" s="1"/>
  <c r="E9" i="1"/>
  <c r="E18" i="1" s="1"/>
  <c r="C18" i="1"/>
  <c r="E44" i="13"/>
  <c r="M44" i="13"/>
  <c r="D44" i="18"/>
  <c r="M44" i="18" s="1"/>
  <c r="N30" i="8"/>
  <c r="E25" i="1"/>
  <c r="N42" i="8"/>
  <c r="T37" i="2"/>
  <c r="T43" i="2" s="1"/>
  <c r="R43" i="2"/>
  <c r="J48" i="8"/>
  <c r="E47" i="4"/>
  <c r="E51" i="4" s="1"/>
  <c r="V25" i="10"/>
  <c r="I46" i="10"/>
  <c r="I56" i="10" s="1"/>
  <c r="I60" i="10" s="1"/>
  <c r="V36" i="10"/>
  <c r="V40" i="10" s="1"/>
  <c r="T40" i="10"/>
  <c r="E36" i="6"/>
  <c r="V38" i="10"/>
  <c r="V17" i="10"/>
  <c r="F46" i="10"/>
  <c r="F56" i="10" s="1"/>
  <c r="F60" i="10" s="1"/>
  <c r="R46" i="10"/>
  <c r="R56" i="10" s="1"/>
  <c r="R60" i="10" s="1"/>
  <c r="D25" i="19"/>
  <c r="F25" i="19" s="1"/>
  <c r="S27" i="2"/>
  <c r="M25" i="1"/>
  <c r="O25" i="1" s="1"/>
  <c r="G24" i="13"/>
  <c r="F27" i="4"/>
  <c r="S20" i="1"/>
  <c r="S26" i="1" s="1"/>
  <c r="I19" i="13"/>
  <c r="F21" i="19"/>
  <c r="K19" i="9"/>
  <c r="F25" i="3"/>
  <c r="T25" i="1" s="1"/>
  <c r="M22" i="13"/>
  <c r="E22" i="13"/>
  <c r="D22" i="18"/>
  <c r="S12" i="1"/>
  <c r="I11" i="13"/>
  <c r="I11" i="18" s="1"/>
  <c r="E37" i="19"/>
  <c r="D35" i="1"/>
  <c r="H34" i="13"/>
  <c r="H34" i="9"/>
  <c r="K30" i="9"/>
  <c r="K34" i="9" s="1"/>
  <c r="O42" i="1"/>
  <c r="E26" i="19"/>
  <c r="J38" i="13"/>
  <c r="J38" i="18" s="1"/>
  <c r="H38" i="18"/>
  <c r="S23" i="1"/>
  <c r="I22" i="13"/>
  <c r="I22" i="18" s="1"/>
  <c r="L42" i="1"/>
  <c r="G38" i="13"/>
  <c r="H20" i="18"/>
  <c r="D10" i="19"/>
  <c r="F10" i="19" s="1"/>
  <c r="M10" i="1"/>
  <c r="O10" i="1" s="1"/>
  <c r="G9" i="13"/>
  <c r="M28" i="13"/>
  <c r="H28" i="18"/>
  <c r="M28" i="18" s="1"/>
  <c r="F33" i="19"/>
  <c r="F38" i="19" s="1"/>
  <c r="E38" i="19"/>
  <c r="E50" i="1"/>
  <c r="K19" i="4"/>
  <c r="N9" i="1"/>
  <c r="N18" i="1" s="1"/>
  <c r="T27" i="2"/>
  <c r="I21" i="13"/>
  <c r="I21" i="18" s="1"/>
  <c r="S22" i="1"/>
  <c r="M37" i="13"/>
  <c r="E37" i="13"/>
  <c r="D37" i="18"/>
  <c r="F12" i="4"/>
  <c r="F32" i="4"/>
  <c r="S28" i="1"/>
  <c r="S31" i="1" s="1"/>
  <c r="I27" i="13"/>
  <c r="F15" i="19"/>
  <c r="E14" i="6"/>
  <c r="D25" i="13"/>
  <c r="E19" i="13"/>
  <c r="E25" i="13" s="1"/>
  <c r="M19" i="13"/>
  <c r="M25" i="13" s="1"/>
  <c r="D19" i="18"/>
  <c r="V22" i="10"/>
  <c r="V28" i="10" s="1"/>
  <c r="T28" i="10"/>
  <c r="E31" i="6"/>
  <c r="H23" i="9"/>
  <c r="K23" i="9" s="1"/>
  <c r="C28" i="9"/>
  <c r="C52" i="9" s="1"/>
  <c r="E53" i="13" s="1"/>
  <c r="O20" i="2"/>
  <c r="Q9" i="1"/>
  <c r="M32" i="4"/>
  <c r="U28" i="1"/>
  <c r="U31" i="1" s="1"/>
  <c r="H10" i="18"/>
  <c r="S35" i="1"/>
  <c r="I34" i="13"/>
  <c r="I34" i="18" s="1"/>
  <c r="M24" i="2"/>
  <c r="S24" i="2"/>
  <c r="J29" i="2"/>
  <c r="G22" i="1"/>
  <c r="C21" i="13"/>
  <c r="E21" i="13" s="1"/>
  <c r="T14" i="2"/>
  <c r="D26" i="3"/>
  <c r="S22" i="2"/>
  <c r="S29" i="2" s="1"/>
  <c r="D20" i="19"/>
  <c r="D26" i="19" s="1"/>
  <c r="M20" i="1"/>
  <c r="M26" i="1" s="1"/>
  <c r="G19" i="13"/>
  <c r="H44" i="18"/>
  <c r="D14" i="19"/>
  <c r="F14" i="19" s="1"/>
  <c r="S15" i="2"/>
  <c r="T15" i="2" s="1"/>
  <c r="M14" i="1"/>
  <c r="O14" i="1" s="1"/>
  <c r="G13" i="13"/>
  <c r="F18" i="3"/>
  <c r="T9" i="1"/>
  <c r="T18" i="1" s="1"/>
  <c r="T18" i="2"/>
  <c r="D24" i="19"/>
  <c r="F24" i="19" s="1"/>
  <c r="M24" i="1"/>
  <c r="O24" i="1" s="1"/>
  <c r="G23" i="13"/>
  <c r="J23" i="13" s="1"/>
  <c r="J23" i="18" s="1"/>
  <c r="L31" i="8"/>
  <c r="N28" i="8"/>
  <c r="N31" i="8" s="1"/>
  <c r="H46" i="10"/>
  <c r="H56" i="10" s="1"/>
  <c r="H60" i="10" s="1"/>
  <c r="J53" i="2"/>
  <c r="Q45" i="14"/>
  <c r="T16" i="2"/>
  <c r="D52" i="9"/>
  <c r="S33" i="2"/>
  <c r="T33" i="2" s="1"/>
  <c r="M33" i="2"/>
  <c r="O33" i="2" s="1"/>
  <c r="Q30" i="1" s="1"/>
  <c r="V30" i="1" s="1"/>
  <c r="G30" i="1"/>
  <c r="C29" i="13"/>
  <c r="Q156" i="14"/>
  <c r="H37" i="18"/>
  <c r="D44" i="8"/>
  <c r="D48" i="8" s="1"/>
  <c r="V29" i="1"/>
  <c r="P146" i="16"/>
  <c r="H24" i="18"/>
  <c r="F19" i="4"/>
  <c r="S9" i="1"/>
  <c r="S18" i="1" s="1"/>
  <c r="S44" i="1" s="1"/>
  <c r="S54" i="1" s="1"/>
  <c r="S58" i="1" s="1"/>
  <c r="I8" i="13"/>
  <c r="H22" i="18"/>
  <c r="D30" i="19"/>
  <c r="G29" i="13"/>
  <c r="G29" i="18" s="1"/>
  <c r="M30" i="1"/>
  <c r="M31" i="1" s="1"/>
  <c r="E14" i="1"/>
  <c r="N9" i="8"/>
  <c r="N18" i="8" s="1"/>
  <c r="L18" i="8"/>
  <c r="H13" i="18"/>
  <c r="M20" i="13"/>
  <c r="E20" i="13"/>
  <c r="D20" i="18"/>
  <c r="E44" i="8"/>
  <c r="E48" i="8" s="1"/>
  <c r="H17" i="13"/>
  <c r="H40" i="13" s="1"/>
  <c r="H46" i="13" s="1"/>
  <c r="H48" i="13" s="1"/>
  <c r="H8" i="18"/>
  <c r="H17" i="18" s="1"/>
  <c r="M34" i="4"/>
  <c r="F38" i="3"/>
  <c r="T33" i="1"/>
  <c r="T36" i="1" s="1"/>
  <c r="T10" i="2"/>
  <c r="T20" i="2" s="1"/>
  <c r="R20" i="2"/>
  <c r="F35" i="19"/>
  <c r="F37" i="19" s="1"/>
  <c r="S14" i="1"/>
  <c r="I13" i="13"/>
  <c r="I13" i="18" s="1"/>
  <c r="M23" i="13"/>
  <c r="H23" i="18"/>
  <c r="M23" i="18" s="1"/>
  <c r="N13" i="8"/>
  <c r="N33" i="8"/>
  <c r="N38" i="8" s="1"/>
  <c r="L38" i="8"/>
  <c r="M15" i="13"/>
  <c r="D15" i="18"/>
  <c r="E15" i="13"/>
  <c r="N25" i="8"/>
  <c r="M24" i="4"/>
  <c r="U23" i="1" s="1"/>
  <c r="E38" i="1"/>
  <c r="N29" i="8"/>
  <c r="N17" i="8"/>
  <c r="M10" i="13"/>
  <c r="E10" i="13"/>
  <c r="D10" i="18"/>
  <c r="E18" i="6"/>
  <c r="E22" i="6"/>
  <c r="E20" i="1"/>
  <c r="E26" i="1" s="1"/>
  <c r="C26" i="1"/>
  <c r="V16" i="10"/>
  <c r="N46" i="10"/>
  <c r="N56" i="10" s="1"/>
  <c r="N60" i="10" s="1"/>
  <c r="N34" i="8"/>
  <c r="L13" i="13" l="1"/>
  <c r="N13" i="13" s="1"/>
  <c r="G13" i="18"/>
  <c r="L13" i="18" s="1"/>
  <c r="G44" i="18"/>
  <c r="L44" i="18" s="1"/>
  <c r="N44" i="18" s="1"/>
  <c r="L44" i="13"/>
  <c r="N44" i="13" s="1"/>
  <c r="K51" i="4"/>
  <c r="G43" i="13"/>
  <c r="N48" i="1"/>
  <c r="O48" i="1" s="1"/>
  <c r="G60" i="1"/>
  <c r="E54" i="13"/>
  <c r="E57" i="13" s="1"/>
  <c r="S15" i="1"/>
  <c r="I14" i="13"/>
  <c r="M33" i="18"/>
  <c r="E33" i="18"/>
  <c r="E14" i="18"/>
  <c r="M14" i="18"/>
  <c r="E20" i="18"/>
  <c r="M20" i="18"/>
  <c r="M22" i="18"/>
  <c r="E22" i="18"/>
  <c r="M36" i="1"/>
  <c r="O34" i="1"/>
  <c r="M10" i="18"/>
  <c r="E10" i="18"/>
  <c r="L29" i="13"/>
  <c r="N29" i="13" s="1"/>
  <c r="C29" i="18"/>
  <c r="C30" i="13"/>
  <c r="J22" i="1"/>
  <c r="G26" i="1"/>
  <c r="G44" i="1" s="1"/>
  <c r="G54" i="1" s="1"/>
  <c r="G58" i="1" s="1"/>
  <c r="C44" i="1"/>
  <c r="C54" i="1" s="1"/>
  <c r="C58" i="1" s="1"/>
  <c r="T46" i="10"/>
  <c r="T56" i="10" s="1"/>
  <c r="T60" i="10" s="1"/>
  <c r="E24" i="18"/>
  <c r="M24" i="18"/>
  <c r="D44" i="19"/>
  <c r="J13" i="13"/>
  <c r="J13" i="18" s="1"/>
  <c r="F44" i="3"/>
  <c r="F50" i="3" s="1"/>
  <c r="V9" i="1"/>
  <c r="V18" i="1" s="1"/>
  <c r="Q18" i="1"/>
  <c r="S11" i="1"/>
  <c r="I10" i="13"/>
  <c r="M38" i="18"/>
  <c r="F31" i="19"/>
  <c r="M29" i="18"/>
  <c r="D30" i="18"/>
  <c r="D37" i="19"/>
  <c r="G34" i="13"/>
  <c r="G34" i="18" s="1"/>
  <c r="M35" i="1"/>
  <c r="D35" i="18"/>
  <c r="M32" i="18"/>
  <c r="M35" i="18" s="1"/>
  <c r="E32" i="18"/>
  <c r="E35" i="18" s="1"/>
  <c r="N31" i="1"/>
  <c r="N44" i="1" s="1"/>
  <c r="N54" i="1" s="1"/>
  <c r="N58" i="1" s="1"/>
  <c r="O28" i="1"/>
  <c r="I25" i="13"/>
  <c r="I19" i="18"/>
  <c r="I25" i="18" s="1"/>
  <c r="L33" i="13"/>
  <c r="N33" i="13" s="1"/>
  <c r="G33" i="18"/>
  <c r="L33" i="18" s="1"/>
  <c r="N33" i="18" s="1"/>
  <c r="E44" i="19"/>
  <c r="E50" i="19" s="1"/>
  <c r="C45" i="6"/>
  <c r="C55" i="6" s="1"/>
  <c r="C59" i="6" s="1"/>
  <c r="M18" i="1"/>
  <c r="O9" i="1"/>
  <c r="L22" i="13"/>
  <c r="N22" i="13" s="1"/>
  <c r="G22" i="18"/>
  <c r="L22" i="18" s="1"/>
  <c r="N22" i="18" s="1"/>
  <c r="G16" i="18"/>
  <c r="L16" i="18" s="1"/>
  <c r="L16" i="13"/>
  <c r="N16" i="13" s="1"/>
  <c r="L44" i="1"/>
  <c r="L54" i="1" s="1"/>
  <c r="L58" i="1" s="1"/>
  <c r="Q146" i="16"/>
  <c r="J11" i="13"/>
  <c r="J11" i="18" s="1"/>
  <c r="H11" i="18"/>
  <c r="V13" i="10"/>
  <c r="L44" i="8"/>
  <c r="L48" i="8" s="1"/>
  <c r="I45" i="13"/>
  <c r="I45" i="18" s="1"/>
  <c r="S52" i="1"/>
  <c r="V52" i="1" s="1"/>
  <c r="J19" i="13"/>
  <c r="M35" i="13"/>
  <c r="M40" i="13" s="1"/>
  <c r="M46" i="13" s="1"/>
  <c r="M48" i="13" s="1"/>
  <c r="G32" i="18"/>
  <c r="L32" i="13"/>
  <c r="E8" i="18"/>
  <c r="E17" i="18" s="1"/>
  <c r="D17" i="18"/>
  <c r="M8" i="18"/>
  <c r="M17" i="18" s="1"/>
  <c r="F44" i="19"/>
  <c r="F50" i="19" s="1"/>
  <c r="H28" i="9"/>
  <c r="H52" i="9" s="1"/>
  <c r="L45" i="13"/>
  <c r="G45" i="18"/>
  <c r="L45" i="18" s="1"/>
  <c r="G17" i="13"/>
  <c r="G8" i="18"/>
  <c r="L8" i="13"/>
  <c r="J59" i="6"/>
  <c r="O59" i="6" s="1"/>
  <c r="O55" i="6"/>
  <c r="M16" i="18"/>
  <c r="E16" i="18"/>
  <c r="G10" i="18"/>
  <c r="L10" i="18" s="1"/>
  <c r="N10" i="18" s="1"/>
  <c r="L10" i="13"/>
  <c r="N10" i="13" s="1"/>
  <c r="S35" i="2"/>
  <c r="G37" i="18"/>
  <c r="L37" i="18" s="1"/>
  <c r="N37" i="18" s="1"/>
  <c r="L37" i="13"/>
  <c r="N37" i="13" s="1"/>
  <c r="M11" i="13"/>
  <c r="D11" i="18"/>
  <c r="E11" i="13"/>
  <c r="E37" i="18"/>
  <c r="M37" i="18"/>
  <c r="L15" i="13"/>
  <c r="N15" i="13" s="1"/>
  <c r="G15" i="18"/>
  <c r="L15" i="18" s="1"/>
  <c r="M53" i="2"/>
  <c r="N44" i="8"/>
  <c r="N48" i="8" s="1"/>
  <c r="S17" i="1"/>
  <c r="I16" i="13"/>
  <c r="G20" i="18"/>
  <c r="L20" i="18" s="1"/>
  <c r="N20" i="18" s="1"/>
  <c r="L20" i="13"/>
  <c r="N20" i="13" s="1"/>
  <c r="I30" i="13"/>
  <c r="I27" i="18"/>
  <c r="I30" i="18" s="1"/>
  <c r="D47" i="4"/>
  <c r="D51" i="4" s="1"/>
  <c r="K28" i="9"/>
  <c r="K52" i="9" s="1"/>
  <c r="S38" i="1"/>
  <c r="I37" i="13"/>
  <c r="D44" i="3"/>
  <c r="D50" i="3" s="1"/>
  <c r="T22" i="2"/>
  <c r="T29" i="2" s="1"/>
  <c r="Q26" i="1"/>
  <c r="V20" i="1"/>
  <c r="V26" i="1" s="1"/>
  <c r="S25" i="1"/>
  <c r="I24" i="13"/>
  <c r="K42" i="9"/>
  <c r="C34" i="18"/>
  <c r="C35" i="13"/>
  <c r="E45" i="6"/>
  <c r="E55" i="6" s="1"/>
  <c r="E59" i="6" s="1"/>
  <c r="L12" i="13"/>
  <c r="N12" i="13" s="1"/>
  <c r="G12" i="18"/>
  <c r="L12" i="18" s="1"/>
  <c r="N12" i="18" s="1"/>
  <c r="G38" i="18"/>
  <c r="L38" i="13"/>
  <c r="N38" i="13" s="1"/>
  <c r="L24" i="13"/>
  <c r="N24" i="13" s="1"/>
  <c r="G24" i="18"/>
  <c r="L24" i="18" s="1"/>
  <c r="N24" i="18" s="1"/>
  <c r="G14" i="18"/>
  <c r="L14" i="18" s="1"/>
  <c r="N14" i="18" s="1"/>
  <c r="L14" i="13"/>
  <c r="N14" i="13" s="1"/>
  <c r="J15" i="13"/>
  <c r="J15" i="18" s="1"/>
  <c r="Q36" i="1"/>
  <c r="V33" i="1"/>
  <c r="V36" i="1" s="1"/>
  <c r="G36" i="1"/>
  <c r="J35" i="1"/>
  <c r="D12" i="19"/>
  <c r="S13" i="2"/>
  <c r="M12" i="1"/>
  <c r="O12" i="1" s="1"/>
  <c r="G11" i="13"/>
  <c r="I8" i="18"/>
  <c r="I17" i="18" s="1"/>
  <c r="I17" i="13"/>
  <c r="O24" i="2"/>
  <c r="Q22" i="1" s="1"/>
  <c r="V22" i="1" s="1"/>
  <c r="M29" i="2"/>
  <c r="J30" i="13"/>
  <c r="J27" i="18"/>
  <c r="J30" i="18" s="1"/>
  <c r="G28" i="18"/>
  <c r="L28" i="18" s="1"/>
  <c r="N28" i="18" s="1"/>
  <c r="L28" i="13"/>
  <c r="N28" i="13" s="1"/>
  <c r="J8" i="13"/>
  <c r="F20" i="19"/>
  <c r="F26" i="19" s="1"/>
  <c r="E34" i="13"/>
  <c r="M34" i="13"/>
  <c r="D34" i="18"/>
  <c r="O35" i="2"/>
  <c r="O53" i="2" s="1"/>
  <c r="Q28" i="1"/>
  <c r="G23" i="18"/>
  <c r="L23" i="18" s="1"/>
  <c r="N23" i="18" s="1"/>
  <c r="L23" i="13"/>
  <c r="N23" i="13" s="1"/>
  <c r="L21" i="13"/>
  <c r="N21" i="13" s="1"/>
  <c r="C21" i="18"/>
  <c r="C25" i="13"/>
  <c r="N36" i="1"/>
  <c r="O33" i="1"/>
  <c r="J44" i="13"/>
  <c r="J44" i="18" s="1"/>
  <c r="E40" i="13"/>
  <c r="E46" i="13" s="1"/>
  <c r="E48" i="13" s="1"/>
  <c r="M21" i="18"/>
  <c r="M27" i="18"/>
  <c r="M30" i="18" s="1"/>
  <c r="H30" i="18"/>
  <c r="H40" i="18" s="1"/>
  <c r="H46" i="18" s="1"/>
  <c r="H48" i="18" s="1"/>
  <c r="J32" i="13"/>
  <c r="E15" i="18"/>
  <c r="M15" i="18"/>
  <c r="M39" i="4"/>
  <c r="U33" i="1"/>
  <c r="U36" i="1" s="1"/>
  <c r="U44" i="1" s="1"/>
  <c r="U54" i="1" s="1"/>
  <c r="U58" i="1" s="1"/>
  <c r="S43" i="2"/>
  <c r="J30" i="1"/>
  <c r="G31" i="1"/>
  <c r="T44" i="1"/>
  <c r="T54" i="1" s="1"/>
  <c r="T58" i="1" s="1"/>
  <c r="G25" i="13"/>
  <c r="G19" i="18"/>
  <c r="L19" i="13"/>
  <c r="M47" i="4"/>
  <c r="D25" i="18"/>
  <c r="D40" i="18" s="1"/>
  <c r="D46" i="18" s="1"/>
  <c r="D48" i="18" s="1"/>
  <c r="M19" i="18"/>
  <c r="M25" i="18" s="1"/>
  <c r="E19" i="18"/>
  <c r="E25" i="18" s="1"/>
  <c r="F47" i="4"/>
  <c r="F51" i="4" s="1"/>
  <c r="L9" i="13"/>
  <c r="N9" i="13" s="1"/>
  <c r="G9" i="18"/>
  <c r="L9" i="18" s="1"/>
  <c r="N9" i="18" s="1"/>
  <c r="J34" i="13"/>
  <c r="J34" i="18" s="1"/>
  <c r="H34" i="18"/>
  <c r="E44" i="1"/>
  <c r="E54" i="1" s="1"/>
  <c r="E58" i="1" s="1"/>
  <c r="D40" i="13"/>
  <c r="D46" i="13" s="1"/>
  <c r="D48" i="13" s="1"/>
  <c r="F17" i="13"/>
  <c r="J29" i="13"/>
  <c r="J29" i="18" s="1"/>
  <c r="J33" i="13"/>
  <c r="J33" i="18" s="1"/>
  <c r="I35" i="13"/>
  <c r="I32" i="18"/>
  <c r="I35" i="18" s="1"/>
  <c r="E13" i="18"/>
  <c r="M13" i="18"/>
  <c r="L51" i="4"/>
  <c r="M49" i="4"/>
  <c r="D48" i="1"/>
  <c r="E48" i="1" s="1"/>
  <c r="H43" i="13"/>
  <c r="G30" i="13"/>
  <c r="G27" i="18"/>
  <c r="L27" i="13"/>
  <c r="M45" i="13"/>
  <c r="H45" i="18"/>
  <c r="M45" i="18" s="1"/>
  <c r="T13" i="2"/>
  <c r="F12" i="19"/>
  <c r="L43" i="13" l="1"/>
  <c r="G43" i="18"/>
  <c r="L43" i="18" s="1"/>
  <c r="G11" i="18"/>
  <c r="L11" i="18" s="1"/>
  <c r="N11" i="18" s="1"/>
  <c r="L11" i="13"/>
  <c r="N11" i="13" s="1"/>
  <c r="J25" i="13"/>
  <c r="J19" i="18"/>
  <c r="J25" i="18" s="1"/>
  <c r="V28" i="1"/>
  <c r="V31" i="1" s="1"/>
  <c r="V44" i="1" s="1"/>
  <c r="V54" i="1" s="1"/>
  <c r="V58" i="1" s="1"/>
  <c r="Q31" i="1"/>
  <c r="J35" i="13"/>
  <c r="J32" i="18"/>
  <c r="J35" i="18" s="1"/>
  <c r="O35" i="1"/>
  <c r="J36" i="1"/>
  <c r="O36" i="1" s="1"/>
  <c r="N32" i="13"/>
  <c r="N35" i="13" s="1"/>
  <c r="L30" i="13"/>
  <c r="N27" i="13"/>
  <c r="N30" i="13" s="1"/>
  <c r="O30" i="1"/>
  <c r="J31" i="1"/>
  <c r="O31" i="1" s="1"/>
  <c r="I40" i="13"/>
  <c r="I46" i="13" s="1"/>
  <c r="I48" i="13" s="1"/>
  <c r="L38" i="18"/>
  <c r="N45" i="13"/>
  <c r="G35" i="13"/>
  <c r="G40" i="13" s="1"/>
  <c r="G46" i="13" s="1"/>
  <c r="M11" i="18"/>
  <c r="E11" i="18"/>
  <c r="Q44" i="1"/>
  <c r="Q54" i="1" s="1"/>
  <c r="Q58" i="1" s="1"/>
  <c r="J43" i="13"/>
  <c r="J43" i="18" s="1"/>
  <c r="M43" i="13"/>
  <c r="H43" i="18"/>
  <c r="M43" i="18" s="1"/>
  <c r="N15" i="18"/>
  <c r="O22" i="1"/>
  <c r="J26" i="1"/>
  <c r="I24" i="18"/>
  <c r="J24" i="13"/>
  <c r="J24" i="18" s="1"/>
  <c r="G25" i="18"/>
  <c r="L19" i="18"/>
  <c r="L17" i="13"/>
  <c r="N8" i="13"/>
  <c r="N17" i="13" s="1"/>
  <c r="N40" i="13" s="1"/>
  <c r="N46" i="13" s="1"/>
  <c r="N48" i="13" s="1"/>
  <c r="I14" i="18"/>
  <c r="J14" i="13"/>
  <c r="J14" i="18" s="1"/>
  <c r="G17" i="18"/>
  <c r="L8" i="18"/>
  <c r="N16" i="18"/>
  <c r="D50" i="19"/>
  <c r="I54" i="13"/>
  <c r="I57" i="13" s="1"/>
  <c r="E29" i="18"/>
  <c r="E30" i="18" s="1"/>
  <c r="E40" i="18" s="1"/>
  <c r="E46" i="18" s="1"/>
  <c r="E48" i="18" s="1"/>
  <c r="L29" i="18"/>
  <c r="N29" i="18" s="1"/>
  <c r="C30" i="18"/>
  <c r="N13" i="18"/>
  <c r="G30" i="18"/>
  <c r="L27" i="18"/>
  <c r="N19" i="13"/>
  <c r="N25" i="13" s="1"/>
  <c r="L25" i="13"/>
  <c r="E34" i="18"/>
  <c r="L34" i="18"/>
  <c r="C35" i="18"/>
  <c r="M40" i="18"/>
  <c r="M46" i="18" s="1"/>
  <c r="M48" i="18" s="1"/>
  <c r="J17" i="13"/>
  <c r="J8" i="18"/>
  <c r="J17" i="18" s="1"/>
  <c r="M44" i="1"/>
  <c r="M54" i="1" s="1"/>
  <c r="M58" i="1" s="1"/>
  <c r="O18" i="1"/>
  <c r="M51" i="4"/>
  <c r="U48" i="1"/>
  <c r="V48" i="1" s="1"/>
  <c r="M34" i="18"/>
  <c r="C40" i="13"/>
  <c r="C46" i="13" s="1"/>
  <c r="C48" i="13" s="1"/>
  <c r="E61" i="13" s="1"/>
  <c r="E63" i="13" s="1"/>
  <c r="J45" i="13"/>
  <c r="J45" i="18" s="1"/>
  <c r="L21" i="18"/>
  <c r="N21" i="18" s="1"/>
  <c r="E21" i="18"/>
  <c r="C25" i="18"/>
  <c r="L34" i="13"/>
  <c r="N34" i="13" s="1"/>
  <c r="I37" i="18"/>
  <c r="I40" i="18" s="1"/>
  <c r="I46" i="18" s="1"/>
  <c r="I48" i="18" s="1"/>
  <c r="J37" i="13"/>
  <c r="J37" i="18" s="1"/>
  <c r="J40" i="18" s="1"/>
  <c r="J46" i="18" s="1"/>
  <c r="J48" i="18" s="1"/>
  <c r="I16" i="18"/>
  <c r="J16" i="13"/>
  <c r="J16" i="18" s="1"/>
  <c r="N45" i="18"/>
  <c r="G35" i="18"/>
  <c r="G40" i="18" s="1"/>
  <c r="G46" i="18" s="1"/>
  <c r="G48" i="18" s="1"/>
  <c r="L32" i="18"/>
  <c r="I10" i="18"/>
  <c r="J10" i="13"/>
  <c r="J10" i="18" s="1"/>
  <c r="I61" i="13" l="1"/>
  <c r="I63" i="13" s="1"/>
  <c r="G48" i="13"/>
  <c r="L35" i="18"/>
  <c r="N32" i="18"/>
  <c r="N35" i="18" s="1"/>
  <c r="N34" i="18"/>
  <c r="L40" i="13"/>
  <c r="L46" i="13" s="1"/>
  <c r="L48" i="13" s="1"/>
  <c r="L25" i="18"/>
  <c r="L40" i="18" s="1"/>
  <c r="L46" i="18" s="1"/>
  <c r="L48" i="18" s="1"/>
  <c r="N19" i="18"/>
  <c r="N25" i="18" s="1"/>
  <c r="L35" i="13"/>
  <c r="J40" i="13"/>
  <c r="J46" i="13" s="1"/>
  <c r="J48" i="13" s="1"/>
  <c r="L30" i="18"/>
  <c r="N27" i="18"/>
  <c r="N30" i="18" s="1"/>
  <c r="N38" i="18"/>
  <c r="N40" i="18" s="1"/>
  <c r="N46" i="18" s="1"/>
  <c r="N48" i="18" s="1"/>
  <c r="N43" i="18"/>
  <c r="L17" i="18"/>
  <c r="N8" i="18"/>
  <c r="N17" i="18" s="1"/>
  <c r="C40" i="18"/>
  <c r="C46" i="18" s="1"/>
  <c r="C48" i="18" s="1"/>
  <c r="O26" i="1"/>
  <c r="J44" i="1"/>
  <c r="N43" i="13"/>
  <c r="J54" i="1" l="1"/>
  <c r="O44" i="1"/>
  <c r="O54" i="1" l="1"/>
  <c r="J58" i="1"/>
  <c r="O58" i="1" s="1"/>
</calcChain>
</file>

<file path=xl/comments1.xml><?xml version="1.0" encoding="utf-8"?>
<comments xmlns="http://schemas.openxmlformats.org/spreadsheetml/2006/main">
  <authors>
    <author>Sayed Khoja</author>
  </authors>
  <commentList>
    <comment ref="S5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  <comment ref="S93" authorId="0" shapeId="0">
      <text>
        <r>
          <rPr>
            <b/>
            <sz val="8"/>
            <color indexed="81"/>
            <rFont val="Tahoma"/>
          </rPr>
          <t>Sayed Khoja:</t>
        </r>
        <r>
          <rPr>
            <sz val="8"/>
            <color indexed="81"/>
            <rFont val="Tahoma"/>
          </rPr>
          <t xml:space="preserve">
G - Gas
P - Power
C - Other Commodity
A - Assets
F - Financial
V- Fair Value</t>
        </r>
      </text>
    </comment>
  </commentList>
</comments>
</file>

<file path=xl/sharedStrings.xml><?xml version="1.0" encoding="utf-8"?>
<sst xmlns="http://schemas.openxmlformats.org/spreadsheetml/2006/main" count="1920" uniqueCount="478">
  <si>
    <t>Mexico</t>
  </si>
  <si>
    <t>Total Origination</t>
  </si>
  <si>
    <t>Executive Trading</t>
  </si>
  <si>
    <t>Gas Trading</t>
  </si>
  <si>
    <t>SO2</t>
  </si>
  <si>
    <t>Coal</t>
  </si>
  <si>
    <t>Total Trading &amp; Risk Management</t>
  </si>
  <si>
    <t>Office of the Chairman</t>
  </si>
  <si>
    <t>Commercial Transactions Group</t>
  </si>
  <si>
    <t>Principal Investing</t>
  </si>
  <si>
    <t>Total Commercial</t>
  </si>
  <si>
    <t>Deals</t>
  </si>
  <si>
    <t>Identified</t>
  </si>
  <si>
    <t>Forecast</t>
  </si>
  <si>
    <t>Total</t>
  </si>
  <si>
    <t>Plan</t>
  </si>
  <si>
    <t>Business Team</t>
  </si>
  <si>
    <t>ENRON NORTH AMERICA</t>
  </si>
  <si>
    <t>Other Interest Related Charges</t>
  </si>
  <si>
    <t>Overview</t>
  </si>
  <si>
    <t>Variance</t>
  </si>
  <si>
    <t>Margin</t>
  </si>
  <si>
    <t>Direct</t>
  </si>
  <si>
    <t>Capital</t>
  </si>
  <si>
    <t>Charge</t>
  </si>
  <si>
    <t>Allocated</t>
  </si>
  <si>
    <t>GAS_COMBINED</t>
  </si>
  <si>
    <t>IR_FX</t>
  </si>
  <si>
    <t>COAL</t>
  </si>
  <si>
    <t>EQU_TRD</t>
  </si>
  <si>
    <t>WEATHER</t>
  </si>
  <si>
    <t>EXEC_TRD</t>
  </si>
  <si>
    <t>E_ORG</t>
  </si>
  <si>
    <t>Genco</t>
  </si>
  <si>
    <t>GENCOS</t>
  </si>
  <si>
    <t>PAPER</t>
  </si>
  <si>
    <t>MEXICO</t>
  </si>
  <si>
    <t>N_BS_DEV</t>
  </si>
  <si>
    <t>W_ORIG</t>
  </si>
  <si>
    <t>PROD_FIN</t>
  </si>
  <si>
    <t>EQUITY</t>
  </si>
  <si>
    <t>ASST_ORIG</t>
  </si>
  <si>
    <t>ASST_TRD</t>
  </si>
  <si>
    <t>CANADA</t>
  </si>
  <si>
    <t>OF_CHAIR</t>
  </si>
  <si>
    <t>GROUP</t>
  </si>
  <si>
    <t>TREASURY_INT</t>
  </si>
  <si>
    <t>M.QTD</t>
  </si>
  <si>
    <t>Group</t>
  </si>
  <si>
    <t>FTA</t>
  </si>
  <si>
    <t>GROSS_MARGIN</t>
  </si>
  <si>
    <t>Direct Expenses</t>
  </si>
  <si>
    <t>Commercial</t>
  </si>
  <si>
    <t>Other</t>
  </si>
  <si>
    <t>TOT_OPS_EXPENSES</t>
  </si>
  <si>
    <t>CAP_CHRG</t>
  </si>
  <si>
    <t>TOT_ALLOCATION</t>
  </si>
  <si>
    <t>Capital Charge</t>
  </si>
  <si>
    <t>Explanation</t>
  </si>
  <si>
    <t>Expenses</t>
  </si>
  <si>
    <t>Capital Charge Offset</t>
  </si>
  <si>
    <t>Variances from Plan</t>
  </si>
  <si>
    <t>Estimate</t>
  </si>
  <si>
    <t>M.YTD</t>
  </si>
  <si>
    <t>ACTUAL</t>
  </si>
  <si>
    <t>ENA EBIT</t>
  </si>
  <si>
    <t>ENA Pre-tax Income</t>
  </si>
  <si>
    <t>Generation Investments</t>
  </si>
  <si>
    <t>Variance to Plan</t>
  </si>
  <si>
    <t>Total Trading &amp; Risk Mgmt</t>
  </si>
  <si>
    <t>Variance Explanation</t>
  </si>
  <si>
    <t>Actual</t>
  </si>
  <si>
    <t>Components of Earnings Before Tax</t>
  </si>
  <si>
    <t>INSURANCE</t>
  </si>
  <si>
    <t>TRD_MKT</t>
  </si>
  <si>
    <t>Deals Removed:</t>
  </si>
  <si>
    <t>Deals Added:</t>
  </si>
  <si>
    <t>Deals Completed:</t>
  </si>
  <si>
    <t>DPR*</t>
  </si>
  <si>
    <t>1Q</t>
  </si>
  <si>
    <t>PRETAX_INCOME</t>
  </si>
  <si>
    <t>Q.QTD</t>
  </si>
  <si>
    <t>CTG</t>
  </si>
  <si>
    <t>2Q</t>
  </si>
  <si>
    <t>3Q</t>
  </si>
  <si>
    <t>4Q</t>
  </si>
  <si>
    <t>Total Assets</t>
  </si>
  <si>
    <t>Total Investing</t>
  </si>
  <si>
    <t>East Midstream</t>
  </si>
  <si>
    <t>West Midstream</t>
  </si>
  <si>
    <t>Industrial Downstream - Paper</t>
  </si>
  <si>
    <t>Industrial Downstream - Chemicals</t>
  </si>
  <si>
    <t>Gas Assets</t>
  </si>
  <si>
    <t>Gas Assets - Trading</t>
  </si>
  <si>
    <t>TRANSACTIONS IN PROGRESS</t>
  </si>
  <si>
    <t>90-99%</t>
  </si>
  <si>
    <t>75-89%</t>
  </si>
  <si>
    <t>50-74%</t>
  </si>
  <si>
    <t>&lt; $100K</t>
  </si>
  <si>
    <t>Assets</t>
  </si>
  <si>
    <t>TOTAL TRANSACTIONS IN PROGRESS</t>
  </si>
  <si>
    <t>TOTAL COMPLETED TRANSACTIONS</t>
  </si>
  <si>
    <t>PLAN2000</t>
  </si>
  <si>
    <t>MDSTRM_IPP_ORIG</t>
  </si>
  <si>
    <t>Midstream IPP</t>
  </si>
  <si>
    <t>PWR_TRD</t>
  </si>
  <si>
    <t>Power Trading</t>
  </si>
  <si>
    <t>Emissions</t>
  </si>
  <si>
    <t>TOT_COM_HC</t>
  </si>
  <si>
    <t>TOT_NC_HC</t>
  </si>
  <si>
    <t>PWR_TRd</t>
  </si>
  <si>
    <t>Deals Changed:</t>
  </si>
  <si>
    <t>Papayoti</t>
  </si>
  <si>
    <t>Bryan</t>
  </si>
  <si>
    <t>Canada</t>
  </si>
  <si>
    <t>Type</t>
  </si>
  <si>
    <t>F</t>
  </si>
  <si>
    <t>A</t>
  </si>
  <si>
    <t>Gas</t>
  </si>
  <si>
    <t>Power</t>
  </si>
  <si>
    <t>Financial</t>
  </si>
  <si>
    <t>Fair Value</t>
  </si>
  <si>
    <t>P</t>
  </si>
  <si>
    <t>Commodity</t>
  </si>
  <si>
    <t>C</t>
  </si>
  <si>
    <t>ENA</t>
  </si>
  <si>
    <t>COMPLETED TRANSACTIONS</t>
  </si>
  <si>
    <t>Check Figures</t>
  </si>
  <si>
    <t>Emerging Businesses</t>
  </si>
  <si>
    <t>Operating</t>
  </si>
  <si>
    <t>Total Trading &amp; Risk Mgt.</t>
  </si>
  <si>
    <t>Operating Expenses</t>
  </si>
  <si>
    <t>Financial Drift</t>
  </si>
  <si>
    <t>Financial Trading</t>
  </si>
  <si>
    <t>ECT_INV_IRFX</t>
  </si>
  <si>
    <t>Accruals</t>
  </si>
  <si>
    <t>MPR Change:</t>
  </si>
  <si>
    <t>Earnings Before Allocated Expenses</t>
  </si>
  <si>
    <t>Forecast Margin Calculation</t>
  </si>
  <si>
    <t>MPR</t>
  </si>
  <si>
    <t>Riley</t>
  </si>
  <si>
    <t>* Excludes Cap. Charge &amp; Operating Costs</t>
  </si>
  <si>
    <t>TFM</t>
  </si>
  <si>
    <t>Allocated Expenses</t>
  </si>
  <si>
    <t>East Midstream Origination</t>
  </si>
  <si>
    <t>West Midstream Origination</t>
  </si>
  <si>
    <t>Williams</t>
  </si>
  <si>
    <t>EBT</t>
  </si>
  <si>
    <t>Expenses*</t>
  </si>
  <si>
    <t>* Includes Capital Charge &amp; Operating, Direct, and Allocated Expenses</t>
  </si>
  <si>
    <t>Interest Expense/(Income)</t>
  </si>
  <si>
    <t>Energy Investments</t>
  </si>
  <si>
    <t>CHEMICALS</t>
  </si>
  <si>
    <t>ASST_MGT_AND_RESTRCT</t>
  </si>
  <si>
    <t>CTG Assets</t>
  </si>
  <si>
    <t>GRM -  Weather</t>
  </si>
  <si>
    <t>GRM - New Products</t>
  </si>
  <si>
    <t>CTG_ASSETS</t>
  </si>
  <si>
    <t>2ND QUARTER 2000 GREENSHEET</t>
  </si>
  <si>
    <t>2ND QUARTER 2000 EARNINGS ESTIMATE</t>
  </si>
  <si>
    <t>YTD Earnings through Q2</t>
  </si>
  <si>
    <t>2ND QUARTER 2000 DETAIL OF GROSS MARGIN</t>
  </si>
  <si>
    <t>WEEKLY CHANGE</t>
  </si>
  <si>
    <t>2ND QUARTER 2000 EXPENSES</t>
  </si>
  <si>
    <t>2ND QUARTER 2000 CAPITAL CHARGE &amp; ALLOCATED EXPENSES</t>
  </si>
  <si>
    <t>2ND QUARTER 2000 HEADCOUNT</t>
  </si>
  <si>
    <t>Actuals - April Team Report</t>
  </si>
  <si>
    <t>Plan - April</t>
  </si>
  <si>
    <t>Interest (Expense)/Income</t>
  </si>
  <si>
    <t>YTD Plan</t>
  </si>
  <si>
    <t>Doyle</t>
  </si>
  <si>
    <t>Spears</t>
  </si>
  <si>
    <t>Rebox</t>
  </si>
  <si>
    <t>Kaiser Aluminum</t>
  </si>
  <si>
    <t>Garner, Rizo-Patron</t>
  </si>
  <si>
    <t>Robinson, Pratel</t>
  </si>
  <si>
    <t>Motown</t>
  </si>
  <si>
    <t>Cifford</t>
  </si>
  <si>
    <t>Ginsberg</t>
  </si>
  <si>
    <t>Saxet Petroleum Osprey #3</t>
  </si>
  <si>
    <t>Special Assets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</si>
  <si>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</si>
  <si>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Other Margin Changes:</t>
  </si>
  <si>
    <t>Total Change</t>
  </si>
  <si>
    <t>BSC</t>
  </si>
  <si>
    <t>Kearney</t>
  </si>
  <si>
    <t>DRS</t>
  </si>
  <si>
    <t>Jupiter</t>
  </si>
  <si>
    <t>Beyer</t>
  </si>
  <si>
    <t>Mission Restructure</t>
  </si>
  <si>
    <t>Stacey</t>
  </si>
  <si>
    <t>Big Horn, Cactus</t>
  </si>
  <si>
    <t>Merlin (City Forest, Oconto Falls)</t>
  </si>
  <si>
    <t>Condor (Quanta)</t>
  </si>
  <si>
    <t>Pacific Forrest Resources</t>
  </si>
  <si>
    <t>Grupo Editorale Espresso</t>
  </si>
  <si>
    <t>Moulton</t>
  </si>
  <si>
    <t>Holmes</t>
  </si>
  <si>
    <t>Pacifica</t>
  </si>
  <si>
    <t>Krohn</t>
  </si>
  <si>
    <t>Money Mailer</t>
  </si>
  <si>
    <t>Shields</t>
  </si>
  <si>
    <t>Coastal Cage Ranch</t>
  </si>
  <si>
    <t>Producer Services Rollover 2Q</t>
  </si>
  <si>
    <t>Martinez</t>
  </si>
  <si>
    <t>North Central Oil</t>
  </si>
  <si>
    <t>Neptune</t>
  </si>
  <si>
    <t>Staines</t>
  </si>
  <si>
    <t>TCCS</t>
  </si>
  <si>
    <t>Caledonia</t>
  </si>
  <si>
    <t>Walton</t>
  </si>
  <si>
    <t>NNG</t>
  </si>
  <si>
    <t>Bammel Emmision</t>
  </si>
  <si>
    <t>Scarborough</t>
  </si>
  <si>
    <t>Hoff</t>
  </si>
  <si>
    <t>Various</t>
  </si>
  <si>
    <t>Hilcorp energy</t>
  </si>
  <si>
    <t>Johnson</t>
  </si>
  <si>
    <t>Enichem</t>
  </si>
  <si>
    <t>4 Deals</t>
  </si>
  <si>
    <t>Mission</t>
  </si>
  <si>
    <t>York-BNY</t>
  </si>
  <si>
    <t>East Coast Power</t>
  </si>
  <si>
    <t>ELF</t>
  </si>
  <si>
    <t>Northern Peak</t>
  </si>
  <si>
    <t>47 Deals Under $500K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</si>
  <si>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</si>
  <si>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Second Quarter 2000</t>
  </si>
  <si>
    <t>Third Quarter 2000</t>
  </si>
  <si>
    <t>Fourth Quarter 2000</t>
  </si>
  <si>
    <t>First Quarter 2001</t>
  </si>
  <si>
    <t>East</t>
  </si>
  <si>
    <t>Midstream</t>
  </si>
  <si>
    <t>Deal</t>
  </si>
  <si>
    <t>Value</t>
  </si>
  <si>
    <t>Budget</t>
  </si>
  <si>
    <t>West</t>
  </si>
  <si>
    <t>Avalanche</t>
  </si>
  <si>
    <t xml:space="preserve">Industrial </t>
  </si>
  <si>
    <t>Downstream</t>
  </si>
  <si>
    <t>Garden State</t>
  </si>
  <si>
    <t>IPP</t>
  </si>
  <si>
    <t>GRM</t>
  </si>
  <si>
    <t>New Products</t>
  </si>
  <si>
    <t>Generation</t>
  </si>
  <si>
    <t>Investments</t>
  </si>
  <si>
    <t>Tractebel</t>
  </si>
  <si>
    <t>GPU Int'l Assets</t>
  </si>
  <si>
    <t>Indeck-Corinth</t>
  </si>
  <si>
    <t>Panda</t>
  </si>
  <si>
    <t>MYPA-Holtsville</t>
  </si>
  <si>
    <t>Dynegy</t>
  </si>
  <si>
    <t>Tenaska-Cleeborne</t>
  </si>
  <si>
    <t>ANP Milford</t>
  </si>
  <si>
    <t>N. Star</t>
  </si>
  <si>
    <t>Principal</t>
  </si>
  <si>
    <t>Investing</t>
  </si>
  <si>
    <t>Energy</t>
  </si>
  <si>
    <t>Restructuring</t>
  </si>
  <si>
    <t>Bastrop Power Site</t>
  </si>
  <si>
    <t>Saxet Osprey #3</t>
  </si>
  <si>
    <t>TCC's</t>
  </si>
  <si>
    <t>Coastal</t>
  </si>
  <si>
    <t>Kerr-McGee</t>
  </si>
  <si>
    <t>Rollovers</t>
  </si>
  <si>
    <t>Bammell Credit</t>
  </si>
  <si>
    <t>Northern Nat Gas</t>
  </si>
  <si>
    <t>EBIT</t>
  </si>
  <si>
    <t>EEX Insurance</t>
  </si>
  <si>
    <t>Overdyke</t>
  </si>
  <si>
    <t>Plan*</t>
  </si>
  <si>
    <t>Industrial Downstream</t>
  </si>
  <si>
    <t>DWNSTRM_IND_ORIG</t>
  </si>
  <si>
    <t>GAS_TRAD</t>
  </si>
  <si>
    <t>GAS_trad</t>
  </si>
  <si>
    <t xml:space="preserve">Industrial Downstream </t>
  </si>
  <si>
    <t>LGE Canada Tax Pools</t>
  </si>
  <si>
    <t>CNR Warrants</t>
  </si>
  <si>
    <t>Invasion</t>
  </si>
  <si>
    <t>Beau Canada</t>
  </si>
  <si>
    <t>Petro-Canada</t>
  </si>
  <si>
    <t>Niagra Parkway</t>
  </si>
  <si>
    <t>Place</t>
  </si>
  <si>
    <t>Petro-Canada(Incentive)</t>
  </si>
  <si>
    <t>British Energy PPA</t>
  </si>
  <si>
    <t>PML</t>
  </si>
  <si>
    <t>Startech</t>
  </si>
  <si>
    <t>Alberta PPA Auction</t>
  </si>
  <si>
    <t>Ontario NUG's</t>
  </si>
  <si>
    <t>G6</t>
  </si>
  <si>
    <t>ENERconnect</t>
  </si>
  <si>
    <t>Whiskey</t>
  </si>
  <si>
    <t>Blue Range Recovery</t>
  </si>
  <si>
    <t>York BNY</t>
  </si>
  <si>
    <t>Enron Merchant Portfolio CLO</t>
  </si>
  <si>
    <t>Credit Wrap fro EBS</t>
  </si>
  <si>
    <t>Enron/Chicago Peakers</t>
  </si>
  <si>
    <t>Enron/Austin energy</t>
  </si>
  <si>
    <t>Coyote Springs 2</t>
  </si>
  <si>
    <t>Avista Power</t>
  </si>
  <si>
    <t>Tri-Valley</t>
  </si>
  <si>
    <t>PSCo</t>
  </si>
  <si>
    <t>Southwest Gas</t>
  </si>
  <si>
    <t>Blackstart</t>
  </si>
  <si>
    <t>LV Cogen Restruct</t>
  </si>
  <si>
    <t>Cascade</t>
  </si>
  <si>
    <t>Pastoria</t>
  </si>
  <si>
    <t>LV Cogen Development</t>
  </si>
  <si>
    <t>LODI</t>
  </si>
  <si>
    <t>Roseville</t>
  </si>
  <si>
    <t>Aera</t>
  </si>
  <si>
    <t>Santa Clara</t>
  </si>
  <si>
    <t>Alamac</t>
  </si>
  <si>
    <t>Keyspan</t>
  </si>
  <si>
    <t>PSEG</t>
  </si>
  <si>
    <t>New Jersey Natural</t>
  </si>
  <si>
    <t>Chicago-Gas</t>
  </si>
  <si>
    <t>City Of Austin</t>
  </si>
  <si>
    <t>FOG</t>
  </si>
  <si>
    <t>SCANA-LNG</t>
  </si>
  <si>
    <t>Chicago-Power</t>
  </si>
  <si>
    <t>Chicago-Hub</t>
  </si>
  <si>
    <t>TECO</t>
  </si>
  <si>
    <t>CFE-Mexico</t>
  </si>
  <si>
    <t>Green Power</t>
  </si>
  <si>
    <t>Baltimore G&amp;E</t>
  </si>
  <si>
    <t>Chicago Power</t>
  </si>
  <si>
    <t>SCANA</t>
  </si>
  <si>
    <t>Skygen</t>
  </si>
  <si>
    <t>AES</t>
  </si>
  <si>
    <t>UAE</t>
  </si>
  <si>
    <t>Cogentrix</t>
  </si>
  <si>
    <t>New Centuries</t>
  </si>
  <si>
    <t>Calpine</t>
  </si>
  <si>
    <t>Genesis Power</t>
  </si>
  <si>
    <t>Neptune-Part 1</t>
  </si>
  <si>
    <t>Costilla</t>
  </si>
  <si>
    <t>Howell Petroleum</t>
  </si>
  <si>
    <t>BASF</t>
  </si>
  <si>
    <t>Solvay Polymers</t>
  </si>
  <si>
    <t>Panaco</t>
  </si>
  <si>
    <t>Lead Tongs</t>
  </si>
  <si>
    <t>Tidal Wave</t>
  </si>
  <si>
    <t>Black Water</t>
  </si>
  <si>
    <t>North Central Oil Corp</t>
  </si>
  <si>
    <t>Big Chief</t>
  </si>
  <si>
    <t>Smashing Pumpkins</t>
  </si>
  <si>
    <t>TCC Auctions</t>
  </si>
  <si>
    <t>TXU</t>
  </si>
  <si>
    <t>16 Deals under $500K &gt; 50%</t>
  </si>
  <si>
    <t>23 Deals under $500K &gt; 50%</t>
  </si>
  <si>
    <t>Other Marketing</t>
  </si>
  <si>
    <t>CP&amp;L</t>
  </si>
  <si>
    <t>DEALS COMPLETED</t>
  </si>
  <si>
    <t>DEALS IDENTIFIED</t>
  </si>
  <si>
    <t>Prior Week:</t>
  </si>
  <si>
    <t>Group Total</t>
  </si>
  <si>
    <t>Group Allocated to Teams</t>
  </si>
  <si>
    <t>2ND QTR 2000 EARNINGS ESTIMATE</t>
  </si>
  <si>
    <t>1ST QTR 2000 EARNINGS</t>
  </si>
  <si>
    <t>Results based on Activity through March 31, 2000</t>
  </si>
  <si>
    <t>YTD 2000 EARNINGS ESTIMATE</t>
  </si>
  <si>
    <t>Over/</t>
  </si>
  <si>
    <t>Under</t>
  </si>
  <si>
    <t>Totals</t>
  </si>
  <si>
    <t>GE Plastics</t>
  </si>
  <si>
    <t>Aectra</t>
  </si>
  <si>
    <t>Skeena</t>
  </si>
  <si>
    <t>BP Amoco</t>
  </si>
  <si>
    <t>Colonial Pipeline</t>
  </si>
  <si>
    <t>National Gypsum</t>
  </si>
  <si>
    <t>NG Resources</t>
  </si>
  <si>
    <t>Cabot</t>
  </si>
  <si>
    <t>Presston Exploration</t>
  </si>
  <si>
    <t>Collier &amp; Ely</t>
  </si>
  <si>
    <t>Powder River</t>
  </si>
  <si>
    <t>Smith Production</t>
  </si>
  <si>
    <t>Equity Oil</t>
  </si>
  <si>
    <t>Western Gas</t>
  </si>
  <si>
    <t>Swift Energy</t>
  </si>
  <si>
    <t>Tri C Resources</t>
  </si>
  <si>
    <t>HV Marine</t>
  </si>
  <si>
    <t>Eugene Offshore</t>
  </si>
  <si>
    <t>Gasco</t>
  </si>
  <si>
    <t>Transcoastal</t>
  </si>
  <si>
    <t>Crown Energy</t>
  </si>
  <si>
    <t>Hughes Rawls</t>
  </si>
  <si>
    <t>Lewis Energy</t>
  </si>
  <si>
    <t>Bonus Resources</t>
  </si>
  <si>
    <t>Catalytica</t>
  </si>
  <si>
    <t>Lyco</t>
  </si>
  <si>
    <t>Sierra Well Service</t>
  </si>
  <si>
    <t>Hancock</t>
  </si>
  <si>
    <t>Terradyne</t>
  </si>
  <si>
    <t>Industrial Holdings</t>
  </si>
  <si>
    <t>LSI</t>
  </si>
  <si>
    <t>Venoco</t>
  </si>
  <si>
    <t>Noram</t>
  </si>
  <si>
    <t>Tuco</t>
  </si>
  <si>
    <t>SynFuel</t>
  </si>
  <si>
    <t>AEI</t>
  </si>
  <si>
    <t>Anker</t>
  </si>
  <si>
    <t>AMCI</t>
  </si>
  <si>
    <t>BMR</t>
  </si>
  <si>
    <t>Railroad Marketing</t>
  </si>
  <si>
    <t>EOL Auction</t>
  </si>
  <si>
    <t>Quaker-CFB</t>
  </si>
  <si>
    <t>Cap Charge</t>
  </si>
  <si>
    <t>Cash Exp</t>
  </si>
  <si>
    <t>This Week:</t>
  </si>
  <si>
    <t>Direct Expense</t>
  </si>
  <si>
    <t>Operating Expense</t>
  </si>
  <si>
    <t>Support Departments</t>
  </si>
  <si>
    <t>2ND QUARTER 2000 EXPENSES-Weekly Change</t>
  </si>
  <si>
    <t>DPR Change</t>
  </si>
  <si>
    <t>ENA Upstream Assets</t>
  </si>
  <si>
    <t>ENA Upstream Assets - Trading</t>
  </si>
  <si>
    <t>Upstream Assets</t>
  </si>
  <si>
    <t>Pacificorp</t>
  </si>
  <si>
    <t>Tangerine</t>
  </si>
  <si>
    <t>TU Electric</t>
  </si>
  <si>
    <t>NSTAR</t>
  </si>
  <si>
    <t>Napolean Pad Gas</t>
  </si>
  <si>
    <t>CanadaTrading</t>
  </si>
  <si>
    <t>Canada Trading</t>
  </si>
  <si>
    <t>Canada Origination &amp; Finance</t>
  </si>
  <si>
    <t>fin</t>
  </si>
  <si>
    <t>trd_mkt</t>
  </si>
  <si>
    <t>Cap Chrg</t>
  </si>
  <si>
    <t>Change:</t>
  </si>
  <si>
    <t>Trading</t>
  </si>
  <si>
    <t>Vitro</t>
  </si>
  <si>
    <t>Industrial Outsourcing</t>
  </si>
  <si>
    <t>CFE Mexico</t>
  </si>
  <si>
    <t>ECP (Recap)</t>
  </si>
  <si>
    <t>ECP ( Linden 6)</t>
  </si>
  <si>
    <t>Accrual Earnings</t>
  </si>
  <si>
    <t>Office of</t>
  </si>
  <si>
    <t>the Chair</t>
  </si>
  <si>
    <t>JEDI II Restructure</t>
  </si>
  <si>
    <t>Energy Capital Services</t>
  </si>
  <si>
    <t>Con Ed Restructuring</t>
  </si>
  <si>
    <t>Capital Services</t>
  </si>
  <si>
    <t>Cypress</t>
  </si>
  <si>
    <t>Actual Margin change from: 04/24/00</t>
  </si>
  <si>
    <t>Actual expense changes from: 04/24/00</t>
  </si>
  <si>
    <t>Moved Business to Business and Enron Networks Plan &amp; Actual into Group</t>
  </si>
  <si>
    <t>Originations &amp; Finance</t>
  </si>
  <si>
    <t>Great River</t>
  </si>
  <si>
    <t>Project Green Jacket</t>
  </si>
  <si>
    <t>Tecate/Corona</t>
  </si>
  <si>
    <t>GE Air Craft</t>
  </si>
  <si>
    <t>Crown Vantage</t>
  </si>
  <si>
    <t>KPM Lasar(Kenaf</t>
  </si>
  <si>
    <t>Pioneer Chemical</t>
  </si>
  <si>
    <t>Pomona</t>
  </si>
  <si>
    <t>Inland(Orange)</t>
  </si>
  <si>
    <t>Inland(Rome)</t>
  </si>
  <si>
    <t>Newark</t>
  </si>
  <si>
    <t>Project Riviera</t>
  </si>
  <si>
    <t>Smurfit Stone</t>
  </si>
  <si>
    <t>Westvaco</t>
  </si>
  <si>
    <t>Abiti Bridgewater</t>
  </si>
  <si>
    <t>Stora Enso</t>
  </si>
  <si>
    <t>KN energy</t>
  </si>
  <si>
    <t>Intergen</t>
  </si>
  <si>
    <t>Copetitive Power</t>
  </si>
  <si>
    <t>Massey</t>
  </si>
  <si>
    <t>MRC</t>
  </si>
  <si>
    <t>Synfuel</t>
  </si>
  <si>
    <t>Merlin (HV Marine, LSI, Ridgelake)</t>
  </si>
  <si>
    <t>Con Ed - Call</t>
  </si>
  <si>
    <t>Con Ed</t>
  </si>
  <si>
    <t>Moved Condensate &amp; Gathering income to margin</t>
  </si>
  <si>
    <r>
      <t xml:space="preserve">DPR </t>
    </r>
    <r>
      <rPr>
        <sz val="6"/>
        <rFont val="Arial Narrow"/>
        <family val="2"/>
      </rPr>
      <t>(1)</t>
    </r>
  </si>
  <si>
    <t>(1) Excludes Cap. Charge &amp; Operating Costs</t>
  </si>
  <si>
    <t>Results based on Activity through April 28, 2000</t>
  </si>
  <si>
    <t xml:space="preserve">Other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</si>
</sst>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  <numFmt numFmtId="175" formatCode="mm/dd/yy"/>
  </numFmts>
  <fonts count="50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2"/>
      <color indexed="9"/>
      <name val="Arial"/>
      <family val="2"/>
    </font>
    <font>
      <b/>
      <sz val="11"/>
      <color indexed="9"/>
      <name val="Arial"/>
      <family val="2"/>
    </font>
    <font>
      <b/>
      <sz val="10"/>
      <color indexed="9"/>
      <name val="Arial"/>
      <family val="2"/>
    </font>
    <font>
      <sz val="6"/>
      <name val="Arial"/>
      <family val="2"/>
    </font>
    <font>
      <sz val="6"/>
      <name val="Arial Narrow"/>
      <family val="2"/>
    </font>
    <font>
      <sz val="8"/>
      <name val="Arial Narrow"/>
      <family val="2"/>
    </font>
    <font>
      <b/>
      <sz val="12"/>
      <color indexed="9"/>
      <name val="Arial Narrow"/>
      <family val="2"/>
    </font>
    <font>
      <b/>
      <sz val="11"/>
      <color indexed="9"/>
      <name val="Arial Narrow"/>
      <family val="2"/>
    </font>
    <font>
      <b/>
      <sz val="10"/>
      <color indexed="9"/>
      <name val="Arial Narrow"/>
      <family val="2"/>
    </font>
    <font>
      <b/>
      <sz val="8"/>
      <name val="Arial Narrow"/>
      <family val="2"/>
    </font>
    <font>
      <b/>
      <i/>
      <sz val="8"/>
      <name val="Arial Narrow"/>
      <family val="2"/>
    </font>
    <font>
      <b/>
      <sz val="10"/>
      <name val="Arial Narrow"/>
      <family val="2"/>
    </font>
    <font>
      <i/>
      <sz val="8"/>
      <name val="Arial Narrow"/>
      <family val="2"/>
    </font>
    <font>
      <i/>
      <sz val="6"/>
      <name val="Arial Narrow"/>
      <family val="2"/>
    </font>
    <font>
      <sz val="10"/>
      <name val="Arial"/>
      <family val="2"/>
    </font>
    <font>
      <sz val="10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8"/>
      <name val="Arial Narrow"/>
      <family val="2"/>
    </font>
    <font>
      <sz val="7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"/>
      <family val="2"/>
    </font>
    <font>
      <b/>
      <sz val="10"/>
      <color indexed="8"/>
      <name val="Arial Narrow"/>
      <family val="2"/>
    </font>
    <font>
      <sz val="8"/>
      <color indexed="10"/>
      <name val="Arial Narrow"/>
      <family val="2"/>
    </font>
    <font>
      <b/>
      <sz val="10"/>
      <color indexed="10"/>
      <name val="Arial Narrow"/>
      <family val="2"/>
    </font>
    <font>
      <b/>
      <sz val="9"/>
      <color indexed="12"/>
      <name val="Arial Narrow"/>
      <family val="2"/>
    </font>
    <font>
      <b/>
      <sz val="16"/>
      <color indexed="8"/>
      <name val="Arial"/>
      <family val="2"/>
    </font>
    <font>
      <b/>
      <sz val="11"/>
      <color indexed="10"/>
      <name val="Arial Narrow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i/>
      <sz val="9"/>
      <color indexed="12"/>
      <name val="Arial Narrow"/>
      <family val="2"/>
    </font>
    <font>
      <b/>
      <sz val="10"/>
      <color indexed="12"/>
      <name val="Arial Narrow"/>
      <family val="2"/>
    </font>
    <font>
      <b/>
      <sz val="14"/>
      <color indexed="8"/>
      <name val="Arial Narrow"/>
      <family val="2"/>
    </font>
    <font>
      <sz val="8"/>
      <color indexed="12"/>
      <name val="Arial Narrow"/>
      <family val="2"/>
    </font>
    <font>
      <sz val="11"/>
      <color indexed="12"/>
      <name val="Arial Narrow"/>
      <family val="2"/>
    </font>
    <font>
      <u val="singleAccounting"/>
      <sz val="8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5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97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2" fillId="0" borderId="2" xfId="0" applyFont="1" applyBorder="1"/>
    <xf numFmtId="165" fontId="2" fillId="0" borderId="0" xfId="1" applyNumberFormat="1" applyFont="1"/>
    <xf numFmtId="0" fontId="2" fillId="0" borderId="3" xfId="0" applyFont="1" applyBorder="1"/>
    <xf numFmtId="0" fontId="2" fillId="0" borderId="4" xfId="0" applyFont="1" applyBorder="1"/>
    <xf numFmtId="0" fontId="3" fillId="0" borderId="4" xfId="0" applyFont="1" applyBorder="1" applyAlignment="1">
      <alignment horizont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5" fontId="2" fillId="0" borderId="0" xfId="1" applyNumberFormat="1" applyFont="1" applyBorder="1"/>
    <xf numFmtId="0" fontId="2" fillId="0" borderId="8" xfId="0" applyFont="1" applyBorder="1"/>
    <xf numFmtId="0" fontId="2" fillId="0" borderId="9" xfId="0" applyFont="1" applyBorder="1"/>
    <xf numFmtId="165" fontId="2" fillId="0" borderId="9" xfId="1" applyNumberFormat="1" applyFont="1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3" xfId="0" applyFont="1" applyBorder="1"/>
    <xf numFmtId="165" fontId="2" fillId="0" borderId="2" xfId="1" applyNumberFormat="1" applyFont="1" applyBorder="1"/>
    <xf numFmtId="165" fontId="2" fillId="0" borderId="8" xfId="1" applyNumberFormat="1" applyFont="1" applyBorder="1"/>
    <xf numFmtId="0" fontId="2" fillId="0" borderId="14" xfId="0" applyFont="1" applyBorder="1"/>
    <xf numFmtId="0" fontId="7" fillId="0" borderId="0" xfId="0" applyFont="1"/>
    <xf numFmtId="17" fontId="7" fillId="0" borderId="0" xfId="0" applyNumberFormat="1" applyFont="1" applyAlignment="1">
      <alignment horizontal="left"/>
    </xf>
    <xf numFmtId="0" fontId="8" fillId="0" borderId="0" xfId="0" applyFont="1"/>
    <xf numFmtId="17" fontId="8" fillId="0" borderId="0" xfId="0" applyNumberFormat="1" applyFont="1" applyAlignment="1">
      <alignment horizontal="left"/>
    </xf>
    <xf numFmtId="0" fontId="9" fillId="0" borderId="0" xfId="0" applyFont="1"/>
    <xf numFmtId="0" fontId="9" fillId="0" borderId="3" xfId="0" applyFont="1" applyBorder="1"/>
    <xf numFmtId="0" fontId="9" fillId="0" borderId="4" xfId="0" applyFont="1" applyBorder="1"/>
    <xf numFmtId="0" fontId="9" fillId="0" borderId="7" xfId="0" applyFont="1" applyBorder="1"/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9" fillId="0" borderId="2" xfId="0" applyFont="1" applyBorder="1"/>
    <xf numFmtId="0" fontId="13" fillId="0" borderId="13" xfId="0" applyFont="1" applyBorder="1" applyAlignment="1">
      <alignment horizontal="center"/>
    </xf>
    <xf numFmtId="0" fontId="9" fillId="0" borderId="0" xfId="0" applyFont="1" applyBorder="1"/>
    <xf numFmtId="0" fontId="9" fillId="0" borderId="5" xfId="0" applyFont="1" applyBorder="1"/>
    <xf numFmtId="0" fontId="9" fillId="0" borderId="6" xfId="0" applyFont="1" applyBorder="1"/>
    <xf numFmtId="165" fontId="9" fillId="0" borderId="2" xfId="1" applyNumberFormat="1" applyFont="1" applyBorder="1"/>
    <xf numFmtId="165" fontId="9" fillId="0" borderId="0" xfId="1" applyNumberFormat="1" applyFont="1" applyBorder="1"/>
    <xf numFmtId="165" fontId="9" fillId="0" borderId="1" xfId="1" applyNumberFormat="1" applyFont="1" applyBorder="1"/>
    <xf numFmtId="165" fontId="9" fillId="0" borderId="0" xfId="1" applyNumberFormat="1" applyFont="1"/>
    <xf numFmtId="0" fontId="14" fillId="0" borderId="4" xfId="0" applyFont="1" applyBorder="1"/>
    <xf numFmtId="165" fontId="14" fillId="0" borderId="2" xfId="1" applyNumberFormat="1" applyFont="1" applyBorder="1"/>
    <xf numFmtId="165" fontId="14" fillId="0" borderId="0" xfId="1" applyNumberFormat="1" applyFont="1" applyBorder="1"/>
    <xf numFmtId="0" fontId="9" fillId="0" borderId="13" xfId="0" applyFont="1" applyBorder="1"/>
    <xf numFmtId="165" fontId="9" fillId="0" borderId="8" xfId="1" applyNumberFormat="1" applyFont="1" applyBorder="1"/>
    <xf numFmtId="165" fontId="9" fillId="0" borderId="9" xfId="1" applyNumberFormat="1" applyFont="1" applyBorder="1"/>
    <xf numFmtId="165" fontId="9" fillId="0" borderId="14" xfId="1" applyNumberFormat="1" applyFont="1" applyBorder="1"/>
    <xf numFmtId="0" fontId="9" fillId="0" borderId="8" xfId="0" applyFont="1" applyBorder="1"/>
    <xf numFmtId="0" fontId="9" fillId="0" borderId="9" xfId="0" applyFont="1" applyBorder="1"/>
    <xf numFmtId="0" fontId="9" fillId="0" borderId="14" xfId="0" applyFont="1" applyBorder="1"/>
    <xf numFmtId="0" fontId="15" fillId="0" borderId="0" xfId="0" applyFont="1"/>
    <xf numFmtId="0" fontId="13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0" xfId="0" applyFont="1" applyAlignment="1">
      <alignment horizontal="center"/>
    </xf>
    <xf numFmtId="169" fontId="9" fillId="0" borderId="2" xfId="2" applyNumberFormat="1" applyFont="1" applyBorder="1"/>
    <xf numFmtId="169" fontId="9" fillId="0" borderId="0" xfId="2" applyNumberFormat="1" applyFont="1" applyBorder="1"/>
    <xf numFmtId="169" fontId="9" fillId="0" borderId="1" xfId="2" applyNumberFormat="1" applyFont="1" applyBorder="1"/>
    <xf numFmtId="169" fontId="2" fillId="0" borderId="2" xfId="2" applyNumberFormat="1" applyFont="1" applyBorder="1"/>
    <xf numFmtId="169" fontId="2" fillId="0" borderId="0" xfId="2" applyNumberFormat="1" applyFont="1" applyBorder="1"/>
    <xf numFmtId="165" fontId="13" fillId="0" borderId="2" xfId="1" applyNumberFormat="1" applyFont="1" applyBorder="1"/>
    <xf numFmtId="165" fontId="13" fillId="0" borderId="0" xfId="1" applyNumberFormat="1" applyFont="1" applyBorder="1"/>
    <xf numFmtId="165" fontId="13" fillId="0" borderId="1" xfId="1" applyNumberFormat="1" applyFont="1" applyBorder="1"/>
    <xf numFmtId="165" fontId="16" fillId="0" borderId="0" xfId="1" applyNumberFormat="1" applyFont="1" applyBorder="1"/>
    <xf numFmtId="0" fontId="17" fillId="0" borderId="0" xfId="0" applyFont="1"/>
    <xf numFmtId="0" fontId="16" fillId="0" borderId="0" xfId="0" applyFont="1"/>
    <xf numFmtId="0" fontId="16" fillId="0" borderId="0" xfId="0" applyFont="1" applyBorder="1"/>
    <xf numFmtId="165" fontId="16" fillId="0" borderId="0" xfId="1" applyNumberFormat="1" applyFont="1"/>
    <xf numFmtId="0" fontId="18" fillId="0" borderId="0" xfId="0" applyFont="1"/>
    <xf numFmtId="169" fontId="9" fillId="0" borderId="0" xfId="0" applyNumberFormat="1" applyFont="1"/>
    <xf numFmtId="165" fontId="9" fillId="0" borderId="5" xfId="1" applyNumberFormat="1" applyFont="1" applyBorder="1"/>
    <xf numFmtId="0" fontId="13" fillId="2" borderId="4" xfId="0" applyFont="1" applyFill="1" applyBorder="1" applyAlignment="1">
      <alignment horizontal="left" indent="1"/>
    </xf>
    <xf numFmtId="0" fontId="16" fillId="0" borderId="4" xfId="0" applyFont="1" applyBorder="1"/>
    <xf numFmtId="165" fontId="16" fillId="0" borderId="2" xfId="1" applyNumberFormat="1" applyFont="1" applyBorder="1"/>
    <xf numFmtId="0" fontId="13" fillId="0" borderId="5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165" fontId="9" fillId="0" borderId="0" xfId="1" applyNumberFormat="1" applyFont="1" applyFill="1" applyBorder="1"/>
    <xf numFmtId="169" fontId="13" fillId="0" borderId="4" xfId="2" applyNumberFormat="1" applyFont="1" applyBorder="1"/>
    <xf numFmtId="165" fontId="13" fillId="0" borderId="4" xfId="1" applyNumberFormat="1" applyFont="1" applyBorder="1"/>
    <xf numFmtId="169" fontId="13" fillId="0" borderId="1" xfId="2" applyNumberFormat="1" applyFont="1" applyBorder="1"/>
    <xf numFmtId="0" fontId="19" fillId="0" borderId="0" xfId="0" applyFont="1"/>
    <xf numFmtId="0" fontId="0" fillId="0" borderId="0" xfId="0" applyBorder="1"/>
    <xf numFmtId="164" fontId="2" fillId="0" borderId="2" xfId="1" applyNumberFormat="1" applyFont="1" applyBorder="1"/>
    <xf numFmtId="164" fontId="2" fillId="0" borderId="0" xfId="1" applyNumberFormat="1" applyFont="1" applyBorder="1"/>
    <xf numFmtId="164" fontId="3" fillId="0" borderId="1" xfId="1" applyNumberFormat="1" applyFont="1" applyBorder="1"/>
    <xf numFmtId="0" fontId="20" fillId="0" borderId="0" xfId="0" applyFont="1"/>
    <xf numFmtId="0" fontId="20" fillId="0" borderId="0" xfId="0" applyFont="1" applyBorder="1"/>
    <xf numFmtId="165" fontId="20" fillId="0" borderId="0" xfId="1" applyNumberFormat="1" applyFont="1" applyBorder="1"/>
    <xf numFmtId="165" fontId="20" fillId="0" borderId="0" xfId="1" applyNumberFormat="1" applyFont="1"/>
    <xf numFmtId="0" fontId="21" fillId="2" borderId="4" xfId="0" applyFont="1" applyFill="1" applyBorder="1" applyAlignment="1">
      <alignment horizontal="left" indent="1"/>
    </xf>
    <xf numFmtId="169" fontId="21" fillId="2" borderId="2" xfId="2" applyNumberFormat="1" applyFont="1" applyFill="1" applyBorder="1"/>
    <xf numFmtId="169" fontId="21" fillId="2" borderId="0" xfId="2" applyNumberFormat="1" applyFont="1" applyFill="1" applyBorder="1"/>
    <xf numFmtId="169" fontId="21" fillId="2" borderId="1" xfId="2" applyNumberFormat="1" applyFont="1" applyFill="1" applyBorder="1"/>
    <xf numFmtId="169" fontId="21" fillId="2" borderId="4" xfId="2" applyNumberFormat="1" applyFont="1" applyFill="1" applyBorder="1"/>
    <xf numFmtId="165" fontId="21" fillId="2" borderId="2" xfId="1" applyNumberFormat="1" applyFont="1" applyFill="1" applyBorder="1"/>
    <xf numFmtId="165" fontId="21" fillId="2" borderId="0" xfId="1" applyNumberFormat="1" applyFont="1" applyFill="1" applyBorder="1"/>
    <xf numFmtId="165" fontId="21" fillId="2" borderId="1" xfId="1" applyNumberFormat="1" applyFont="1" applyFill="1" applyBorder="1"/>
    <xf numFmtId="165" fontId="21" fillId="2" borderId="4" xfId="1" applyNumberFormat="1" applyFont="1" applyFill="1" applyBorder="1"/>
    <xf numFmtId="169" fontId="13" fillId="0" borderId="2" xfId="2" applyNumberFormat="1" applyFont="1" applyBorder="1"/>
    <xf numFmtId="165" fontId="9" fillId="0" borderId="2" xfId="1" applyNumberFormat="1" applyFont="1" applyFill="1" applyBorder="1"/>
    <xf numFmtId="165" fontId="13" fillId="0" borderId="2" xfId="1" applyNumberFormat="1" applyFont="1" applyFill="1" applyBorder="1"/>
    <xf numFmtId="0" fontId="21" fillId="2" borderId="4" xfId="0" applyFont="1" applyFill="1" applyBorder="1"/>
    <xf numFmtId="0" fontId="3" fillId="2" borderId="4" xfId="0" applyFont="1" applyFill="1" applyBorder="1" applyAlignment="1">
      <alignment horizontal="left" indent="1"/>
    </xf>
    <xf numFmtId="169" fontId="22" fillId="2" borderId="2" xfId="2" applyNumberFormat="1" applyFont="1" applyFill="1" applyBorder="1"/>
    <xf numFmtId="169" fontId="22" fillId="2" borderId="0" xfId="2" applyNumberFormat="1" applyFont="1" applyFill="1" applyBorder="1"/>
    <xf numFmtId="169" fontId="22" fillId="2" borderId="1" xfId="2" applyNumberFormat="1" applyFont="1" applyFill="1" applyBorder="1"/>
    <xf numFmtId="164" fontId="22" fillId="2" borderId="2" xfId="1" applyNumberFormat="1" applyFont="1" applyFill="1" applyBorder="1"/>
    <xf numFmtId="164" fontId="22" fillId="2" borderId="0" xfId="1" applyNumberFormat="1" applyFont="1" applyFill="1" applyBorder="1"/>
    <xf numFmtId="165" fontId="22" fillId="2" borderId="1" xfId="1" applyNumberFormat="1" applyFont="1" applyFill="1" applyBorder="1"/>
    <xf numFmtId="0" fontId="23" fillId="0" borderId="0" xfId="0" applyFont="1"/>
    <xf numFmtId="0" fontId="22" fillId="2" borderId="4" xfId="0" applyFont="1" applyFill="1" applyBorder="1" applyAlignment="1">
      <alignment horizontal="left" indent="1"/>
    </xf>
    <xf numFmtId="165" fontId="23" fillId="0" borderId="0" xfId="1" applyNumberFormat="1" applyFont="1"/>
    <xf numFmtId="0" fontId="23" fillId="2" borderId="2" xfId="0" applyFont="1" applyFill="1" applyBorder="1"/>
    <xf numFmtId="0" fontId="23" fillId="2" borderId="0" xfId="0" applyFont="1" applyFill="1" applyBorder="1"/>
    <xf numFmtId="0" fontId="23" fillId="2" borderId="1" xfId="0" applyFont="1" applyFill="1" applyBorder="1"/>
    <xf numFmtId="165" fontId="22" fillId="2" borderId="2" xfId="1" applyNumberFormat="1" applyFont="1" applyFill="1" applyBorder="1"/>
    <xf numFmtId="165" fontId="22" fillId="2" borderId="0" xfId="1" applyNumberFormat="1" applyFont="1" applyFill="1" applyBorder="1"/>
    <xf numFmtId="169" fontId="3" fillId="0" borderId="1" xfId="2" applyNumberFormat="1" applyFont="1" applyBorder="1"/>
    <xf numFmtId="165" fontId="3" fillId="0" borderId="1" xfId="1" applyNumberFormat="1" applyFont="1" applyBorder="1"/>
    <xf numFmtId="169" fontId="3" fillId="0" borderId="0" xfId="2" applyNumberFormat="1" applyFont="1" applyBorder="1"/>
    <xf numFmtId="165" fontId="3" fillId="0" borderId="0" xfId="1" applyNumberFormat="1" applyFont="1" applyBorder="1"/>
    <xf numFmtId="165" fontId="14" fillId="0" borderId="4" xfId="1" applyNumberFormat="1" applyFont="1" applyBorder="1"/>
    <xf numFmtId="165" fontId="13" fillId="0" borderId="4" xfId="1" applyNumberFormat="1" applyFont="1" applyFill="1" applyBorder="1"/>
    <xf numFmtId="165" fontId="9" fillId="0" borderId="13" xfId="1" applyNumberFormat="1" applyFont="1" applyBorder="1"/>
    <xf numFmtId="0" fontId="3" fillId="0" borderId="15" xfId="0" applyFont="1" applyBorder="1" applyAlignment="1">
      <alignment horizontal="center"/>
    </xf>
    <xf numFmtId="164" fontId="22" fillId="2" borderId="1" xfId="1" applyNumberFormat="1" applyFont="1" applyFill="1" applyBorder="1"/>
    <xf numFmtId="0" fontId="9" fillId="0" borderId="1" xfId="0" applyFont="1" applyBorder="1"/>
    <xf numFmtId="165" fontId="14" fillId="0" borderId="1" xfId="1" applyNumberFormat="1" applyFont="1" applyBorder="1"/>
    <xf numFmtId="165" fontId="9" fillId="0" borderId="1" xfId="1" applyNumberFormat="1" applyFont="1" applyFill="1" applyBorder="1"/>
    <xf numFmtId="165" fontId="16" fillId="0" borderId="1" xfId="1" applyNumberFormat="1" applyFont="1" applyBorder="1"/>
    <xf numFmtId="165" fontId="9" fillId="0" borderId="0" xfId="0" applyNumberFormat="1" applyFont="1"/>
    <xf numFmtId="0" fontId="9" fillId="0" borderId="0" xfId="0" applyFont="1" applyAlignment="1">
      <alignment horizontal="right"/>
    </xf>
    <xf numFmtId="165" fontId="9" fillId="0" borderId="7" xfId="1" applyNumberFormat="1" applyFont="1" applyBorder="1"/>
    <xf numFmtId="169" fontId="13" fillId="0" borderId="16" xfId="2" applyNumberFormat="1" applyFont="1" applyBorder="1"/>
    <xf numFmtId="165" fontId="13" fillId="0" borderId="7" xfId="1" applyNumberFormat="1" applyFont="1" applyBorder="1" applyAlignment="1">
      <alignment horizontal="right"/>
    </xf>
    <xf numFmtId="165" fontId="13" fillId="2" borderId="2" xfId="1" applyNumberFormat="1" applyFont="1" applyFill="1" applyBorder="1"/>
    <xf numFmtId="165" fontId="13" fillId="2" borderId="0" xfId="1" applyNumberFormat="1" applyFont="1" applyFill="1" applyBorder="1"/>
    <xf numFmtId="17" fontId="9" fillId="0" borderId="0" xfId="0" applyNumberFormat="1" applyFont="1"/>
    <xf numFmtId="165" fontId="13" fillId="2" borderId="1" xfId="1" applyNumberFormat="1" applyFont="1" applyFill="1" applyBorder="1"/>
    <xf numFmtId="165" fontId="13" fillId="2" borderId="4" xfId="1" applyNumberFormat="1" applyFont="1" applyFill="1" applyBorder="1"/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12" fillId="0" borderId="0" xfId="0" applyNumberFormat="1" applyFont="1" applyFill="1" applyAlignment="1">
      <alignment horizontal="center"/>
    </xf>
    <xf numFmtId="0" fontId="19" fillId="0" borderId="0" xfId="0" applyFont="1" applyFill="1"/>
    <xf numFmtId="0" fontId="14" fillId="0" borderId="10" xfId="0" applyFont="1" applyBorder="1"/>
    <xf numFmtId="0" fontId="9" fillId="0" borderId="11" xfId="0" applyFont="1" applyBorder="1"/>
    <xf numFmtId="0" fontId="9" fillId="0" borderId="0" xfId="0" applyFont="1" applyFill="1"/>
    <xf numFmtId="0" fontId="24" fillId="0" borderId="0" xfId="0" applyFont="1"/>
    <xf numFmtId="165" fontId="13" fillId="0" borderId="0" xfId="1" applyNumberFormat="1" applyFont="1"/>
    <xf numFmtId="0" fontId="9" fillId="2" borderId="11" xfId="0" applyFont="1" applyFill="1" applyBorder="1"/>
    <xf numFmtId="169" fontId="13" fillId="2" borderId="11" xfId="2" applyNumberFormat="1" applyFont="1" applyFill="1" applyBorder="1"/>
    <xf numFmtId="165" fontId="9" fillId="2" borderId="11" xfId="1" applyNumberFormat="1" applyFont="1" applyFill="1" applyBorder="1"/>
    <xf numFmtId="0" fontId="13" fillId="2" borderId="17" xfId="0" applyFont="1" applyFill="1" applyBorder="1"/>
    <xf numFmtId="0" fontId="9" fillId="2" borderId="17" xfId="0" applyFont="1" applyFill="1" applyBorder="1"/>
    <xf numFmtId="169" fontId="13" fillId="2" borderId="17" xfId="2" applyNumberFormat="1" applyFont="1" applyFill="1" applyBorder="1"/>
    <xf numFmtId="165" fontId="9" fillId="2" borderId="17" xfId="1" applyNumberFormat="1" applyFont="1" applyFill="1" applyBorder="1"/>
    <xf numFmtId="0" fontId="7" fillId="0" borderId="0" xfId="0" applyFont="1" applyBorder="1"/>
    <xf numFmtId="0" fontId="25" fillId="0" borderId="0" xfId="0" applyFont="1" applyBorder="1"/>
    <xf numFmtId="0" fontId="9" fillId="0" borderId="6" xfId="1" applyNumberFormat="1" applyFont="1" applyBorder="1"/>
    <xf numFmtId="0" fontId="13" fillId="0" borderId="15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6" fontId="12" fillId="0" borderId="0" xfId="0" applyNumberFormat="1" applyFont="1" applyFill="1" applyBorder="1" applyAlignment="1">
      <alignment horizontal="center"/>
    </xf>
    <xf numFmtId="0" fontId="19" fillId="0" borderId="0" xfId="0" applyFont="1" applyFill="1" applyBorder="1"/>
    <xf numFmtId="0" fontId="13" fillId="0" borderId="0" xfId="0" applyFont="1" applyFill="1" applyBorder="1" applyAlignment="1">
      <alignment horizontal="center"/>
    </xf>
    <xf numFmtId="0" fontId="9" fillId="0" borderId="0" xfId="0" applyFont="1" applyFill="1" applyBorder="1"/>
    <xf numFmtId="0" fontId="13" fillId="0" borderId="15" xfId="0" applyFont="1" applyBorder="1" applyAlignment="1">
      <alignment horizontal="center"/>
    </xf>
    <xf numFmtId="165" fontId="9" fillId="0" borderId="0" xfId="1" applyNumberFormat="1" applyFont="1" applyFill="1"/>
    <xf numFmtId="165" fontId="13" fillId="0" borderId="0" xfId="0" applyNumberFormat="1" applyFont="1"/>
    <xf numFmtId="169" fontId="15" fillId="0" borderId="17" xfId="2" applyNumberFormat="1" applyFont="1" applyFill="1" applyBorder="1"/>
    <xf numFmtId="0" fontId="13" fillId="0" borderId="0" xfId="0" applyFont="1"/>
    <xf numFmtId="169" fontId="13" fillId="0" borderId="0" xfId="2" applyNumberFormat="1" applyFont="1" applyBorder="1"/>
    <xf numFmtId="0" fontId="3" fillId="0" borderId="13" xfId="0" applyFont="1" applyBorder="1" applyAlignment="1">
      <alignment horizontal="center"/>
    </xf>
    <xf numFmtId="165" fontId="3" fillId="0" borderId="7" xfId="1" applyNumberFormat="1" applyFont="1" applyBorder="1"/>
    <xf numFmtId="165" fontId="3" fillId="0" borderId="14" xfId="1" applyNumberFormat="1" applyFont="1" applyBorder="1"/>
    <xf numFmtId="165" fontId="2" fillId="0" borderId="5" xfId="1" applyNumberFormat="1" applyFont="1" applyBorder="1"/>
    <xf numFmtId="165" fontId="2" fillId="0" borderId="6" xfId="1" applyNumberFormat="1" applyFont="1" applyBorder="1"/>
    <xf numFmtId="0" fontId="13" fillId="0" borderId="10" xfId="0" applyFont="1" applyBorder="1" applyAlignment="1">
      <alignment horizontal="center"/>
    </xf>
    <xf numFmtId="0" fontId="15" fillId="0" borderId="0" xfId="0" applyFont="1" applyAlignment="1">
      <alignment horizontal="right"/>
    </xf>
    <xf numFmtId="169" fontId="13" fillId="0" borderId="0" xfId="2" applyNumberFormat="1" applyFont="1"/>
    <xf numFmtId="165" fontId="13" fillId="0" borderId="0" xfId="1" applyNumberFormat="1" applyFont="1" applyBorder="1" applyAlignment="1">
      <alignment horizontal="right"/>
    </xf>
    <xf numFmtId="0" fontId="9" fillId="0" borderId="6" xfId="0" applyNumberFormat="1" applyFont="1" applyBorder="1"/>
    <xf numFmtId="169" fontId="13" fillId="0" borderId="0" xfId="2" applyNumberFormat="1" applyFont="1" applyFill="1" applyBorder="1"/>
    <xf numFmtId="49" fontId="13" fillId="0" borderId="0" xfId="0" applyNumberFormat="1" applyFont="1" applyAlignment="1">
      <alignment horizontal="center"/>
    </xf>
    <xf numFmtId="169" fontId="21" fillId="0" borderId="0" xfId="2" applyNumberFormat="1" applyFont="1"/>
    <xf numFmtId="0" fontId="9" fillId="0" borderId="5" xfId="1" applyNumberFormat="1" applyFont="1" applyBorder="1"/>
    <xf numFmtId="0" fontId="2" fillId="0" borderId="2" xfId="0" quotePrefix="1" applyFont="1" applyBorder="1" applyAlignment="1">
      <alignment horizontal="left"/>
    </xf>
    <xf numFmtId="0" fontId="28" fillId="0" borderId="0" xfId="0" applyFont="1" applyFill="1" applyAlignment="1">
      <alignment horizontal="center"/>
    </xf>
    <xf numFmtId="0" fontId="29" fillId="0" borderId="0" xfId="0" applyFont="1" applyFill="1"/>
    <xf numFmtId="0" fontId="30" fillId="0" borderId="0" xfId="0" applyFont="1" applyFill="1" applyAlignment="1">
      <alignment horizontal="left"/>
    </xf>
    <xf numFmtId="0" fontId="0" fillId="0" borderId="0" xfId="0" applyAlignment="1"/>
    <xf numFmtId="0" fontId="32" fillId="0" borderId="0" xfId="0" applyFont="1" applyFill="1" applyAlignment="1">
      <alignment horizontal="right"/>
    </xf>
    <xf numFmtId="0" fontId="33" fillId="0" borderId="0" xfId="0" applyFont="1" applyFill="1" applyAlignment="1">
      <alignment horizontal="center"/>
    </xf>
    <xf numFmtId="0" fontId="29" fillId="0" borderId="0" xfId="0" applyFont="1" applyFill="1" applyAlignment="1"/>
    <xf numFmtId="166" fontId="34" fillId="0" borderId="0" xfId="0" quotePrefix="1" applyNumberFormat="1" applyFont="1" applyFill="1" applyAlignment="1">
      <alignment horizontal="right"/>
    </xf>
    <xf numFmtId="166" fontId="35" fillId="0" borderId="0" xfId="0" applyNumberFormat="1" applyFont="1" applyFill="1" applyAlignment="1">
      <alignment horizontal="center"/>
    </xf>
    <xf numFmtId="0" fontId="36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3" fillId="0" borderId="0" xfId="0" applyFont="1" applyBorder="1"/>
    <xf numFmtId="0" fontId="39" fillId="0" borderId="0" xfId="0" applyFont="1" applyFill="1" applyAlignment="1">
      <alignment vertical="center"/>
    </xf>
    <xf numFmtId="0" fontId="28" fillId="0" borderId="0" xfId="0" applyFont="1" applyFill="1" applyAlignment="1">
      <alignment horizontal="left" vertical="center"/>
    </xf>
    <xf numFmtId="0" fontId="29" fillId="0" borderId="0" xfId="0" applyFont="1" applyFill="1" applyAlignment="1">
      <alignment vertical="center"/>
    </xf>
    <xf numFmtId="0" fontId="29" fillId="0" borderId="0" xfId="0" applyFont="1" applyFill="1" applyAlignment="1">
      <alignment vertical="top"/>
    </xf>
    <xf numFmtId="0" fontId="0" fillId="0" borderId="0" xfId="0" applyAlignment="1">
      <alignment vertical="top"/>
    </xf>
    <xf numFmtId="0" fontId="39" fillId="0" borderId="0" xfId="0" applyFont="1" applyFill="1" applyAlignment="1">
      <alignment vertical="top"/>
    </xf>
    <xf numFmtId="0" fontId="33" fillId="0" borderId="0" xfId="0" applyFont="1" applyFill="1" applyAlignment="1">
      <alignment horizontal="left" vertical="top"/>
    </xf>
    <xf numFmtId="166" fontId="32" fillId="0" borderId="0" xfId="0" quotePrefix="1" applyNumberFormat="1" applyFont="1" applyFill="1" applyAlignment="1">
      <alignment horizontal="right"/>
    </xf>
    <xf numFmtId="0" fontId="35" fillId="0" borderId="0" xfId="0" applyFont="1" applyFill="1" applyAlignment="1">
      <alignment horizontal="right" vertical="top"/>
    </xf>
    <xf numFmtId="165" fontId="42" fillId="0" borderId="5" xfId="1" applyNumberFormat="1" applyFont="1" applyBorder="1" applyAlignment="1">
      <alignment horizontal="center"/>
    </xf>
    <xf numFmtId="165" fontId="42" fillId="0" borderId="6" xfId="1" applyNumberFormat="1" applyFont="1" applyBorder="1" applyAlignment="1">
      <alignment horizontal="center"/>
    </xf>
    <xf numFmtId="165" fontId="42" fillId="0" borderId="7" xfId="1" applyNumberFormat="1" applyFont="1" applyBorder="1" applyAlignment="1">
      <alignment horizontal="center"/>
    </xf>
    <xf numFmtId="0" fontId="41" fillId="0" borderId="1" xfId="0" applyFont="1" applyBorder="1" applyAlignment="1">
      <alignment horizontal="center" vertical="center" textRotation="90"/>
    </xf>
    <xf numFmtId="165" fontId="42" fillId="0" borderId="2" xfId="1" applyNumberFormat="1" applyFont="1" applyBorder="1" applyAlignment="1">
      <alignment horizontal="center"/>
    </xf>
    <xf numFmtId="165" fontId="42" fillId="0" borderId="0" xfId="1" applyNumberFormat="1" applyFont="1" applyBorder="1" applyAlignment="1">
      <alignment horizontal="center"/>
    </xf>
    <xf numFmtId="165" fontId="42" fillId="0" borderId="1" xfId="1" applyNumberFormat="1" applyFont="1" applyBorder="1" applyAlignment="1">
      <alignment horizontal="center"/>
    </xf>
    <xf numFmtId="169" fontId="43" fillId="2" borderId="15" xfId="2" applyNumberFormat="1" applyFont="1" applyFill="1" applyBorder="1"/>
    <xf numFmtId="0" fontId="41" fillId="0" borderId="6" xfId="0" applyFont="1" applyBorder="1" applyAlignment="1">
      <alignment horizontal="center" vertical="center" textRotation="90"/>
    </xf>
    <xf numFmtId="165" fontId="42" fillId="0" borderId="11" xfId="1" applyNumberFormat="1" applyFont="1" applyBorder="1" applyAlignment="1">
      <alignment horizontal="center"/>
    </xf>
    <xf numFmtId="0" fontId="9" fillId="0" borderId="0" xfId="0" applyFont="1" applyAlignment="1"/>
    <xf numFmtId="0" fontId="41" fillId="0" borderId="0" xfId="0" applyFont="1" applyBorder="1" applyAlignment="1">
      <alignment horizontal="center" vertical="center" textRotation="90"/>
    </xf>
    <xf numFmtId="0" fontId="9" fillId="0" borderId="0" xfId="1" applyNumberFormat="1" applyFont="1" applyBorder="1"/>
    <xf numFmtId="0" fontId="36" fillId="0" borderId="18" xfId="0" applyFont="1" applyBorder="1" applyAlignment="1">
      <alignment vertical="center"/>
    </xf>
    <xf numFmtId="0" fontId="9" fillId="3" borderId="0" xfId="0" applyFont="1" applyFill="1"/>
    <xf numFmtId="0" fontId="9" fillId="0" borderId="19" xfId="0" applyFont="1" applyBorder="1"/>
    <xf numFmtId="0" fontId="9" fillId="0" borderId="20" xfId="0" applyFont="1" applyBorder="1"/>
    <xf numFmtId="0" fontId="9" fillId="0" borderId="21" xfId="0" applyFont="1" applyBorder="1"/>
    <xf numFmtId="169" fontId="9" fillId="0" borderId="20" xfId="2" applyNumberFormat="1" applyFont="1" applyBorder="1"/>
    <xf numFmtId="169" fontId="13" fillId="0" borderId="21" xfId="2" applyNumberFormat="1" applyFont="1" applyBorder="1"/>
    <xf numFmtId="165" fontId="9" fillId="0" borderId="20" xfId="1" applyNumberFormat="1" applyFont="1" applyBorder="1"/>
    <xf numFmtId="165" fontId="13" fillId="0" borderId="21" xfId="1" applyNumberFormat="1" applyFont="1" applyBorder="1"/>
    <xf numFmtId="165" fontId="9" fillId="3" borderId="0" xfId="1" applyNumberFormat="1" applyFont="1" applyFill="1"/>
    <xf numFmtId="165" fontId="20" fillId="3" borderId="0" xfId="1" applyNumberFormat="1" applyFont="1" applyFill="1" applyAlignment="1">
      <alignment vertical="center"/>
    </xf>
    <xf numFmtId="165" fontId="13" fillId="0" borderId="20" xfId="1" applyNumberFormat="1" applyFont="1" applyBorder="1"/>
    <xf numFmtId="0" fontId="9" fillId="0" borderId="19" xfId="0" applyFont="1" applyFill="1" applyBorder="1"/>
    <xf numFmtId="165" fontId="9" fillId="0" borderId="20" xfId="1" applyNumberFormat="1" applyFont="1" applyFill="1" applyBorder="1"/>
    <xf numFmtId="165" fontId="13" fillId="0" borderId="21" xfId="1" applyNumberFormat="1" applyFont="1" applyFill="1" applyBorder="1"/>
    <xf numFmtId="165" fontId="13" fillId="0" borderId="20" xfId="1" applyNumberFormat="1" applyFont="1" applyFill="1" applyBorder="1"/>
    <xf numFmtId="0" fontId="13" fillId="0" borderId="2" xfId="0" applyFont="1" applyBorder="1"/>
    <xf numFmtId="0" fontId="13" fillId="0" borderId="8" xfId="0" applyFont="1" applyBorder="1"/>
    <xf numFmtId="0" fontId="13" fillId="0" borderId="9" xfId="0" applyFont="1" applyBorder="1"/>
    <xf numFmtId="165" fontId="13" fillId="0" borderId="14" xfId="1" applyNumberFormat="1" applyFont="1" applyBorder="1"/>
    <xf numFmtId="165" fontId="13" fillId="0" borderId="4" xfId="0" applyNumberFormat="1" applyFont="1" applyBorder="1"/>
    <xf numFmtId="165" fontId="13" fillId="0" borderId="1" xfId="0" applyNumberFormat="1" applyFont="1" applyBorder="1"/>
    <xf numFmtId="0" fontId="0" fillId="0" borderId="4" xfId="0" applyBorder="1"/>
    <xf numFmtId="165" fontId="0" fillId="0" borderId="1" xfId="0" applyNumberFormat="1" applyBorder="1"/>
    <xf numFmtId="165" fontId="2" fillId="0" borderId="2" xfId="0" applyNumberFormat="1" applyFont="1" applyBorder="1"/>
    <xf numFmtId="165" fontId="2" fillId="0" borderId="0" xfId="0" applyNumberFormat="1" applyFont="1" applyBorder="1"/>
    <xf numFmtId="165" fontId="9" fillId="0" borderId="0" xfId="1" applyNumberFormat="1" applyFont="1" applyBorder="1" applyAlignment="1">
      <alignment horizontal="right"/>
    </xf>
    <xf numFmtId="165" fontId="9" fillId="0" borderId="2" xfId="1" applyNumberFormat="1" applyFont="1" applyBorder="1" applyAlignment="1"/>
    <xf numFmtId="165" fontId="9" fillId="0" borderId="0" xfId="1" applyNumberFormat="1" applyFont="1" applyBorder="1" applyAlignment="1">
      <alignment horizontal="center"/>
    </xf>
    <xf numFmtId="165" fontId="9" fillId="0" borderId="0" xfId="1" applyNumberFormat="1" applyFont="1" applyBorder="1" applyAlignment="1"/>
    <xf numFmtId="165" fontId="9" fillId="0" borderId="1" xfId="1" applyNumberFormat="1" applyFont="1" applyBorder="1" applyAlignment="1"/>
    <xf numFmtId="0" fontId="46" fillId="0" borderId="0" xfId="0" applyFont="1" applyFill="1" applyAlignment="1">
      <alignment horizontal="right"/>
    </xf>
    <xf numFmtId="0" fontId="9" fillId="3" borderId="22" xfId="0" applyFont="1" applyFill="1" applyBorder="1" applyAlignment="1">
      <alignment vertical="center"/>
    </xf>
    <xf numFmtId="0" fontId="38" fillId="2" borderId="23" xfId="0" applyFont="1" applyFill="1" applyBorder="1" applyAlignment="1">
      <alignment horizontal="left" vertical="center" indent="1"/>
    </xf>
    <xf numFmtId="165" fontId="38" fillId="2" borderId="24" xfId="1" applyNumberFormat="1" applyFont="1" applyFill="1" applyBorder="1" applyAlignment="1">
      <alignment vertical="center"/>
    </xf>
    <xf numFmtId="165" fontId="38" fillId="2" borderId="10" xfId="1" applyNumberFormat="1" applyFont="1" applyFill="1" applyBorder="1" applyAlignment="1">
      <alignment vertical="center"/>
    </xf>
    <xf numFmtId="165" fontId="38" fillId="2" borderId="25" xfId="1" applyNumberFormat="1" applyFont="1" applyFill="1" applyBorder="1" applyAlignment="1">
      <alignment vertical="center"/>
    </xf>
    <xf numFmtId="165" fontId="44" fillId="2" borderId="25" xfId="1" applyNumberFormat="1" applyFont="1" applyFill="1" applyBorder="1" applyAlignment="1">
      <alignment vertical="center"/>
    </xf>
    <xf numFmtId="0" fontId="45" fillId="2" borderId="10" xfId="0" applyFont="1" applyFill="1" applyBorder="1"/>
    <xf numFmtId="0" fontId="45" fillId="2" borderId="11" xfId="0" applyFont="1" applyFill="1" applyBorder="1"/>
    <xf numFmtId="0" fontId="9" fillId="3" borderId="18" xfId="0" applyFont="1" applyFill="1" applyBorder="1" applyAlignment="1">
      <alignment vertical="center"/>
    </xf>
    <xf numFmtId="0" fontId="9" fillId="3" borderId="19" xfId="0" applyFont="1" applyFill="1" applyBorder="1"/>
    <xf numFmtId="0" fontId="20" fillId="3" borderId="19" xfId="0" applyFont="1" applyFill="1" applyBorder="1" applyAlignment="1">
      <alignment vertical="center"/>
    </xf>
    <xf numFmtId="0" fontId="9" fillId="3" borderId="26" xfId="0" applyFont="1" applyFill="1" applyBorder="1" applyAlignment="1">
      <alignment vertical="center"/>
    </xf>
    <xf numFmtId="0" fontId="9" fillId="3" borderId="0" xfId="0" applyFont="1" applyFill="1" applyBorder="1"/>
    <xf numFmtId="165" fontId="9" fillId="3" borderId="0" xfId="1" applyNumberFormat="1" applyFont="1" applyFill="1" applyBorder="1"/>
    <xf numFmtId="165" fontId="20" fillId="3" borderId="0" xfId="1" applyNumberFormat="1" applyFont="1" applyFill="1" applyBorder="1" applyAlignment="1">
      <alignment vertical="center"/>
    </xf>
    <xf numFmtId="165" fontId="13" fillId="3" borderId="0" xfId="1" applyNumberFormat="1" applyFont="1" applyFill="1" applyBorder="1"/>
    <xf numFmtId="165" fontId="9" fillId="0" borderId="2" xfId="1" applyNumberFormat="1" applyFont="1" applyBorder="1" applyAlignment="1">
      <alignment horizontal="center"/>
    </xf>
    <xf numFmtId="165" fontId="9" fillId="0" borderId="1" xfId="1" applyNumberFormat="1" applyFont="1" applyBorder="1" applyAlignment="1">
      <alignment horizontal="center"/>
    </xf>
    <xf numFmtId="0" fontId="37" fillId="0" borderId="27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13" fillId="0" borderId="29" xfId="0" applyFont="1" applyBorder="1" applyAlignment="1">
      <alignment horizontal="center"/>
    </xf>
    <xf numFmtId="0" fontId="13" fillId="0" borderId="30" xfId="0" applyFont="1" applyBorder="1" applyAlignment="1">
      <alignment horizontal="center"/>
    </xf>
    <xf numFmtId="0" fontId="9" fillId="3" borderId="31" xfId="0" applyFont="1" applyFill="1" applyBorder="1"/>
    <xf numFmtId="0" fontId="38" fillId="2" borderId="32" xfId="0" applyFont="1" applyFill="1" applyBorder="1" applyAlignment="1">
      <alignment horizontal="left" vertical="center" indent="1"/>
    </xf>
    <xf numFmtId="0" fontId="20" fillId="3" borderId="32" xfId="0" applyFont="1" applyFill="1" applyBorder="1" applyAlignment="1">
      <alignment vertical="center"/>
    </xf>
    <xf numFmtId="169" fontId="38" fillId="2" borderId="33" xfId="2" applyNumberFormat="1" applyFont="1" applyFill="1" applyBorder="1" applyAlignment="1">
      <alignment vertical="center"/>
    </xf>
    <xf numFmtId="169" fontId="38" fillId="2" borderId="34" xfId="2" applyNumberFormat="1" applyFont="1" applyFill="1" applyBorder="1" applyAlignment="1">
      <alignment vertical="center"/>
    </xf>
    <xf numFmtId="169" fontId="44" fillId="2" borderId="35" xfId="2" applyNumberFormat="1" applyFont="1" applyFill="1" applyBorder="1" applyAlignment="1">
      <alignment vertical="center"/>
    </xf>
    <xf numFmtId="165" fontId="20" fillId="3" borderId="36" xfId="1" applyNumberFormat="1" applyFont="1" applyFill="1" applyBorder="1" applyAlignment="1">
      <alignment vertical="center"/>
    </xf>
    <xf numFmtId="0" fontId="9" fillId="3" borderId="27" xfId="0" applyFont="1" applyFill="1" applyBorder="1"/>
    <xf numFmtId="169" fontId="9" fillId="0" borderId="4" xfId="2" applyNumberFormat="1" applyFont="1" applyBorder="1"/>
    <xf numFmtId="165" fontId="9" fillId="0" borderId="4" xfId="1" applyNumberFormat="1" applyFont="1" applyBorder="1"/>
    <xf numFmtId="0" fontId="20" fillId="3" borderId="37" xfId="0" applyFont="1" applyFill="1" applyBorder="1" applyAlignment="1">
      <alignment vertical="center"/>
    </xf>
    <xf numFmtId="165" fontId="38" fillId="2" borderId="15" xfId="1" applyNumberFormat="1" applyFont="1" applyFill="1" applyBorder="1" applyAlignment="1">
      <alignment vertical="center"/>
    </xf>
    <xf numFmtId="165" fontId="38" fillId="2" borderId="38" xfId="1" applyNumberFormat="1" applyFont="1" applyFill="1" applyBorder="1" applyAlignment="1">
      <alignment vertical="center"/>
    </xf>
    <xf numFmtId="0" fontId="9" fillId="3" borderId="37" xfId="0" applyFont="1" applyFill="1" applyBorder="1"/>
    <xf numFmtId="165" fontId="9" fillId="0" borderId="4" xfId="1" applyNumberFormat="1" applyFont="1" applyFill="1" applyBorder="1"/>
    <xf numFmtId="0" fontId="20" fillId="3" borderId="39" xfId="0" applyFont="1" applyFill="1" applyBorder="1" applyAlignment="1">
      <alignment vertical="center"/>
    </xf>
    <xf numFmtId="169" fontId="38" fillId="2" borderId="40" xfId="2" applyNumberFormat="1" applyFont="1" applyFill="1" applyBorder="1" applyAlignment="1">
      <alignment vertical="center"/>
    </xf>
    <xf numFmtId="6" fontId="43" fillId="2" borderId="15" xfId="2" applyNumberFormat="1" applyFont="1" applyFill="1" applyBorder="1"/>
    <xf numFmtId="165" fontId="13" fillId="0" borderId="2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42" fillId="0" borderId="9" xfId="1" applyNumberFormat="1" applyFont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9" fillId="0" borderId="2" xfId="1" applyNumberFormat="1" applyFont="1" applyBorder="1" applyAlignment="1">
      <alignment vertical="center"/>
    </xf>
    <xf numFmtId="165" fontId="9" fillId="0" borderId="0" xfId="1" applyNumberFormat="1" applyFont="1" applyBorder="1" applyAlignment="1">
      <alignment vertical="center"/>
    </xf>
    <xf numFmtId="165" fontId="9" fillId="0" borderId="1" xfId="1" applyNumberFormat="1" applyFont="1" applyBorder="1" applyAlignment="1">
      <alignment vertical="center"/>
    </xf>
    <xf numFmtId="165" fontId="42" fillId="0" borderId="1" xfId="1" applyNumberFormat="1" applyFont="1" applyBorder="1" applyAlignment="1">
      <alignment horizontal="center" vertical="center"/>
    </xf>
    <xf numFmtId="169" fontId="9" fillId="0" borderId="37" xfId="2" applyNumberFormat="1" applyFont="1" applyBorder="1"/>
    <xf numFmtId="165" fontId="9" fillId="0" borderId="37" xfId="1" applyNumberFormat="1" applyFont="1" applyBorder="1"/>
    <xf numFmtId="165" fontId="9" fillId="0" borderId="41" xfId="1" applyNumberFormat="1" applyFont="1" applyBorder="1"/>
    <xf numFmtId="0" fontId="13" fillId="0" borderId="42" xfId="0" applyFont="1" applyBorder="1" applyAlignment="1">
      <alignment horizontal="center"/>
    </xf>
    <xf numFmtId="0" fontId="13" fillId="0" borderId="43" xfId="0" applyFont="1" applyBorder="1" applyAlignment="1">
      <alignment horizontal="center"/>
    </xf>
    <xf numFmtId="0" fontId="15" fillId="0" borderId="0" xfId="0" applyFont="1" applyFill="1" applyBorder="1"/>
    <xf numFmtId="175" fontId="15" fillId="0" borderId="0" xfId="0" applyNumberFormat="1" applyFont="1" applyFill="1" applyBorder="1" applyAlignment="1">
      <alignment horizontal="right"/>
    </xf>
    <xf numFmtId="169" fontId="15" fillId="0" borderId="0" xfId="2" applyNumberFormat="1" applyFont="1" applyFill="1" applyBorder="1"/>
    <xf numFmtId="169" fontId="15" fillId="0" borderId="0" xfId="0" applyNumberFormat="1" applyFont="1" applyFill="1" applyBorder="1"/>
    <xf numFmtId="169" fontId="15" fillId="0" borderId="9" xfId="0" applyNumberFormat="1" applyFont="1" applyFill="1" applyBorder="1"/>
    <xf numFmtId="165" fontId="15" fillId="2" borderId="12" xfId="1" applyNumberFormat="1" applyFont="1" applyFill="1" applyBorder="1"/>
    <xf numFmtId="0" fontId="9" fillId="3" borderId="44" xfId="0" applyFont="1" applyFill="1" applyBorder="1"/>
    <xf numFmtId="0" fontId="9" fillId="0" borderId="45" xfId="0" applyFont="1" applyBorder="1"/>
    <xf numFmtId="165" fontId="49" fillId="0" borderId="5" xfId="1" applyNumberFormat="1" applyFont="1" applyBorder="1" applyAlignment="1">
      <alignment horizontal="center"/>
    </xf>
    <xf numFmtId="165" fontId="49" fillId="0" borderId="6" xfId="1" applyNumberFormat="1" applyFont="1" applyBorder="1" applyAlignment="1">
      <alignment horizontal="center"/>
    </xf>
    <xf numFmtId="165" fontId="49" fillId="0" borderId="7" xfId="1" applyNumberFormat="1" applyFont="1" applyBorder="1" applyAlignment="1">
      <alignment horizontal="center"/>
    </xf>
    <xf numFmtId="165" fontId="49" fillId="0" borderId="2" xfId="1" applyNumberFormat="1" applyFont="1" applyBorder="1" applyAlignment="1">
      <alignment horizontal="center"/>
    </xf>
    <xf numFmtId="165" fontId="49" fillId="0" borderId="0" xfId="1" applyNumberFormat="1" applyFont="1" applyBorder="1" applyAlignment="1">
      <alignment horizontal="center"/>
    </xf>
    <xf numFmtId="165" fontId="49" fillId="0" borderId="1" xfId="1" applyNumberFormat="1" applyFont="1" applyBorder="1" applyAlignment="1">
      <alignment horizontal="center"/>
    </xf>
    <xf numFmtId="165" fontId="49" fillId="0" borderId="9" xfId="1" applyNumberFormat="1" applyFont="1" applyBorder="1" applyAlignment="1">
      <alignment horizontal="center"/>
    </xf>
    <xf numFmtId="169" fontId="47" fillId="2" borderId="15" xfId="2" applyNumberFormat="1" applyFont="1" applyFill="1" applyBorder="1"/>
    <xf numFmtId="6" fontId="47" fillId="2" borderId="15" xfId="2" applyNumberFormat="1" applyFont="1" applyFill="1" applyBorder="1"/>
    <xf numFmtId="0" fontId="48" fillId="0" borderId="0" xfId="0" applyFont="1" applyFill="1" applyBorder="1" applyAlignment="1">
      <alignment horizontal="center" vertical="center" textRotation="90"/>
    </xf>
    <xf numFmtId="169" fontId="47" fillId="0" borderId="11" xfId="2" applyNumberFormat="1" applyFont="1" applyFill="1" applyBorder="1"/>
    <xf numFmtId="6" fontId="47" fillId="0" borderId="11" xfId="2" applyNumberFormat="1" applyFont="1" applyFill="1" applyBorder="1"/>
    <xf numFmtId="165" fontId="2" fillId="0" borderId="0" xfId="0" applyNumberFormat="1" applyFont="1"/>
    <xf numFmtId="0" fontId="7" fillId="0" borderId="1" xfId="0" applyFont="1" applyBorder="1"/>
    <xf numFmtId="165" fontId="13" fillId="0" borderId="14" xfId="1" applyNumberFormat="1" applyFont="1" applyBorder="1" applyAlignment="1">
      <alignment horizontal="center"/>
    </xf>
    <xf numFmtId="165" fontId="13" fillId="0" borderId="9" xfId="1" applyNumberFormat="1" applyFont="1" applyBorder="1" applyAlignment="1">
      <alignment horizontal="center"/>
    </xf>
    <xf numFmtId="0" fontId="0" fillId="0" borderId="1" xfId="0" applyBorder="1"/>
    <xf numFmtId="0" fontId="15" fillId="0" borderId="0" xfId="0" applyFont="1" applyFill="1" applyBorder="1" applyAlignment="1">
      <alignment vertical="top"/>
    </xf>
    <xf numFmtId="42" fontId="15" fillId="0" borderId="16" xfId="0" applyNumberFormat="1" applyFont="1" applyFill="1" applyBorder="1" applyAlignment="1">
      <alignment vertical="top"/>
    </xf>
    <xf numFmtId="42" fontId="15" fillId="0" borderId="0" xfId="0" applyNumberFormat="1" applyFont="1" applyAlignment="1">
      <alignment horizontal="left" vertical="top"/>
    </xf>
    <xf numFmtId="0" fontId="9" fillId="0" borderId="0" xfId="0" quotePrefix="1" applyFont="1" applyAlignment="1">
      <alignment horizontal="left"/>
    </xf>
    <xf numFmtId="165" fontId="8" fillId="0" borderId="0" xfId="1" quotePrefix="1" applyNumberFormat="1" applyFont="1" applyFill="1" applyBorder="1" applyAlignment="1">
      <alignment horizontal="center"/>
    </xf>
    <xf numFmtId="0" fontId="13" fillId="0" borderId="8" xfId="0" quotePrefix="1" applyFont="1" applyBorder="1" applyAlignment="1">
      <alignment horizontal="center"/>
    </xf>
    <xf numFmtId="0" fontId="13" fillId="0" borderId="9" xfId="0" quotePrefix="1" applyFont="1" applyBorder="1" applyAlignment="1">
      <alignment horizontal="center"/>
    </xf>
    <xf numFmtId="165" fontId="47" fillId="0" borderId="0" xfId="1" applyNumberFormat="1" applyFont="1" applyBorder="1"/>
    <xf numFmtId="0" fontId="37" fillId="0" borderId="46" xfId="0" applyFont="1" applyBorder="1" applyAlignment="1">
      <alignment horizontal="center" vertical="center"/>
    </xf>
    <xf numFmtId="0" fontId="37" fillId="0" borderId="47" xfId="0" applyFont="1" applyBorder="1" applyAlignment="1">
      <alignment horizontal="center" vertical="center"/>
    </xf>
    <xf numFmtId="0" fontId="37" fillId="0" borderId="48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169" fontId="15" fillId="0" borderId="16" xfId="0" applyNumberFormat="1" applyFont="1" applyFill="1" applyBorder="1" applyAlignment="1">
      <alignment horizontal="center" vertical="top"/>
    </xf>
    <xf numFmtId="169" fontId="15" fillId="0" borderId="0" xfId="2" applyNumberFormat="1" applyFont="1" applyFill="1" applyBorder="1" applyAlignment="1">
      <alignment horizontal="center"/>
    </xf>
    <xf numFmtId="169" fontId="15" fillId="0" borderId="9" xfId="0" applyNumberFormat="1" applyFont="1" applyFill="1" applyBorder="1" applyAlignment="1">
      <alignment horizontal="center"/>
    </xf>
    <xf numFmtId="165" fontId="13" fillId="0" borderId="1" xfId="1" applyNumberFormat="1" applyFont="1" applyBorder="1" applyAlignment="1">
      <alignment horizontal="center"/>
    </xf>
    <xf numFmtId="165" fontId="13" fillId="0" borderId="0" xfId="1" applyNumberFormat="1" applyFont="1" applyBorder="1" applyAlignment="1">
      <alignment horizontal="center"/>
    </xf>
    <xf numFmtId="165" fontId="15" fillId="2" borderId="11" xfId="1" applyNumberFormat="1" applyFont="1" applyFill="1" applyBorder="1" applyAlignment="1">
      <alignment horizontal="center"/>
    </xf>
    <xf numFmtId="165" fontId="15" fillId="2" borderId="12" xfId="1" applyNumberFormat="1" applyFont="1" applyFill="1" applyBorder="1" applyAlignment="1">
      <alignment horizontal="center"/>
    </xf>
    <xf numFmtId="0" fontId="45" fillId="2" borderId="10" xfId="0" applyFont="1" applyFill="1" applyBorder="1" applyAlignment="1">
      <alignment horizontal="left"/>
    </xf>
    <xf numFmtId="0" fontId="45" fillId="2" borderId="11" xfId="0" applyFont="1" applyFill="1" applyBorder="1" applyAlignment="1">
      <alignment horizontal="left"/>
    </xf>
    <xf numFmtId="0" fontId="45" fillId="2" borderId="12" xfId="0" applyFont="1" applyFill="1" applyBorder="1" applyAlignment="1">
      <alignment horizontal="left"/>
    </xf>
    <xf numFmtId="0" fontId="13" fillId="0" borderId="5" xfId="0" applyFont="1" applyBorder="1" applyAlignment="1">
      <alignment horizontal="center"/>
    </xf>
    <xf numFmtId="166" fontId="33" fillId="0" borderId="0" xfId="0" applyNumberFormat="1" applyFont="1" applyFill="1" applyAlignment="1">
      <alignment horizontal="right" vertical="top"/>
    </xf>
    <xf numFmtId="0" fontId="41" fillId="0" borderId="5" xfId="0" applyFont="1" applyBorder="1" applyAlignment="1">
      <alignment horizontal="center" vertical="center" textRotation="90"/>
    </xf>
    <xf numFmtId="0" fontId="41" fillId="0" borderId="2" xfId="0" applyFont="1" applyBorder="1" applyAlignment="1">
      <alignment horizontal="center" vertical="center" textRotation="90"/>
    </xf>
    <xf numFmtId="0" fontId="41" fillId="0" borderId="8" xfId="0" applyFont="1" applyBorder="1" applyAlignment="1">
      <alignment horizontal="center" vertical="center" textRotation="90"/>
    </xf>
    <xf numFmtId="0" fontId="41" fillId="0" borderId="7" xfId="0" applyFont="1" applyBorder="1" applyAlignment="1">
      <alignment horizontal="center" vertical="center" textRotation="90"/>
    </xf>
    <xf numFmtId="0" fontId="41" fillId="0" borderId="1" xfId="0" applyFont="1" applyBorder="1" applyAlignment="1">
      <alignment horizontal="center" vertical="center" textRotation="90"/>
    </xf>
    <xf numFmtId="0" fontId="41" fillId="0" borderId="14" xfId="0" applyFont="1" applyBorder="1" applyAlignment="1">
      <alignment horizontal="center" vertical="center" textRotation="90"/>
    </xf>
    <xf numFmtId="0" fontId="40" fillId="0" borderId="10" xfId="0" applyFont="1" applyFill="1" applyBorder="1" applyAlignment="1">
      <alignment horizontal="center" vertical="center"/>
    </xf>
    <xf numFmtId="0" fontId="40" fillId="0" borderId="11" xfId="0" applyFont="1" applyFill="1" applyBorder="1" applyAlignment="1">
      <alignment horizontal="center" vertical="center"/>
    </xf>
    <xf numFmtId="0" fontId="40" fillId="0" borderId="12" xfId="0" applyFont="1" applyFill="1" applyBorder="1" applyAlignment="1">
      <alignment horizontal="center" vertical="center"/>
    </xf>
    <xf numFmtId="0" fontId="41" fillId="0" borderId="5" xfId="0" applyFont="1" applyFill="1" applyBorder="1" applyAlignment="1">
      <alignment horizontal="center" vertical="center" textRotation="90"/>
    </xf>
    <xf numFmtId="0" fontId="41" fillId="0" borderId="2" xfId="0" applyFont="1" applyFill="1" applyBorder="1" applyAlignment="1">
      <alignment horizontal="center" vertical="center" textRotation="90"/>
    </xf>
    <xf numFmtId="0" fontId="41" fillId="0" borderId="8" xfId="0" applyFont="1" applyFill="1" applyBorder="1" applyAlignment="1">
      <alignment horizontal="center" vertical="center" textRotation="90"/>
    </xf>
    <xf numFmtId="0" fontId="41" fillId="0" borderId="7" xfId="0" applyFont="1" applyFill="1" applyBorder="1" applyAlignment="1">
      <alignment horizontal="center" vertical="center" textRotation="90"/>
    </xf>
    <xf numFmtId="0" fontId="41" fillId="0" borderId="1" xfId="0" applyFont="1" applyFill="1" applyBorder="1" applyAlignment="1">
      <alignment horizontal="center" vertical="center" textRotation="90"/>
    </xf>
    <xf numFmtId="0" fontId="41" fillId="0" borderId="14" xfId="0" applyFont="1" applyFill="1" applyBorder="1" applyAlignment="1">
      <alignment horizontal="center" vertical="center" textRotation="90"/>
    </xf>
    <xf numFmtId="0" fontId="10" fillId="3" borderId="0" xfId="0" applyFont="1" applyFill="1" applyAlignment="1">
      <alignment horizontal="center"/>
    </xf>
    <xf numFmtId="0" fontId="11" fillId="3" borderId="0" xfId="0" applyFont="1" applyFill="1" applyAlignment="1">
      <alignment horizontal="center"/>
    </xf>
    <xf numFmtId="166" fontId="12" fillId="3" borderId="0" xfId="0" applyNumberFormat="1" applyFont="1" applyFill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166" fontId="12" fillId="3" borderId="0" xfId="0" quotePrefix="1" applyNumberFormat="1" applyFont="1" applyFill="1" applyAlignment="1">
      <alignment horizontal="center"/>
    </xf>
    <xf numFmtId="0" fontId="41" fillId="0" borderId="6" xfId="0" applyFont="1" applyBorder="1" applyAlignment="1">
      <alignment horizontal="center" vertical="center" textRotation="90"/>
    </xf>
    <xf numFmtId="0" fontId="41" fillId="0" borderId="0" xfId="0" applyFont="1" applyBorder="1" applyAlignment="1">
      <alignment horizontal="center" vertical="center" textRotation="90"/>
    </xf>
    <xf numFmtId="0" fontId="41" fillId="0" borderId="9" xfId="0" applyFont="1" applyBorder="1" applyAlignment="1">
      <alignment horizontal="center" vertical="center" textRotation="90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3" borderId="0" xfId="0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77" name="Text Box 1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4578" name="Line 2"/>
        <xdr:cNvSpPr>
          <a:spLocks noChangeShapeType="1"/>
        </xdr:cNvSpPr>
      </xdr:nvSpPr>
      <xdr:spPr bwMode="auto">
        <a:xfrm flipH="1">
          <a:off x="9525" y="47625"/>
          <a:ext cx="33337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79" name="Line 3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4580" name="Text Box 4"/>
        <xdr:cNvSpPr txBox="1">
          <a:spLocks noChangeArrowheads="1"/>
        </xdr:cNvSpPr>
      </xdr:nvSpPr>
      <xdr:spPr bwMode="auto">
        <a:xfrm>
          <a:off x="7343775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7</xdr:col>
      <xdr:colOff>495300</xdr:colOff>
      <xdr:row>0</xdr:row>
      <xdr:rowOff>47625</xdr:rowOff>
    </xdr:to>
    <xdr:sp macro="" textlink="">
      <xdr:nvSpPr>
        <xdr:cNvPr id="24581" name="Line 5"/>
        <xdr:cNvSpPr>
          <a:spLocks noChangeShapeType="1"/>
        </xdr:cNvSpPr>
      </xdr:nvSpPr>
      <xdr:spPr bwMode="auto">
        <a:xfrm flipH="1" flipV="1">
          <a:off x="9525" y="47625"/>
          <a:ext cx="4429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4582" name="Line 6"/>
        <xdr:cNvSpPr>
          <a:spLocks noChangeShapeType="1"/>
        </xdr:cNvSpPr>
      </xdr:nvSpPr>
      <xdr:spPr bwMode="auto">
        <a:xfrm flipH="1">
          <a:off x="2085975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1</xdr:row>
      <xdr:rowOff>76200</xdr:rowOff>
    </xdr:from>
    <xdr:to>
      <xdr:col>14</xdr:col>
      <xdr:colOff>514350</xdr:colOff>
      <xdr:row>3</xdr:row>
      <xdr:rowOff>38100</xdr:rowOff>
    </xdr:to>
    <xdr:sp macro="" textlink="">
      <xdr:nvSpPr>
        <xdr:cNvPr id="1029" name="Text Box 5"/>
        <xdr:cNvSpPr txBox="1">
          <a:spLocks noChangeArrowheads="1"/>
        </xdr:cNvSpPr>
      </xdr:nvSpPr>
      <xdr:spPr bwMode="auto">
        <a:xfrm>
          <a:off x="7200900" y="762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29" name="Line 1"/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0" name="Line 2"/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2531" name="Line 3"/>
        <xdr:cNvSpPr>
          <a:spLocks noChangeShapeType="1"/>
        </xdr:cNvSpPr>
      </xdr:nvSpPr>
      <xdr:spPr bwMode="auto">
        <a:xfrm flipH="1">
          <a:off x="0" y="47625"/>
          <a:ext cx="72104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2532" name="Line 4"/>
        <xdr:cNvSpPr>
          <a:spLocks noChangeShapeType="1"/>
        </xdr:cNvSpPr>
      </xdr:nvSpPr>
      <xdr:spPr bwMode="auto">
        <a:xfrm flipH="1">
          <a:off x="4238625" y="723900"/>
          <a:ext cx="5600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6145" name="Text Box 1"/>
        <xdr:cNvSpPr txBox="1">
          <a:spLocks noChangeArrowheads="1"/>
        </xdr:cNvSpPr>
      </xdr:nvSpPr>
      <xdr:spPr bwMode="auto">
        <a:xfrm>
          <a:off x="756285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1</xdr:row>
      <xdr:rowOff>66675</xdr:rowOff>
    </xdr:from>
    <xdr:to>
      <xdr:col>10</xdr:col>
      <xdr:colOff>981075</xdr:colOff>
      <xdr:row>3</xdr:row>
      <xdr:rowOff>47625</xdr:rowOff>
    </xdr:to>
    <xdr:sp macro="" textlink="">
      <xdr:nvSpPr>
        <xdr:cNvPr id="25601" name="Text Box 1"/>
        <xdr:cNvSpPr txBox="1">
          <a:spLocks noChangeArrowheads="1"/>
        </xdr:cNvSpPr>
      </xdr:nvSpPr>
      <xdr:spPr bwMode="auto">
        <a:xfrm>
          <a:off x="6438900" y="228600"/>
          <a:ext cx="201930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238125</xdr:colOff>
      <xdr:row>1</xdr:row>
      <xdr:rowOff>76200</xdr:rowOff>
    </xdr:from>
    <xdr:to>
      <xdr:col>15</xdr:col>
      <xdr:colOff>514350</xdr:colOff>
      <xdr:row>3</xdr:row>
      <xdr:rowOff>57150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7953375" y="238125"/>
          <a:ext cx="18859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3" name="Text Box 1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H="1">
          <a:off x="9525" y="47625"/>
          <a:ext cx="3248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3556" name="Text Box 4"/>
        <xdr:cNvSpPr txBox="1">
          <a:spLocks noChangeArrowheads="1"/>
        </xdr:cNvSpPr>
      </xdr:nvSpPr>
      <xdr:spPr bwMode="auto">
        <a:xfrm>
          <a:off x="731520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H="1">
          <a:off x="9525" y="47625"/>
          <a:ext cx="4295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 flipH="1">
          <a:off x="2057400" y="809625"/>
          <a:ext cx="51911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1" name="Text Box 1"/>
        <xdr:cNvSpPr txBox="1">
          <a:spLocks noChangeArrowheads="1"/>
        </xdr:cNvSpPr>
      </xdr:nvSpPr>
      <xdr:spPr bwMode="auto">
        <a:xfrm>
          <a:off x="74866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5</xdr:col>
      <xdr:colOff>38100</xdr:colOff>
      <xdr:row>0</xdr:row>
      <xdr:rowOff>47625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H="1">
          <a:off x="9525" y="47625"/>
          <a:ext cx="3476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H="1">
          <a:off x="208597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0</xdr:colOff>
      <xdr:row>0</xdr:row>
      <xdr:rowOff>0</xdr:rowOff>
    </xdr:from>
    <xdr:to>
      <xdr:col>21</xdr:col>
      <xdr:colOff>419100</xdr:colOff>
      <xdr:row>0</xdr:row>
      <xdr:rowOff>0</xdr:rowOff>
    </xdr:to>
    <xdr:sp macro="" textlink="">
      <xdr:nvSpPr>
        <xdr:cNvPr id="20486" name="Text Box 6"/>
        <xdr:cNvSpPr txBox="1">
          <a:spLocks noChangeArrowheads="1"/>
        </xdr:cNvSpPr>
      </xdr:nvSpPr>
      <xdr:spPr bwMode="auto">
        <a:xfrm>
          <a:off x="7486650" y="0"/>
          <a:ext cx="363855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r" rtl="0">
            <a:defRPr sz="1000"/>
          </a:pPr>
          <a:endParaRPr lang="en-US"/>
        </a:p>
      </xdr:txBody>
    </xdr:sp>
    <xdr:clientData/>
  </xdr:twoCellAnchor>
  <xdr:twoCellAnchor>
    <xdr:from>
      <xdr:col>0</xdr:col>
      <xdr:colOff>9525</xdr:colOff>
      <xdr:row>0</xdr:row>
      <xdr:rowOff>47625</xdr:rowOff>
    </xdr:from>
    <xdr:to>
      <xdr:col>9</xdr:col>
      <xdr:colOff>9525</xdr:colOff>
      <xdr:row>0</xdr:row>
      <xdr:rowOff>47625</xdr:rowOff>
    </xdr:to>
    <xdr:sp macro="" textlink="">
      <xdr:nvSpPr>
        <xdr:cNvPr id="20487" name="Line 7"/>
        <xdr:cNvSpPr>
          <a:spLocks noChangeShapeType="1"/>
        </xdr:cNvSpPr>
      </xdr:nvSpPr>
      <xdr:spPr bwMode="auto">
        <a:xfrm flipH="1">
          <a:off x="9525" y="47625"/>
          <a:ext cx="51530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114300</xdr:rowOff>
    </xdr:from>
    <xdr:to>
      <xdr:col>13</xdr:col>
      <xdr:colOff>571500</xdr:colOff>
      <xdr:row>3</xdr:row>
      <xdr:rowOff>114300</xdr:rowOff>
    </xdr:to>
    <xdr:sp macro="" textlink="">
      <xdr:nvSpPr>
        <xdr:cNvPr id="20488" name="Line 8"/>
        <xdr:cNvSpPr>
          <a:spLocks noChangeShapeType="1"/>
        </xdr:cNvSpPr>
      </xdr:nvSpPr>
      <xdr:spPr bwMode="auto">
        <a:xfrm flipH="1">
          <a:off x="2085975" y="809625"/>
          <a:ext cx="533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11</xdr:col>
      <xdr:colOff>847725</xdr:colOff>
      <xdr:row>0</xdr:row>
      <xdr:rowOff>47625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 flipH="1">
          <a:off x="0" y="47625"/>
          <a:ext cx="71818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333375</xdr:colOff>
      <xdr:row>3</xdr:row>
      <xdr:rowOff>85725</xdr:rowOff>
    </xdr:from>
    <xdr:to>
      <xdr:col>17</xdr:col>
      <xdr:colOff>9525</xdr:colOff>
      <xdr:row>3</xdr:row>
      <xdr:rowOff>85725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H="1">
          <a:off x="4305300" y="723900"/>
          <a:ext cx="535305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104775</xdr:colOff>
      <xdr:row>0</xdr:row>
      <xdr:rowOff>95250</xdr:rowOff>
    </xdr:from>
    <xdr:to>
      <xdr:col>12</xdr:col>
      <xdr:colOff>504825</xdr:colOff>
      <xdr:row>2</xdr:row>
      <xdr:rowOff>85725</xdr:rowOff>
    </xdr:to>
    <xdr:sp macro="" textlink="">
      <xdr:nvSpPr>
        <xdr:cNvPr id="11265" name="Text Box 1"/>
        <xdr:cNvSpPr txBox="1">
          <a:spLocks noChangeArrowheads="1"/>
        </xdr:cNvSpPr>
      </xdr:nvSpPr>
      <xdr:spPr bwMode="auto">
        <a:xfrm>
          <a:off x="4448175" y="95250"/>
          <a:ext cx="1095375" cy="400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82581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466725</xdr:colOff>
      <xdr:row>0</xdr:row>
      <xdr:rowOff>76200</xdr:rowOff>
    </xdr:from>
    <xdr:to>
      <xdr:col>21</xdr:col>
      <xdr:colOff>428625</xdr:colOff>
      <xdr:row>2</xdr:row>
      <xdr:rowOff>38100</xdr:rowOff>
    </xdr:to>
    <xdr:sp macro="" textlink="">
      <xdr:nvSpPr>
        <xdr:cNvPr id="2157" name="Text Box 109"/>
        <xdr:cNvSpPr txBox="1">
          <a:spLocks noChangeArrowheads="1"/>
        </xdr:cNvSpPr>
      </xdr:nvSpPr>
      <xdr:spPr bwMode="auto">
        <a:xfrm>
          <a:off x="8715375" y="76200"/>
          <a:ext cx="2533650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1</xdr:row>
      <xdr:rowOff>76200</xdr:rowOff>
    </xdr:from>
    <xdr:to>
      <xdr:col>21</xdr:col>
      <xdr:colOff>438150</xdr:colOff>
      <xdr:row>3</xdr:row>
      <xdr:rowOff>76200</xdr:rowOff>
    </xdr:to>
    <xdr:sp macro="" textlink="">
      <xdr:nvSpPr>
        <xdr:cNvPr id="8383" name="Text Box 191"/>
        <xdr:cNvSpPr txBox="1">
          <a:spLocks noChangeArrowheads="1"/>
        </xdr:cNvSpPr>
      </xdr:nvSpPr>
      <xdr:spPr bwMode="auto">
        <a:xfrm>
          <a:off x="8067675" y="76200"/>
          <a:ext cx="1504950" cy="4095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12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0</xdr:row>
      <xdr:rowOff>76200</xdr:rowOff>
    </xdr:from>
    <xdr:to>
      <xdr:col>10</xdr:col>
      <xdr:colOff>514350</xdr:colOff>
      <xdr:row>2</xdr:row>
      <xdr:rowOff>38100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5010150" y="76200"/>
          <a:ext cx="1914525" cy="3714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0" tIns="27432" rIns="27432" bIns="0" anchor="t" upright="1"/>
        <a:lstStyle/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CONFIDENTIAL &amp; PROPRIETARY</a:t>
          </a:r>
        </a:p>
        <a:p>
          <a:pPr algn="r" rtl="0">
            <a:defRPr sz="1000"/>
          </a:pPr>
          <a:r>
            <a:rPr lang="en-US" sz="800" b="1" i="1" u="none" strike="noStrike" baseline="0">
              <a:solidFill>
                <a:srgbClr val="FFFFFF"/>
              </a:solidFill>
              <a:latin typeface="Arial Narrow"/>
            </a:rPr>
            <a:t>DO NOT COPY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%20form%20summar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gmtSum-Q2-04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"/>
      <sheetName val="1Q"/>
      <sheetName val="2QTD"/>
    </sheetNames>
    <sheetDataSet>
      <sheetData sheetId="0"/>
      <sheetData sheetId="1">
        <row r="46">
          <cell r="G46">
            <v>1223</v>
          </cell>
          <cell r="H46">
            <v>12000</v>
          </cell>
        </row>
      </sheetData>
      <sheetData sheetId="2">
        <row r="46">
          <cell r="C46">
            <v>0</v>
          </cell>
          <cell r="D46">
            <v>0</v>
          </cell>
          <cell r="G46">
            <v>8600</v>
          </cell>
          <cell r="H46">
            <v>8600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TD Mgmt Summary"/>
      <sheetName val="Q1 Mgmt Summary"/>
      <sheetName val="QTD Mgmt Summary"/>
      <sheetName val="Hotlist - Identified"/>
      <sheetName val="Greensheet"/>
      <sheetName val="Old Mgmt Summary"/>
      <sheetName val="Summary YTD"/>
      <sheetName val="Summary YTD-Qtr"/>
      <sheetName val="GM-WklyChnge"/>
      <sheetName val="GrossMargin"/>
      <sheetName val="Hotlist - Completed"/>
      <sheetName val="Expenses"/>
      <sheetName val="Expense Weekly Change"/>
      <sheetName val="CapChrg-AllocExp"/>
      <sheetName val="Headcount"/>
    </sheetNames>
    <sheetDataSet>
      <sheetData sheetId="0" refreshError="1"/>
      <sheetData sheetId="1" refreshError="1"/>
      <sheetData sheetId="2">
        <row r="46">
          <cell r="G46">
            <v>196961</v>
          </cell>
        </row>
        <row r="48">
          <cell r="C48">
            <v>24557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10">
          <cell r="D10">
            <v>27805</v>
          </cell>
        </row>
        <row r="11">
          <cell r="D11">
            <v>8308</v>
          </cell>
          <cell r="G11">
            <v>0</v>
          </cell>
        </row>
        <row r="12">
          <cell r="D12">
            <v>6450</v>
          </cell>
        </row>
        <row r="13">
          <cell r="D13">
            <v>102</v>
          </cell>
        </row>
        <row r="14">
          <cell r="D14">
            <v>6731</v>
          </cell>
          <cell r="E14">
            <v>0</v>
          </cell>
          <cell r="F14">
            <v>0</v>
          </cell>
        </row>
        <row r="15">
          <cell r="D15">
            <v>2202</v>
          </cell>
          <cell r="E15">
            <v>13</v>
          </cell>
          <cell r="F15">
            <v>62</v>
          </cell>
        </row>
        <row r="16">
          <cell r="D16">
            <v>178</v>
          </cell>
          <cell r="E16">
            <v>0</v>
          </cell>
          <cell r="F16">
            <v>0</v>
          </cell>
        </row>
        <row r="17">
          <cell r="D17">
            <v>-1025</v>
          </cell>
        </row>
        <row r="23">
          <cell r="E23">
            <v>488</v>
          </cell>
        </row>
        <row r="24">
          <cell r="D24">
            <v>1019</v>
          </cell>
        </row>
        <row r="26">
          <cell r="E26">
            <v>2285</v>
          </cell>
          <cell r="F26">
            <v>400</v>
          </cell>
        </row>
        <row r="29">
          <cell r="G29">
            <v>0</v>
          </cell>
          <cell r="H29">
            <v>0</v>
          </cell>
        </row>
        <row r="31">
          <cell r="E31">
            <v>3553</v>
          </cell>
        </row>
        <row r="32">
          <cell r="D32">
            <v>102</v>
          </cell>
          <cell r="G32">
            <v>15137</v>
          </cell>
        </row>
        <row r="33">
          <cell r="D33">
            <v>4626</v>
          </cell>
        </row>
        <row r="37">
          <cell r="E37">
            <v>-22767</v>
          </cell>
          <cell r="F37">
            <v>0</v>
          </cell>
        </row>
        <row r="38">
          <cell r="E38">
            <v>126</v>
          </cell>
          <cell r="F38">
            <v>0</v>
          </cell>
        </row>
        <row r="39">
          <cell r="E39">
            <v>-8769</v>
          </cell>
          <cell r="F39">
            <v>51</v>
          </cell>
        </row>
        <row r="40">
          <cell r="E40">
            <v>-3514</v>
          </cell>
          <cell r="F40">
            <v>362</v>
          </cell>
        </row>
        <row r="49">
          <cell r="E49">
            <v>-4168</v>
          </cell>
          <cell r="F49">
            <v>-15200</v>
          </cell>
        </row>
      </sheetData>
      <sheetData sheetId="10" refreshError="1"/>
      <sheetData sheetId="11">
        <row r="9">
          <cell r="D9">
            <v>3212</v>
          </cell>
          <cell r="E9">
            <v>3212</v>
          </cell>
        </row>
        <row r="10">
          <cell r="D10">
            <v>4712</v>
          </cell>
          <cell r="E10">
            <v>4712</v>
          </cell>
        </row>
        <row r="11">
          <cell r="D11">
            <v>709</v>
          </cell>
          <cell r="E11">
            <v>709</v>
          </cell>
        </row>
        <row r="12">
          <cell r="D12">
            <v>1451</v>
          </cell>
          <cell r="E12">
            <v>1451</v>
          </cell>
        </row>
        <row r="13">
          <cell r="D13">
            <v>1384</v>
          </cell>
          <cell r="E13">
            <v>1384</v>
          </cell>
        </row>
        <row r="14">
          <cell r="D14">
            <v>2665</v>
          </cell>
          <cell r="E14">
            <v>2665</v>
          </cell>
        </row>
        <row r="15">
          <cell r="D15">
            <v>982</v>
          </cell>
          <cell r="E15">
            <v>982</v>
          </cell>
        </row>
        <row r="16">
          <cell r="D16">
            <v>104</v>
          </cell>
          <cell r="E16">
            <v>104</v>
          </cell>
        </row>
        <row r="17">
          <cell r="D17">
            <v>1364</v>
          </cell>
          <cell r="E17">
            <v>1298</v>
          </cell>
        </row>
        <row r="20">
          <cell r="D20">
            <v>3325</v>
          </cell>
          <cell r="E20">
            <v>3325</v>
          </cell>
        </row>
        <row r="21">
          <cell r="D21">
            <v>4674</v>
          </cell>
          <cell r="E21">
            <v>4674</v>
          </cell>
        </row>
        <row r="22">
          <cell r="D22">
            <v>5476</v>
          </cell>
          <cell r="E22">
            <v>5476</v>
          </cell>
        </row>
        <row r="23">
          <cell r="D23">
            <v>1937</v>
          </cell>
          <cell r="E23">
            <v>1937</v>
          </cell>
        </row>
        <row r="24">
          <cell r="D24">
            <v>797</v>
          </cell>
          <cell r="E24">
            <v>797</v>
          </cell>
        </row>
        <row r="25">
          <cell r="D25">
            <v>2005</v>
          </cell>
          <cell r="E25">
            <v>2005</v>
          </cell>
        </row>
        <row r="28">
          <cell r="D28">
            <v>1001</v>
          </cell>
          <cell r="E28">
            <v>1001</v>
          </cell>
        </row>
        <row r="29">
          <cell r="D29">
            <v>4961</v>
          </cell>
          <cell r="E29">
            <v>4852</v>
          </cell>
        </row>
        <row r="30">
          <cell r="D30">
            <v>717</v>
          </cell>
          <cell r="E30">
            <v>717</v>
          </cell>
        </row>
        <row r="33">
          <cell r="D33">
            <v>838</v>
          </cell>
          <cell r="E33">
            <v>735</v>
          </cell>
        </row>
        <row r="34">
          <cell r="D34">
            <v>1307</v>
          </cell>
          <cell r="E34">
            <v>1307</v>
          </cell>
        </row>
        <row r="35">
          <cell r="D35">
            <v>839</v>
          </cell>
          <cell r="E35">
            <v>839</v>
          </cell>
        </row>
        <row r="36">
          <cell r="D36">
            <v>0</v>
          </cell>
          <cell r="E36">
            <v>0</v>
          </cell>
        </row>
        <row r="37">
          <cell r="D37">
            <v>839</v>
          </cell>
          <cell r="E37">
            <v>839</v>
          </cell>
        </row>
        <row r="40">
          <cell r="D40">
            <v>7092</v>
          </cell>
          <cell r="E40">
            <v>5984</v>
          </cell>
        </row>
        <row r="42">
          <cell r="D42">
            <v>2930</v>
          </cell>
          <cell r="E42">
            <v>2430</v>
          </cell>
        </row>
        <row r="46">
          <cell r="D46">
            <v>71849</v>
          </cell>
          <cell r="E46">
            <v>71849</v>
          </cell>
        </row>
        <row r="48">
          <cell r="D48">
            <v>26684</v>
          </cell>
          <cell r="E48">
            <v>26684</v>
          </cell>
        </row>
        <row r="55">
          <cell r="D55">
            <v>5727</v>
          </cell>
          <cell r="E55">
            <v>8789</v>
          </cell>
        </row>
        <row r="56">
          <cell r="D56">
            <v>38219</v>
          </cell>
          <cell r="E56">
            <v>36647</v>
          </cell>
        </row>
      </sheetData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1"/>
  <sheetViews>
    <sheetView tabSelected="1" workbookViewId="0"/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9.570312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bestFit="1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361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201" t="str">
        <f>'Old Mgmt Summary'!A3</f>
        <v>Results based on Activity through April 28, 2000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">
      <c r="A6" s="278" t="s">
        <v>16</v>
      </c>
      <c r="B6" s="26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49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5">
      <c r="A7" s="230"/>
      <c r="B7" s="269"/>
      <c r="C7" s="231"/>
      <c r="D7" s="36"/>
      <c r="E7" s="232"/>
      <c r="F7" s="272"/>
      <c r="G7" s="231"/>
      <c r="H7" s="36"/>
      <c r="I7" s="311" t="s">
        <v>428</v>
      </c>
      <c r="J7" s="312" t="s">
        <v>408</v>
      </c>
      <c r="K7" s="229"/>
      <c r="L7" s="231"/>
      <c r="M7" s="36"/>
      <c r="N7" s="232"/>
    </row>
    <row r="8" spans="1:23" ht="12" customHeight="1" x14ac:dyDescent="0.25">
      <c r="A8" s="230" t="s">
        <v>3</v>
      </c>
      <c r="B8" s="269"/>
      <c r="C8" s="308">
        <f>'Q1 Mgmt Summary'!C8+'QTD Mgmt Summary'!C8</f>
        <v>90471</v>
      </c>
      <c r="D8" s="60" t="e">
        <f ca="1">'Q1 Mgmt Summary'!D8+'QTD Mgmt Summary'!D8</f>
        <v>#NAME?</v>
      </c>
      <c r="E8" s="234" t="e">
        <f ca="1">+C8-D8</f>
        <v>#NAME?</v>
      </c>
      <c r="F8" s="273"/>
      <c r="G8" s="308" t="e">
        <f ca="1">'Q1 Mgmt Summary'!G8+'QTD Mgmt Summary'!G8</f>
        <v>#NAME?</v>
      </c>
      <c r="H8" s="60" t="e">
        <f ca="1">'Q1 Mgmt Summary'!H8+'QTD Mgmt Summary'!H8</f>
        <v>#NAME?</v>
      </c>
      <c r="I8" s="82" t="e">
        <f ca="1">'QTD Mgmt Summary'!I8+'Q1 Mgmt Summary'!I8</f>
        <v>#NAME?</v>
      </c>
      <c r="J8" s="234" t="e">
        <f ca="1">'QTD Mgmt Summary'!J8+'Q1 Mgmt Summary'!J8</f>
        <v>#NAME?</v>
      </c>
      <c r="K8" s="237"/>
      <c r="L8" s="233" t="e">
        <f ca="1">+C8-G8</f>
        <v>#NAME?</v>
      </c>
      <c r="M8" s="59" t="e">
        <f ca="1">+D8-H8</f>
        <v>#NAME?</v>
      </c>
      <c r="N8" s="234" t="e">
        <f ca="1">+L8-M8</f>
        <v>#NAME?</v>
      </c>
    </row>
    <row r="9" spans="1:23" ht="12" customHeight="1" x14ac:dyDescent="0.25">
      <c r="A9" s="230" t="s">
        <v>106</v>
      </c>
      <c r="B9" s="269"/>
      <c r="C9" s="309">
        <f>+'Q1 Mgmt Summary'!C9+'QTD Mgmt Summary'!C9</f>
        <v>123723</v>
      </c>
      <c r="D9" s="43">
        <f>+'Q1 Mgmt Summary'!D9+'QTD Mgmt Summary'!D9</f>
        <v>97187</v>
      </c>
      <c r="E9" s="236">
        <f>+C9-D9</f>
        <v>26536</v>
      </c>
      <c r="F9" s="273"/>
      <c r="G9" s="309" t="e">
        <f ca="1">+'Q1 Mgmt Summary'!G9+'QTD Mgmt Summary'!G9</f>
        <v>#NAME?</v>
      </c>
      <c r="H9" s="43" t="e">
        <f ca="1">+'Q1 Mgmt Summary'!H9+'QTD Mgmt Summary'!H9</f>
        <v>#NAME?</v>
      </c>
      <c r="I9" s="65" t="e">
        <f ca="1">'QTD Mgmt Summary'!I9+'Q1 Mgmt Summary'!I9</f>
        <v>#NAME?</v>
      </c>
      <c r="J9" s="236" t="e">
        <f ca="1">'QTD Mgmt Summary'!J9+'Q1 Mgmt Summary'!J9</f>
        <v>#NAME?</v>
      </c>
      <c r="K9" s="237"/>
      <c r="L9" s="235" t="e">
        <f ca="1">+C9-G9</f>
        <v>#NAME?</v>
      </c>
      <c r="M9" s="41" t="e">
        <f ca="1">+D9-H9</f>
        <v>#NAME?</v>
      </c>
      <c r="N9" s="236" t="e">
        <f ca="1">+L9-M9</f>
        <v>#NAME?</v>
      </c>
    </row>
    <row r="10" spans="1:23" ht="12" customHeight="1" x14ac:dyDescent="0.25">
      <c r="A10" s="230" t="s">
        <v>132</v>
      </c>
      <c r="B10" s="269"/>
      <c r="C10" s="309">
        <f>+'Q1 Mgmt Summary'!C10+'QTD Mgmt Summary'!C10</f>
        <v>35762</v>
      </c>
      <c r="D10" s="43" t="e">
        <f ca="1">+'Q1 Mgmt Summary'!D10+'QTD Mgmt Summary'!D10</f>
        <v>#NAME?</v>
      </c>
      <c r="E10" s="236" t="e">
        <f t="shared" ref="E10:E16" ca="1" si="0">+C10-D10</f>
        <v>#NAME?</v>
      </c>
      <c r="F10" s="273"/>
      <c r="G10" s="309" t="e">
        <f ca="1">+'Q1 Mgmt Summary'!G10+'QTD Mgmt Summary'!G10</f>
        <v>#NAME?</v>
      </c>
      <c r="H10" s="43" t="e">
        <f ca="1">+'Q1 Mgmt Summary'!H10+'QTD Mgmt Summary'!H10</f>
        <v>#NAME?</v>
      </c>
      <c r="I10" s="65" t="e">
        <f ca="1">'QTD Mgmt Summary'!I10+'Q1 Mgmt Summary'!I10</f>
        <v>#NAME?</v>
      </c>
      <c r="J10" s="236" t="e">
        <f ca="1">'QTD Mgmt Summary'!J10+'Q1 Mgmt Summary'!J10</f>
        <v>#NAME?</v>
      </c>
      <c r="K10" s="237"/>
      <c r="L10" s="235" t="e">
        <f t="shared" ref="L10:M16" ca="1" si="1">+C10-G10</f>
        <v>#NAME?</v>
      </c>
      <c r="M10" s="41" t="e">
        <f t="shared" ca="1" si="1"/>
        <v>#NAME?</v>
      </c>
      <c r="N10" s="236" t="e">
        <f t="shared" ref="N10:N16" ca="1" si="2">+L10-M10</f>
        <v>#NAME?</v>
      </c>
    </row>
    <row r="11" spans="1:23" ht="12" customHeight="1" x14ac:dyDescent="0.25">
      <c r="A11" s="230" t="s">
        <v>133</v>
      </c>
      <c r="B11" s="269"/>
      <c r="C11" s="309">
        <f>+'Q1 Mgmt Summary'!C11+'QTD Mgmt Summary'!C11</f>
        <v>36294</v>
      </c>
      <c r="D11" s="43" t="e">
        <f ca="1">+'Q1 Mgmt Summary'!D11+'QTD Mgmt Summary'!D11</f>
        <v>#NAME?</v>
      </c>
      <c r="E11" s="236" t="e">
        <f t="shared" ca="1" si="0"/>
        <v>#NAME?</v>
      </c>
      <c r="F11" s="273"/>
      <c r="G11" s="309" t="e">
        <f ca="1">+'Q1 Mgmt Summary'!G11+'QTD Mgmt Summary'!G11</f>
        <v>#NAME?</v>
      </c>
      <c r="H11" s="43" t="e">
        <f ca="1">+'Q1 Mgmt Summary'!H11+'QTD Mgmt Summary'!H11</f>
        <v>#NAME?</v>
      </c>
      <c r="I11" s="65" t="e">
        <f ca="1">'QTD Mgmt Summary'!I11+'Q1 Mgmt Summary'!I11</f>
        <v>#NAME?</v>
      </c>
      <c r="J11" s="236" t="e">
        <f ca="1">'QTD Mgmt Summary'!J11+'Q1 Mgmt Summary'!J11</f>
        <v>#NAME?</v>
      </c>
      <c r="K11" s="237"/>
      <c r="L11" s="235" t="e">
        <f t="shared" ca="1" si="1"/>
        <v>#NAME?</v>
      </c>
      <c r="M11" s="41" t="e">
        <f t="shared" ca="1" si="1"/>
        <v>#NAME?</v>
      </c>
      <c r="N11" s="236" t="e">
        <f t="shared" ca="1" si="2"/>
        <v>#NAME?</v>
      </c>
    </row>
    <row r="12" spans="1:23" ht="12" customHeight="1" x14ac:dyDescent="0.25">
      <c r="A12" s="230" t="s">
        <v>424</v>
      </c>
      <c r="B12" s="269"/>
      <c r="C12" s="309">
        <f>+'Q1 Mgmt Summary'!C12+'QTD Mgmt Summary'!C12</f>
        <v>25762</v>
      </c>
      <c r="D12" s="43">
        <f>+'Q1 Mgmt Summary'!D12+'QTD Mgmt Summary'!D12</f>
        <v>34668</v>
      </c>
      <c r="E12" s="236">
        <f t="shared" si="0"/>
        <v>-8906</v>
      </c>
      <c r="F12" s="273"/>
      <c r="G12" s="309" t="e">
        <f ca="1">+'Q1 Mgmt Summary'!G12+'QTD Mgmt Summary'!G12</f>
        <v>#NAME?</v>
      </c>
      <c r="H12" s="43" t="e">
        <f ca="1">+'Q1 Mgmt Summary'!H12+'QTD Mgmt Summary'!H12</f>
        <v>#NAME?</v>
      </c>
      <c r="I12" s="65">
        <f>'QTD Mgmt Summary'!I12+'Q1 Mgmt Summary'!I12</f>
        <v>0</v>
      </c>
      <c r="J12" s="236" t="e">
        <f ca="1">'QTD Mgmt Summary'!J12+'Q1 Mgmt Summary'!J12</f>
        <v>#NAME?</v>
      </c>
      <c r="K12" s="237"/>
      <c r="L12" s="235" t="e">
        <f t="shared" ca="1" si="1"/>
        <v>#NAME?</v>
      </c>
      <c r="M12" s="41" t="e">
        <f t="shared" ca="1" si="1"/>
        <v>#NAME?</v>
      </c>
      <c r="N12" s="236" t="e">
        <f t="shared" ca="1" si="2"/>
        <v>#NAME?</v>
      </c>
    </row>
    <row r="13" spans="1:23" ht="12" customHeight="1" x14ac:dyDescent="0.25">
      <c r="A13" s="230" t="s">
        <v>5</v>
      </c>
      <c r="B13" s="269"/>
      <c r="C13" s="309">
        <f>+'Q1 Mgmt Summary'!C13+'QTD Mgmt Summary'!C13</f>
        <v>4753</v>
      </c>
      <c r="D13" s="43" t="e">
        <f ca="1">+'Q1 Mgmt Summary'!D13+'QTD Mgmt Summary'!D13</f>
        <v>#NAME?</v>
      </c>
      <c r="E13" s="236" t="e">
        <f t="shared" ca="1" si="0"/>
        <v>#NAME?</v>
      </c>
      <c r="F13" s="273"/>
      <c r="G13" s="309" t="e">
        <f ca="1">+'Q1 Mgmt Summary'!G13+'QTD Mgmt Summary'!G13</f>
        <v>#NAME?</v>
      </c>
      <c r="H13" s="43" t="e">
        <f ca="1">+'Q1 Mgmt Summary'!H13+'QTD Mgmt Summary'!H13</f>
        <v>#NAME?</v>
      </c>
      <c r="I13" s="65" t="e">
        <f ca="1">'QTD Mgmt Summary'!I13+'Q1 Mgmt Summary'!I13</f>
        <v>#NAME?</v>
      </c>
      <c r="J13" s="236" t="e">
        <f ca="1">'QTD Mgmt Summary'!J13+'Q1 Mgmt Summary'!J13</f>
        <v>#NAME?</v>
      </c>
      <c r="K13" s="237"/>
      <c r="L13" s="235" t="e">
        <f t="shared" ca="1" si="1"/>
        <v>#NAME?</v>
      </c>
      <c r="M13" s="41" t="e">
        <f t="shared" ca="1" si="1"/>
        <v>#NAME?</v>
      </c>
      <c r="N13" s="236" t="e">
        <f t="shared" ca="1" si="2"/>
        <v>#NAME?</v>
      </c>
    </row>
    <row r="14" spans="1:23" ht="12" customHeight="1" x14ac:dyDescent="0.25">
      <c r="A14" s="230" t="s">
        <v>155</v>
      </c>
      <c r="B14" s="269"/>
      <c r="C14" s="309">
        <f>+'Q1 Mgmt Summary'!C14+'QTD Mgmt Summary'!C14</f>
        <v>5912</v>
      </c>
      <c r="D14" s="43" t="e">
        <f ca="1">+'Q1 Mgmt Summary'!D14+'QTD Mgmt Summary'!D14</f>
        <v>#NAME?</v>
      </c>
      <c r="E14" s="236" t="e">
        <f t="shared" ca="1" si="0"/>
        <v>#NAME?</v>
      </c>
      <c r="F14" s="273"/>
      <c r="G14" s="309" t="e">
        <f ca="1">+'Q1 Mgmt Summary'!G14+'QTD Mgmt Summary'!G14</f>
        <v>#NAME?</v>
      </c>
      <c r="H14" s="43" t="e">
        <f ca="1">+'Q1 Mgmt Summary'!H14+'QTD Mgmt Summary'!H14</f>
        <v>#NAME?</v>
      </c>
      <c r="I14" s="65" t="e">
        <f ca="1">'QTD Mgmt Summary'!I14+'Q1 Mgmt Summary'!I14</f>
        <v>#NAME?</v>
      </c>
      <c r="J14" s="236" t="e">
        <f ca="1">'QTD Mgmt Summary'!J14+'Q1 Mgmt Summary'!J14</f>
        <v>#NAME?</v>
      </c>
      <c r="K14" s="237"/>
      <c r="L14" s="235" t="e">
        <f t="shared" ca="1" si="1"/>
        <v>#NAME?</v>
      </c>
      <c r="M14" s="41" t="e">
        <f t="shared" ca="1" si="1"/>
        <v>#NAME?</v>
      </c>
      <c r="N14" s="236" t="e">
        <f t="shared" ca="1" si="2"/>
        <v>#NAME?</v>
      </c>
    </row>
    <row r="15" spans="1:23" ht="12" customHeight="1" x14ac:dyDescent="0.25">
      <c r="A15" s="230" t="s">
        <v>107</v>
      </c>
      <c r="B15" s="269"/>
      <c r="C15" s="309">
        <f>+'Q1 Mgmt Summary'!C15+'QTD Mgmt Summary'!C15</f>
        <v>2736</v>
      </c>
      <c r="D15" s="43" t="e">
        <f ca="1">+'Q1 Mgmt Summary'!D15+'QTD Mgmt Summary'!D15</f>
        <v>#NAME?</v>
      </c>
      <c r="E15" s="236" t="e">
        <f t="shared" ca="1" si="0"/>
        <v>#NAME?</v>
      </c>
      <c r="F15" s="273"/>
      <c r="G15" s="309" t="e">
        <f ca="1">+'Q1 Mgmt Summary'!G15+'QTD Mgmt Summary'!G15</f>
        <v>#NAME?</v>
      </c>
      <c r="H15" s="43" t="e">
        <f ca="1">+'Q1 Mgmt Summary'!H15+'QTD Mgmt Summary'!H15</f>
        <v>#NAME?</v>
      </c>
      <c r="I15" s="65" t="e">
        <f ca="1">'QTD Mgmt Summary'!I15+'Q1 Mgmt Summary'!I15</f>
        <v>#NAME?</v>
      </c>
      <c r="J15" s="236" t="e">
        <f ca="1">'QTD Mgmt Summary'!J15+'Q1 Mgmt Summary'!J15</f>
        <v>#NAME?</v>
      </c>
      <c r="K15" s="237"/>
      <c r="L15" s="235" t="e">
        <f t="shared" ca="1" si="1"/>
        <v>#NAME?</v>
      </c>
      <c r="M15" s="41" t="e">
        <f t="shared" ca="1" si="1"/>
        <v>#NAME?</v>
      </c>
      <c r="N15" s="236" t="e">
        <f t="shared" ca="1" si="2"/>
        <v>#NAME?</v>
      </c>
    </row>
    <row r="16" spans="1:23" ht="12" customHeight="1" x14ac:dyDescent="0.25">
      <c r="A16" s="230" t="s">
        <v>156</v>
      </c>
      <c r="B16" s="269"/>
      <c r="C16" s="310">
        <f>+'Q1 Mgmt Summary'!C16+'QTD Mgmt Summary'!C16</f>
        <v>0</v>
      </c>
      <c r="D16" s="43" t="e">
        <f ca="1">+'Q1 Mgmt Summary'!D16+'QTD Mgmt Summary'!D16</f>
        <v>#NAME?</v>
      </c>
      <c r="E16" s="236" t="e">
        <f t="shared" ca="1" si="0"/>
        <v>#NAME?</v>
      </c>
      <c r="F16" s="273"/>
      <c r="G16" s="310" t="e">
        <f ca="1">+'Q1 Mgmt Summary'!G16+'QTD Mgmt Summary'!G16</f>
        <v>#NAME?</v>
      </c>
      <c r="H16" s="43" t="e">
        <f ca="1">+'Q1 Mgmt Summary'!H16+'QTD Mgmt Summary'!H16</f>
        <v>#NAME?</v>
      </c>
      <c r="I16" s="65" t="e">
        <f ca="1">'QTD Mgmt Summary'!I16+'Q1 Mgmt Summary'!I16</f>
        <v>#NAME?</v>
      </c>
      <c r="J16" s="236" t="e">
        <f ca="1">'QTD Mgmt Summary'!J16+'Q1 Mgmt Summary'!J16</f>
        <v>#NAME?</v>
      </c>
      <c r="K16" s="237"/>
      <c r="L16" s="235" t="e">
        <f t="shared" ca="1" si="1"/>
        <v>#NAME?</v>
      </c>
      <c r="M16" s="41" t="e">
        <f t="shared" ca="1" si="1"/>
        <v>#NAME?</v>
      </c>
      <c r="N16" s="236" t="e">
        <f t="shared" ca="1" si="2"/>
        <v>#NAME?</v>
      </c>
    </row>
    <row r="17" spans="1:14" s="204" customFormat="1" ht="12" customHeight="1" x14ac:dyDescent="0.2">
      <c r="A17" s="261" t="s">
        <v>130</v>
      </c>
      <c r="B17" s="270"/>
      <c r="C17" s="293">
        <f>SUM(C8:C16)</f>
        <v>325413</v>
      </c>
      <c r="D17" s="293" t="e">
        <f ca="1">SUM(D8:D16)</f>
        <v>#NAME?</v>
      </c>
      <c r="E17" s="294" t="e">
        <f ca="1">SUM(E8:E16)</f>
        <v>#NAME?</v>
      </c>
      <c r="F17" s="274">
        <v>129970</v>
      </c>
      <c r="G17" s="293" t="e">
        <f ca="1">SUM(G8:G16)</f>
        <v>#NAME?</v>
      </c>
      <c r="H17" s="293" t="e">
        <f ca="1">SUM(H8:H16)</f>
        <v>#NAME?</v>
      </c>
      <c r="I17" s="293" t="e">
        <f ca="1">SUM(I8:I16)</f>
        <v>#NAME?</v>
      </c>
      <c r="J17" s="294" t="e">
        <f ca="1">SUM(J8:J16)</f>
        <v>#NAME?</v>
      </c>
      <c r="K17" s="238"/>
      <c r="L17" s="262" t="e">
        <f ca="1">SUM(L8:L16)</f>
        <v>#NAME?</v>
      </c>
      <c r="M17" s="263" t="e">
        <f ca="1">SUM(M8:M16)</f>
        <v>#NAME?</v>
      </c>
      <c r="N17" s="294" t="e">
        <f ca="1">SUM(N8:N16)</f>
        <v>#NAME?</v>
      </c>
    </row>
    <row r="18" spans="1:14" ht="12" customHeight="1" x14ac:dyDescent="0.25">
      <c r="A18" s="230"/>
      <c r="B18" s="269"/>
      <c r="C18" s="235"/>
      <c r="D18" s="291"/>
      <c r="E18" s="236"/>
      <c r="F18" s="273"/>
      <c r="G18" s="235"/>
      <c r="H18" s="291"/>
      <c r="I18" s="41"/>
      <c r="J18" s="236"/>
      <c r="K18" s="237"/>
      <c r="L18" s="235"/>
      <c r="M18" s="41"/>
      <c r="N18" s="236"/>
    </row>
    <row r="19" spans="1:14" ht="12" customHeight="1" x14ac:dyDescent="0.25">
      <c r="A19" s="230" t="s">
        <v>88</v>
      </c>
      <c r="B19" s="269"/>
      <c r="C19" s="309">
        <f>+'Q1 Mgmt Summary'!C19+'QTD Mgmt Summary'!C19</f>
        <v>2838</v>
      </c>
      <c r="D19" s="43" t="e">
        <f ca="1">+'Q1 Mgmt Summary'!D19+'QTD Mgmt Summary'!D19</f>
        <v>#NAME?</v>
      </c>
      <c r="E19" s="236" t="e">
        <f t="shared" ref="E19:E24" ca="1" si="3">+C19-D19</f>
        <v>#NAME?</v>
      </c>
      <c r="F19" s="273"/>
      <c r="G19" s="309" t="e">
        <f ca="1">+'Q1 Mgmt Summary'!G19+'QTD Mgmt Summary'!G19</f>
        <v>#NAME?</v>
      </c>
      <c r="H19" s="43" t="e">
        <f ca="1">+'Q1 Mgmt Summary'!H19+'QTD Mgmt Summary'!H19</f>
        <v>#NAME?</v>
      </c>
      <c r="I19" s="65" t="e">
        <f ca="1">'QTD Mgmt Summary'!I19+'Q1 Mgmt Summary'!I19</f>
        <v>#NAME?</v>
      </c>
      <c r="J19" s="236" t="e">
        <f ca="1">'QTD Mgmt Summary'!J19+'Q1 Mgmt Summary'!J19</f>
        <v>#NAME?</v>
      </c>
      <c r="K19" s="237"/>
      <c r="L19" s="235" t="e">
        <f t="shared" ref="L19:M24" ca="1" si="4">+C19-G19</f>
        <v>#NAME?</v>
      </c>
      <c r="M19" s="41" t="e">
        <f t="shared" ca="1" si="4"/>
        <v>#NAME?</v>
      </c>
      <c r="N19" s="236" t="e">
        <f t="shared" ref="N19:N24" ca="1" si="5">+L19-M19</f>
        <v>#NAME?</v>
      </c>
    </row>
    <row r="20" spans="1:14" ht="12" customHeight="1" x14ac:dyDescent="0.25">
      <c r="A20" s="230" t="s">
        <v>89</v>
      </c>
      <c r="B20" s="269"/>
      <c r="C20" s="309">
        <f>+'Q1 Mgmt Summary'!C20+'QTD Mgmt Summary'!C20</f>
        <v>8850</v>
      </c>
      <c r="D20" s="43" t="e">
        <f ca="1">+'Q1 Mgmt Summary'!D20+'QTD Mgmt Summary'!D20</f>
        <v>#NAME?</v>
      </c>
      <c r="E20" s="236" t="e">
        <f t="shared" ca="1" si="3"/>
        <v>#NAME?</v>
      </c>
      <c r="F20" s="273"/>
      <c r="G20" s="309" t="e">
        <f ca="1">+'Q1 Mgmt Summary'!G20+'QTD Mgmt Summary'!G20</f>
        <v>#NAME?</v>
      </c>
      <c r="H20" s="43" t="e">
        <f ca="1">+'Q1 Mgmt Summary'!H20+'QTD Mgmt Summary'!H20</f>
        <v>#NAME?</v>
      </c>
      <c r="I20" s="65" t="e">
        <f ca="1">'QTD Mgmt Summary'!I20+'Q1 Mgmt Summary'!I20</f>
        <v>#NAME?</v>
      </c>
      <c r="J20" s="236" t="e">
        <f ca="1">'QTD Mgmt Summary'!J20+'Q1 Mgmt Summary'!J20</f>
        <v>#NAME?</v>
      </c>
      <c r="K20" s="237"/>
      <c r="L20" s="235" t="e">
        <f t="shared" ca="1" si="4"/>
        <v>#NAME?</v>
      </c>
      <c r="M20" s="41" t="e">
        <f t="shared" ca="1" si="4"/>
        <v>#NAME?</v>
      </c>
      <c r="N20" s="236" t="e">
        <f t="shared" ca="1" si="5"/>
        <v>#NAME?</v>
      </c>
    </row>
    <row r="21" spans="1:14" ht="12" customHeight="1" x14ac:dyDescent="0.25">
      <c r="A21" s="230" t="s">
        <v>275</v>
      </c>
      <c r="B21" s="269"/>
      <c r="C21" s="309">
        <f>+'Q1 Mgmt Summary'!C21+'QTD Mgmt Summary'!C21</f>
        <v>4017</v>
      </c>
      <c r="D21" s="43" t="e">
        <f ca="1">+'Q1 Mgmt Summary'!D21+'QTD Mgmt Summary'!D21</f>
        <v>#NAME?</v>
      </c>
      <c r="E21" s="236" t="e">
        <f t="shared" ca="1" si="3"/>
        <v>#NAME?</v>
      </c>
      <c r="F21" s="273"/>
      <c r="G21" s="309" t="e">
        <f ca="1">+'Q1 Mgmt Summary'!G21+'QTD Mgmt Summary'!G21</f>
        <v>#NAME?</v>
      </c>
      <c r="H21" s="43" t="e">
        <f ca="1">+'Q1 Mgmt Summary'!H21+'QTD Mgmt Summary'!H21</f>
        <v>#NAME?</v>
      </c>
      <c r="I21" s="65" t="e">
        <f ca="1">'QTD Mgmt Summary'!I21+'Q1 Mgmt Summary'!I21</f>
        <v>#NAME?</v>
      </c>
      <c r="J21" s="236" t="e">
        <f ca="1">'QTD Mgmt Summary'!J21+'Q1 Mgmt Summary'!J21</f>
        <v>#NAME?</v>
      </c>
      <c r="K21" s="237"/>
      <c r="L21" s="235" t="e">
        <f t="shared" ca="1" si="4"/>
        <v>#NAME?</v>
      </c>
      <c r="M21" s="41" t="e">
        <f t="shared" ca="1" si="4"/>
        <v>#NAME?</v>
      </c>
      <c r="N21" s="236" t="e">
        <f t="shared" ca="1" si="5"/>
        <v>#NAME?</v>
      </c>
    </row>
    <row r="22" spans="1:14" ht="12" customHeight="1" x14ac:dyDescent="0.25">
      <c r="A22" s="230" t="s">
        <v>104</v>
      </c>
      <c r="B22" s="269"/>
      <c r="C22" s="309">
        <f>+'Q1 Mgmt Summary'!C22+'QTD Mgmt Summary'!C22</f>
        <v>0</v>
      </c>
      <c r="D22" s="43" t="e">
        <f ca="1">+'Q1 Mgmt Summary'!D22+'QTD Mgmt Summary'!D22</f>
        <v>#NAME?</v>
      </c>
      <c r="E22" s="236" t="e">
        <f t="shared" ca="1" si="3"/>
        <v>#NAME?</v>
      </c>
      <c r="F22" s="273"/>
      <c r="G22" s="309" t="e">
        <f ca="1">+'Q1 Mgmt Summary'!G22+'QTD Mgmt Summary'!G22</f>
        <v>#NAME?</v>
      </c>
      <c r="H22" s="43" t="e">
        <f ca="1">+'Q1 Mgmt Summary'!H22+'QTD Mgmt Summary'!H22</f>
        <v>#NAME?</v>
      </c>
      <c r="I22" s="65" t="e">
        <f ca="1">'QTD Mgmt Summary'!I22+'Q1 Mgmt Summary'!I22</f>
        <v>#NAME?</v>
      </c>
      <c r="J22" s="236" t="e">
        <f ca="1">'QTD Mgmt Summary'!J22+'Q1 Mgmt Summary'!J22</f>
        <v>#NAME?</v>
      </c>
      <c r="K22" s="237"/>
      <c r="L22" s="235" t="e">
        <f t="shared" ca="1" si="4"/>
        <v>#NAME?</v>
      </c>
      <c r="M22" s="41" t="e">
        <f t="shared" ca="1" si="4"/>
        <v>#NAME?</v>
      </c>
      <c r="N22" s="236" t="e">
        <f t="shared" ca="1" si="5"/>
        <v>#NAME?</v>
      </c>
    </row>
    <row r="23" spans="1:14" ht="12" customHeight="1" x14ac:dyDescent="0.25">
      <c r="A23" s="230" t="s">
        <v>425</v>
      </c>
      <c r="B23" s="269"/>
      <c r="C23" s="309">
        <f>+'Q1 Mgmt Summary'!C23+'QTD Mgmt Summary'!C23</f>
        <v>2583</v>
      </c>
      <c r="D23" s="43">
        <f>+'Q1 Mgmt Summary'!D23+'QTD Mgmt Summary'!D23</f>
        <v>11556</v>
      </c>
      <c r="E23" s="236">
        <f t="shared" si="3"/>
        <v>-8973</v>
      </c>
      <c r="F23" s="273"/>
      <c r="G23" s="309" t="e">
        <f ca="1">+'Q1 Mgmt Summary'!G23+'QTD Mgmt Summary'!G23</f>
        <v>#NAME?</v>
      </c>
      <c r="H23" s="43" t="e">
        <f ca="1">+'Q1 Mgmt Summary'!H23+'QTD Mgmt Summary'!H23</f>
        <v>#NAME?</v>
      </c>
      <c r="I23" s="65">
        <f>'QTD Mgmt Summary'!I23+'Q1 Mgmt Summary'!I23</f>
        <v>392</v>
      </c>
      <c r="J23" s="236" t="e">
        <f ca="1">'QTD Mgmt Summary'!J23+'Q1 Mgmt Summary'!J23</f>
        <v>#NAME?</v>
      </c>
      <c r="K23" s="237"/>
      <c r="L23" s="235" t="e">
        <f ca="1">+C23-G23</f>
        <v>#NAME?</v>
      </c>
      <c r="M23" s="41" t="e">
        <f ca="1">+D23-H23</f>
        <v>#NAME?</v>
      </c>
      <c r="N23" s="236" t="e">
        <f t="shared" ca="1" si="5"/>
        <v>#NAME?</v>
      </c>
    </row>
    <row r="24" spans="1:14" ht="12" customHeight="1" x14ac:dyDescent="0.25">
      <c r="A24" s="230" t="s">
        <v>0</v>
      </c>
      <c r="B24" s="269"/>
      <c r="C24" s="310">
        <f>+'Q1 Mgmt Summary'!C24+'QTD Mgmt Summary'!C24</f>
        <v>11</v>
      </c>
      <c r="D24" s="43" t="e">
        <f ca="1">+'Q1 Mgmt Summary'!D24+'QTD Mgmt Summary'!D24</f>
        <v>#NAME?</v>
      </c>
      <c r="E24" s="236" t="e">
        <f t="shared" ca="1" si="3"/>
        <v>#NAME?</v>
      </c>
      <c r="F24" s="273"/>
      <c r="G24" s="310" t="e">
        <f ca="1">+'Q1 Mgmt Summary'!G24+'QTD Mgmt Summary'!G24</f>
        <v>#NAME?</v>
      </c>
      <c r="H24" s="43" t="e">
        <f ca="1">+'Q1 Mgmt Summary'!H24+'QTD Mgmt Summary'!H24</f>
        <v>#NAME?</v>
      </c>
      <c r="I24" s="65" t="e">
        <f ca="1">'QTD Mgmt Summary'!I24+'Q1 Mgmt Summary'!I24</f>
        <v>#NAME?</v>
      </c>
      <c r="J24" s="236" t="e">
        <f ca="1">'QTD Mgmt Summary'!J24+'Q1 Mgmt Summary'!J24</f>
        <v>#NAME?</v>
      </c>
      <c r="K24" s="237"/>
      <c r="L24" s="235" t="e">
        <f t="shared" ca="1" si="4"/>
        <v>#NAME?</v>
      </c>
      <c r="M24" s="41" t="e">
        <f t="shared" ca="1" si="4"/>
        <v>#NAME?</v>
      </c>
      <c r="N24" s="236" t="e">
        <f t="shared" ca="1" si="5"/>
        <v>#NAME?</v>
      </c>
    </row>
    <row r="25" spans="1:14" s="204" customFormat="1" ht="12" customHeight="1" x14ac:dyDescent="0.2">
      <c r="A25" s="261" t="s">
        <v>1</v>
      </c>
      <c r="B25" s="270"/>
      <c r="C25" s="293">
        <f>SUM(C19:C24)</f>
        <v>18299</v>
      </c>
      <c r="D25" s="293" t="e">
        <f ca="1">SUM(D19:D24)</f>
        <v>#NAME?</v>
      </c>
      <c r="E25" s="264" t="e">
        <f ca="1">SUM(E19:E24)</f>
        <v>#NAME?</v>
      </c>
      <c r="F25" s="274">
        <v>0</v>
      </c>
      <c r="G25" s="293" t="e">
        <f ca="1">SUM(G19:G24)</f>
        <v>#NAME?</v>
      </c>
      <c r="H25" s="293" t="e">
        <f ca="1">SUM(H19:H24)</f>
        <v>#NAME?</v>
      </c>
      <c r="I25" s="293" t="e">
        <f ca="1">SUM(I19:I24)</f>
        <v>#NAME?</v>
      </c>
      <c r="J25" s="264" t="e">
        <f ca="1">SUM(J19:J24)</f>
        <v>#NAME?</v>
      </c>
      <c r="K25" s="238"/>
      <c r="L25" s="262" t="e">
        <f ca="1">SUM(L19:L24)</f>
        <v>#NAME?</v>
      </c>
      <c r="M25" s="263" t="e">
        <f ca="1">SUM(M19:M24)</f>
        <v>#NAME?</v>
      </c>
      <c r="N25" s="264" t="e">
        <f ca="1">SUM(N19:N24)</f>
        <v>#NAME?</v>
      </c>
    </row>
    <row r="26" spans="1:14" ht="12" customHeight="1" x14ac:dyDescent="0.25">
      <c r="A26" s="230"/>
      <c r="B26" s="269"/>
      <c r="C26" s="235"/>
      <c r="D26" s="291"/>
      <c r="E26" s="236"/>
      <c r="F26" s="273"/>
      <c r="G26" s="235"/>
      <c r="H26" s="291"/>
      <c r="I26" s="41"/>
      <c r="J26" s="236"/>
      <c r="K26" s="237"/>
      <c r="L26" s="235"/>
      <c r="M26" s="41"/>
      <c r="N26" s="236"/>
    </row>
    <row r="27" spans="1:14" ht="12" customHeight="1" x14ac:dyDescent="0.25">
      <c r="A27" s="230" t="s">
        <v>67</v>
      </c>
      <c r="B27" s="269"/>
      <c r="C27" s="309">
        <f>+'Q1 Mgmt Summary'!C27+'QTD Mgmt Summary'!C27</f>
        <v>23372</v>
      </c>
      <c r="D27" s="43">
        <f>+'Q1 Mgmt Summary'!D27+'QTD Mgmt Summary'!D27</f>
        <v>24468</v>
      </c>
      <c r="E27" s="236">
        <f>+C27-D27</f>
        <v>-1096</v>
      </c>
      <c r="F27" s="273"/>
      <c r="G27" s="309" t="e">
        <f ca="1">+'Q1 Mgmt Summary'!G27+'QTD Mgmt Summary'!G27</f>
        <v>#NAME?</v>
      </c>
      <c r="H27" s="43" t="e">
        <f ca="1">+'Q1 Mgmt Summary'!H27+'QTD Mgmt Summary'!H27</f>
        <v>#NAME?</v>
      </c>
      <c r="I27" s="65" t="e">
        <f ca="1">'QTD Mgmt Summary'!I27+'Q1 Mgmt Summary'!I27</f>
        <v>#NAME?</v>
      </c>
      <c r="J27" s="236" t="e">
        <f ca="1">'QTD Mgmt Summary'!J27+'Q1 Mgmt Summary'!J27</f>
        <v>#NAME?</v>
      </c>
      <c r="K27" s="237"/>
      <c r="L27" s="235" t="e">
        <f t="shared" ref="L27:M29" ca="1" si="6">+C27-G27</f>
        <v>#NAME?</v>
      </c>
      <c r="M27" s="41" t="e">
        <f t="shared" ca="1" si="6"/>
        <v>#NAME?</v>
      </c>
      <c r="N27" s="236" t="e">
        <f ca="1">+L27-M27</f>
        <v>#NAME?</v>
      </c>
    </row>
    <row r="28" spans="1:14" ht="12" customHeight="1" x14ac:dyDescent="0.25">
      <c r="A28" s="230" t="s">
        <v>415</v>
      </c>
      <c r="B28" s="269"/>
      <c r="C28" s="309">
        <f>+'Q1 Mgmt Summary'!C28+'QTD Mgmt Summary'!C28</f>
        <v>40053</v>
      </c>
      <c r="D28" s="43">
        <f>+'Q1 Mgmt Summary'!D28+'QTD Mgmt Summary'!D28</f>
        <v>60828</v>
      </c>
      <c r="E28" s="236">
        <f>+C28-D28</f>
        <v>-20775</v>
      </c>
      <c r="F28" s="273"/>
      <c r="G28" s="309" t="e">
        <f ca="1">+'Q1 Mgmt Summary'!G28+'QTD Mgmt Summary'!G28</f>
        <v>#NAME?</v>
      </c>
      <c r="H28" s="43" t="e">
        <f ca="1">+'Q1 Mgmt Summary'!H28+'QTD Mgmt Summary'!H28</f>
        <v>#NAME?</v>
      </c>
      <c r="I28" s="65" t="e">
        <f ca="1">'QTD Mgmt Summary'!I28+'Q1 Mgmt Summary'!I28</f>
        <v>#NAME?</v>
      </c>
      <c r="J28" s="236" t="e">
        <f ca="1">'QTD Mgmt Summary'!J28+'Q1 Mgmt Summary'!J28</f>
        <v>#NAME?</v>
      </c>
      <c r="K28" s="237"/>
      <c r="L28" s="235" t="e">
        <f t="shared" ca="1" si="6"/>
        <v>#NAME?</v>
      </c>
      <c r="M28" s="41" t="e">
        <f t="shared" ca="1" si="6"/>
        <v>#NAME?</v>
      </c>
      <c r="N28" s="236" t="e">
        <f ca="1">+L28-M28</f>
        <v>#NAME?</v>
      </c>
    </row>
    <row r="29" spans="1:14" ht="12" customHeight="1" x14ac:dyDescent="0.25">
      <c r="A29" s="230" t="s">
        <v>416</v>
      </c>
      <c r="B29" s="269"/>
      <c r="C29" s="310">
        <f>+'Q1 Mgmt Summary'!C29+'QTD Mgmt Summary'!C29</f>
        <v>27004</v>
      </c>
      <c r="D29" s="43" t="e">
        <f ca="1">+'Q1 Mgmt Summary'!D29+'QTD Mgmt Summary'!D29</f>
        <v>#NAME?</v>
      </c>
      <c r="E29" s="236" t="e">
        <f ca="1">+C29-D29</f>
        <v>#NAME?</v>
      </c>
      <c r="F29" s="273"/>
      <c r="G29" s="310" t="e">
        <f ca="1">+'Q1 Mgmt Summary'!G29+'QTD Mgmt Summary'!G29</f>
        <v>#NAME?</v>
      </c>
      <c r="H29" s="43" t="e">
        <f ca="1">+'Q1 Mgmt Summary'!H29+'QTD Mgmt Summary'!H29</f>
        <v>#NAME?</v>
      </c>
      <c r="I29" s="65" t="e">
        <f ca="1">'QTD Mgmt Summary'!I29+'Q1 Mgmt Summary'!I29</f>
        <v>#NAME?</v>
      </c>
      <c r="J29" s="236" t="e">
        <f ca="1">'QTD Mgmt Summary'!J29+'Q1 Mgmt Summary'!J29</f>
        <v>#NAME?</v>
      </c>
      <c r="K29" s="237"/>
      <c r="L29" s="235" t="e">
        <f t="shared" ca="1" si="6"/>
        <v>#NAME?</v>
      </c>
      <c r="M29" s="41" t="e">
        <f t="shared" ca="1" si="6"/>
        <v>#NAME?</v>
      </c>
      <c r="N29" s="236" t="e">
        <f ca="1">+L29-M29</f>
        <v>#NAME?</v>
      </c>
    </row>
    <row r="30" spans="1:14" s="204" customFormat="1" ht="12" customHeight="1" x14ac:dyDescent="0.2">
      <c r="A30" s="261" t="s">
        <v>86</v>
      </c>
      <c r="B30" s="270"/>
      <c r="C30" s="293">
        <f>SUM(C27:C29)</f>
        <v>90429</v>
      </c>
      <c r="D30" s="293" t="e">
        <f ca="1">SUM(D27:D29)</f>
        <v>#NAME?</v>
      </c>
      <c r="E30" s="264" t="e">
        <f ca="1">SUM(E27:E29)</f>
        <v>#NAME?</v>
      </c>
      <c r="F30" s="274"/>
      <c r="G30" s="293" t="e">
        <f ca="1">SUM(G27:G29)</f>
        <v>#NAME?</v>
      </c>
      <c r="H30" s="293" t="e">
        <f ca="1">SUM(H27:H29)</f>
        <v>#NAME?</v>
      </c>
      <c r="I30" s="293" t="e">
        <f ca="1">SUM(I27:I29)</f>
        <v>#NAME?</v>
      </c>
      <c r="J30" s="264" t="e">
        <f ca="1">SUM(J27:J29)</f>
        <v>#NAME?</v>
      </c>
      <c r="K30" s="238"/>
      <c r="L30" s="262" t="e">
        <f ca="1">SUM(L27:L29)</f>
        <v>#NAME?</v>
      </c>
      <c r="M30" s="263" t="e">
        <f ca="1">SUM(M27:M29)</f>
        <v>#NAME?</v>
      </c>
      <c r="N30" s="264" t="e">
        <f ca="1">SUM(N27:N29)</f>
        <v>#NAME?</v>
      </c>
    </row>
    <row r="31" spans="1:14" ht="12" customHeight="1" x14ac:dyDescent="0.25">
      <c r="A31" s="230"/>
      <c r="B31" s="269"/>
      <c r="C31" s="235"/>
      <c r="D31" s="291"/>
      <c r="E31" s="236"/>
      <c r="F31" s="273"/>
      <c r="G31" s="235"/>
      <c r="H31" s="291"/>
      <c r="I31" s="41"/>
      <c r="J31" s="236"/>
      <c r="K31" s="237"/>
      <c r="L31" s="235"/>
      <c r="M31" s="41"/>
      <c r="N31" s="236"/>
    </row>
    <row r="32" spans="1:14" ht="12" customHeight="1" x14ac:dyDescent="0.25">
      <c r="A32" s="230" t="s">
        <v>9</v>
      </c>
      <c r="B32" s="269"/>
      <c r="C32" s="309">
        <f>+'Q1 Mgmt Summary'!C32+'QTD Mgmt Summary'!C32</f>
        <v>70156</v>
      </c>
      <c r="D32" s="43" t="e">
        <f ca="1">+'Q1 Mgmt Summary'!D32+'QTD Mgmt Summary'!D32</f>
        <v>#NAME?</v>
      </c>
      <c r="E32" s="236" t="e">
        <f ca="1">+C32-D32</f>
        <v>#NAME?</v>
      </c>
      <c r="F32" s="273"/>
      <c r="G32" s="309" t="e">
        <f ca="1">+'Q1 Mgmt Summary'!G32+'QTD Mgmt Summary'!G32</f>
        <v>#NAME?</v>
      </c>
      <c r="H32" s="43" t="e">
        <f ca="1">+'Q1 Mgmt Summary'!H32+'QTD Mgmt Summary'!H32</f>
        <v>#NAME?</v>
      </c>
      <c r="I32" s="65" t="e">
        <f ca="1">'QTD Mgmt Summary'!I32+'Q1 Mgmt Summary'!I32</f>
        <v>#NAME?</v>
      </c>
      <c r="J32" s="236" t="e">
        <f ca="1">'QTD Mgmt Summary'!J32+'Q1 Mgmt Summary'!J32</f>
        <v>#NAME?</v>
      </c>
      <c r="K32" s="237"/>
      <c r="L32" s="235" t="e">
        <f t="shared" ref="L32:M34" ca="1" si="7">+C32-G32</f>
        <v>#NAME?</v>
      </c>
      <c r="M32" s="41" t="e">
        <f t="shared" ca="1" si="7"/>
        <v>#NAME?</v>
      </c>
      <c r="N32" s="236" t="e">
        <f ca="1">+L32-M32</f>
        <v>#NAME?</v>
      </c>
    </row>
    <row r="33" spans="1:14" ht="12" customHeight="1" x14ac:dyDescent="0.25">
      <c r="A33" s="230" t="s">
        <v>440</v>
      </c>
      <c r="B33" s="269"/>
      <c r="C33" s="309">
        <f>+'Q1 Mgmt Summary'!C33+'QTD Mgmt Summary'!C33</f>
        <v>1151</v>
      </c>
      <c r="D33" s="43" t="e">
        <f ca="1">+'Q1 Mgmt Summary'!D33+'QTD Mgmt Summary'!D33</f>
        <v>#NAME?</v>
      </c>
      <c r="E33" s="236" t="e">
        <f ca="1">+C33-D33</f>
        <v>#NAME?</v>
      </c>
      <c r="F33" s="273"/>
      <c r="G33" s="309" t="e">
        <f ca="1">+'Q1 Mgmt Summary'!G33+'QTD Mgmt Summary'!G33</f>
        <v>#NAME?</v>
      </c>
      <c r="H33" s="43" t="e">
        <f ca="1">+'Q1 Mgmt Summary'!H33+'QTD Mgmt Summary'!H33</f>
        <v>#NAME?</v>
      </c>
      <c r="I33" s="65" t="e">
        <f ca="1">'QTD Mgmt Summary'!I33+'Q1 Mgmt Summary'!I33</f>
        <v>#NAME?</v>
      </c>
      <c r="J33" s="236" t="e">
        <f ca="1">'QTD Mgmt Summary'!J33+'Q1 Mgmt Summary'!J33</f>
        <v>#NAME?</v>
      </c>
      <c r="K33" s="237"/>
      <c r="L33" s="235" t="e">
        <f t="shared" ca="1" si="7"/>
        <v>#NAME?</v>
      </c>
      <c r="M33" s="41" t="e">
        <f t="shared" ca="1" si="7"/>
        <v>#NAME?</v>
      </c>
      <c r="N33" s="236" t="e">
        <f ca="1">+L33-M33</f>
        <v>#NAME?</v>
      </c>
    </row>
    <row r="34" spans="1:14" x14ac:dyDescent="0.25">
      <c r="A34" s="230" t="s">
        <v>154</v>
      </c>
      <c r="B34" s="269"/>
      <c r="C34" s="310">
        <f>+'Q1 Mgmt Summary'!C34+'QTD Mgmt Summary'!C34</f>
        <v>-9626</v>
      </c>
      <c r="D34" s="51" t="e">
        <f ca="1">+'Q1 Mgmt Summary'!D34+'QTD Mgmt Summary'!D34</f>
        <v>#NAME?</v>
      </c>
      <c r="E34" s="236" t="e">
        <f ca="1">+C34-D34</f>
        <v>#NAME?</v>
      </c>
      <c r="F34" s="229"/>
      <c r="G34" s="310" t="e">
        <f ca="1">+'Q1 Mgmt Summary'!G34+'QTD Mgmt Summary'!G34</f>
        <v>#NAME?</v>
      </c>
      <c r="H34" s="51" t="e">
        <f ca="1">+'Q1 Mgmt Summary'!H34+'QTD Mgmt Summary'!H34</f>
        <v>#NAME?</v>
      </c>
      <c r="I34" s="65" t="e">
        <f ca="1">'QTD Mgmt Summary'!I34+'Q1 Mgmt Summary'!I34</f>
        <v>#NAME?</v>
      </c>
      <c r="J34" s="236" t="e">
        <f ca="1">'QTD Mgmt Summary'!J34+'Q1 Mgmt Summary'!J34</f>
        <v>#NAME?</v>
      </c>
      <c r="K34" s="229"/>
      <c r="L34" s="235" t="e">
        <f t="shared" ca="1" si="7"/>
        <v>#NAME?</v>
      </c>
      <c r="M34" s="41" t="e">
        <f t="shared" ca="1" si="7"/>
        <v>#NAME?</v>
      </c>
      <c r="N34" s="236" t="e">
        <f ca="1">+L34-M34</f>
        <v>#NAME?</v>
      </c>
    </row>
    <row r="35" spans="1:14" s="204" customFormat="1" ht="12" customHeight="1" x14ac:dyDescent="0.2">
      <c r="A35" s="261" t="s">
        <v>87</v>
      </c>
      <c r="B35" s="270"/>
      <c r="C35" s="293">
        <f>SUM(C32:C34)</f>
        <v>61681</v>
      </c>
      <c r="D35" s="293" t="e">
        <f ca="1">SUM(D32:D34)</f>
        <v>#NAME?</v>
      </c>
      <c r="E35" s="264" t="e">
        <f ca="1">SUM(E32:E34)</f>
        <v>#NAME?</v>
      </c>
      <c r="F35" s="274"/>
      <c r="G35" s="293" t="e">
        <f ca="1">SUM(G32:G34)</f>
        <v>#NAME?</v>
      </c>
      <c r="H35" s="293" t="e">
        <f ca="1">SUM(H32:H34)</f>
        <v>#NAME?</v>
      </c>
      <c r="I35" s="293" t="e">
        <f ca="1">SUM(I32:I34)</f>
        <v>#NAME?</v>
      </c>
      <c r="J35" s="264" t="e">
        <f ca="1">SUM(J32:J34)</f>
        <v>#NAME?</v>
      </c>
      <c r="K35" s="238"/>
      <c r="L35" s="262" t="e">
        <f ca="1">SUM(L32:L34)</f>
        <v>#NAME?</v>
      </c>
      <c r="M35" s="263" t="e">
        <f ca="1">SUM(M32:M34)</f>
        <v>#NAME?</v>
      </c>
      <c r="N35" s="264" t="e">
        <f ca="1">SUM(N32:N34)</f>
        <v>#NAME?</v>
      </c>
    </row>
    <row r="36" spans="1:14" ht="12" customHeight="1" x14ac:dyDescent="0.25">
      <c r="A36" s="240"/>
      <c r="B36" s="269"/>
      <c r="C36" s="241"/>
      <c r="D36" s="296"/>
      <c r="E36" s="242"/>
      <c r="F36" s="273"/>
      <c r="G36" s="241"/>
      <c r="H36" s="296"/>
      <c r="I36" s="104"/>
      <c r="J36" s="242"/>
      <c r="K36" s="237"/>
      <c r="L36" s="241"/>
      <c r="M36" s="104"/>
      <c r="N36" s="242"/>
    </row>
    <row r="37" spans="1:14" ht="12" customHeight="1" x14ac:dyDescent="0.25">
      <c r="A37" s="240" t="s">
        <v>8</v>
      </c>
      <c r="B37" s="269"/>
      <c r="C37" s="309">
        <f>+'Q1 Mgmt Summary'!C37+'QTD Mgmt Summary'!C37</f>
        <v>1400</v>
      </c>
      <c r="D37" s="43" t="e">
        <f ca="1">+'Q1 Mgmt Summary'!D37+'QTD Mgmt Summary'!D37</f>
        <v>#NAME?</v>
      </c>
      <c r="E37" s="236" t="e">
        <f ca="1">+C37-D37</f>
        <v>#NAME?</v>
      </c>
      <c r="F37" s="273"/>
      <c r="G37" s="309" t="e">
        <f ca="1">+'Q1 Mgmt Summary'!G37+'QTD Mgmt Summary'!G37</f>
        <v>#NAME?</v>
      </c>
      <c r="H37" s="43" t="e">
        <f ca="1">+'Q1 Mgmt Summary'!H37+'QTD Mgmt Summary'!H37</f>
        <v>#NAME?</v>
      </c>
      <c r="I37" s="65" t="e">
        <f ca="1">'QTD Mgmt Summary'!I37+'Q1 Mgmt Summary'!I37</f>
        <v>#NAME?</v>
      </c>
      <c r="J37" s="236" t="e">
        <f ca="1">'QTD Mgmt Summary'!J37+'Q1 Mgmt Summary'!J37</f>
        <v>#NAME?</v>
      </c>
      <c r="K37" s="237"/>
      <c r="L37" s="235" t="e">
        <f t="shared" ref="L37:M39" ca="1" si="8">+C37-G37</f>
        <v>#NAME?</v>
      </c>
      <c r="M37" s="41" t="e">
        <f t="shared" ca="1" si="8"/>
        <v>#NAME?</v>
      </c>
      <c r="N37" s="236" t="e">
        <f ca="1">+L37-M37</f>
        <v>#NAME?</v>
      </c>
    </row>
    <row r="38" spans="1:14" ht="12" customHeight="1" x14ac:dyDescent="0.25">
      <c r="A38" s="240" t="s">
        <v>7</v>
      </c>
      <c r="B38" s="269"/>
      <c r="C38" s="309">
        <f>+'Q1 Mgmt Summary'!C38+'QTD Mgmt Summary'!C38</f>
        <v>0</v>
      </c>
      <c r="D38" s="43">
        <f>+'Q1 Mgmt Summary'!D38+'QTD Mgmt Summary'!D38</f>
        <v>0</v>
      </c>
      <c r="E38" s="236">
        <f>+C38-D38</f>
        <v>0</v>
      </c>
      <c r="F38" s="273"/>
      <c r="G38" s="309" t="e">
        <f ca="1">+'Q1 Mgmt Summary'!G38+'QTD Mgmt Summary'!G38</f>
        <v>#NAME?</v>
      </c>
      <c r="H38" s="43" t="e">
        <f ca="1">+'Q1 Mgmt Summary'!H38+'QTD Mgmt Summary'!H38</f>
        <v>#NAME?</v>
      </c>
      <c r="I38" s="65" t="e">
        <f ca="1">'QTD Mgmt Summary'!I38+'Q1 Mgmt Summary'!I38</f>
        <v>#NAME?</v>
      </c>
      <c r="J38" s="236" t="e">
        <f ca="1">'QTD Mgmt Summary'!J38+'Q1 Mgmt Summary'!J38</f>
        <v>#NAME?</v>
      </c>
      <c r="K38" s="237"/>
      <c r="L38" s="235" t="e">
        <f t="shared" ca="1" si="8"/>
        <v>#NAME?</v>
      </c>
      <c r="M38" s="41" t="e">
        <f t="shared" ca="1" si="8"/>
        <v>#NAME?</v>
      </c>
      <c r="N38" s="236" t="e">
        <f ca="1">+L38-M38</f>
        <v>#NAME?</v>
      </c>
    </row>
    <row r="39" spans="1:14" ht="12" customHeight="1" x14ac:dyDescent="0.25">
      <c r="A39" s="240" t="s">
        <v>19</v>
      </c>
      <c r="B39" s="269"/>
      <c r="C39" s="310">
        <f>+'Q1 Mgmt Summary'!C39+'QTD Mgmt Summary'!C39</f>
        <v>0</v>
      </c>
      <c r="D39" s="51">
        <f>+'Q1 Mgmt Summary'!D39+'QTD Mgmt Summary'!D39</f>
        <v>81514</v>
      </c>
      <c r="E39" s="236">
        <f>+C39-D39</f>
        <v>-81514</v>
      </c>
      <c r="F39" s="273"/>
      <c r="G39" s="310">
        <f>+'Q1 Mgmt Summary'!G39+'QTD Mgmt Summary'!G39</f>
        <v>0</v>
      </c>
      <c r="H39" s="51">
        <f>+'Q1 Mgmt Summary'!H39+'QTD Mgmt Summary'!H39</f>
        <v>0</v>
      </c>
      <c r="I39" s="65">
        <f>'QTD Mgmt Summary'!I39+'Q1 Mgmt Summary'!I39</f>
        <v>0</v>
      </c>
      <c r="J39" s="236">
        <f>'QTD Mgmt Summary'!J39+'Q1 Mgmt Summary'!J39</f>
        <v>0</v>
      </c>
      <c r="K39" s="237"/>
      <c r="L39" s="235">
        <f t="shared" si="8"/>
        <v>0</v>
      </c>
      <c r="M39" s="41">
        <f t="shared" si="8"/>
        <v>81514</v>
      </c>
      <c r="N39" s="236">
        <f>+L39-M39</f>
        <v>-81514</v>
      </c>
    </row>
    <row r="40" spans="1:14" s="204" customFormat="1" ht="12" customHeight="1" x14ac:dyDescent="0.2">
      <c r="A40" s="261" t="s">
        <v>10</v>
      </c>
      <c r="B40" s="270"/>
      <c r="C40" s="293">
        <f>C39+C38+C37+C35+C30+C25+C17</f>
        <v>497222</v>
      </c>
      <c r="D40" s="293" t="e">
        <f ca="1">D39+D38+D37+D35+D30+D25+D17</f>
        <v>#NAME?</v>
      </c>
      <c r="E40" s="264" t="e">
        <f ca="1">E39+E38+E37+E35+E30+E25+E17</f>
        <v>#NAME?</v>
      </c>
      <c r="F40" s="274"/>
      <c r="G40" s="293" t="e">
        <f ca="1">G39+G38+G37+G35+G30+G25+G17</f>
        <v>#NAME?</v>
      </c>
      <c r="H40" s="293" t="e">
        <f ca="1">H39+H38+H37+H35+H30+H25+H17</f>
        <v>#NAME?</v>
      </c>
      <c r="I40" s="293" t="e">
        <f ca="1">I39+I38+I37+I35+I30+I25+I17</f>
        <v>#NAME?</v>
      </c>
      <c r="J40" s="264" t="e">
        <f ca="1">J39+J38+J37+J35+J30+J25+J17</f>
        <v>#NAME?</v>
      </c>
      <c r="K40" s="238"/>
      <c r="L40" s="293" t="e">
        <f ca="1">L39+L38+L37+L35+L30+L25+L17</f>
        <v>#NAME?</v>
      </c>
      <c r="M40" s="293" t="e">
        <f ca="1">M39+M38+M37+M35+M30+M25+M17</f>
        <v>#NAME?</v>
      </c>
      <c r="N40" s="264" t="e">
        <f ca="1">N39+N38+N37+N35+N30+N25+N17</f>
        <v>#NAME?</v>
      </c>
    </row>
    <row r="41" spans="1:14" ht="12" customHeight="1" x14ac:dyDescent="0.25">
      <c r="A41" s="240"/>
      <c r="B41" s="269"/>
      <c r="C41" s="241"/>
      <c r="D41" s="296"/>
      <c r="E41" s="242"/>
      <c r="F41" s="273"/>
      <c r="G41" s="241"/>
      <c r="H41" s="296"/>
      <c r="I41" s="104"/>
      <c r="J41" s="242"/>
      <c r="K41" s="237"/>
      <c r="L41" s="241"/>
      <c r="M41" s="104"/>
      <c r="N41" s="242"/>
    </row>
    <row r="42" spans="1:14" ht="12" customHeight="1" x14ac:dyDescent="0.25">
      <c r="A42" s="240" t="s">
        <v>356</v>
      </c>
      <c r="B42" s="269"/>
      <c r="C42" s="309">
        <f>+'Q1 Mgmt Summary'!C42+'QTD Mgmt Summary'!C42</f>
        <v>0</v>
      </c>
      <c r="D42" s="43">
        <f>+'Q1 Mgmt Summary'!D42+'QTD Mgmt Summary'!D42</f>
        <v>0</v>
      </c>
      <c r="E42" s="236">
        <f>+C42-D42</f>
        <v>0</v>
      </c>
      <c r="F42" s="273"/>
      <c r="G42" s="309">
        <f>+'Q1 Mgmt Summary'!G42+'QTD Mgmt Summary'!G42</f>
        <v>152678</v>
      </c>
      <c r="H42" s="43" t="e">
        <f ca="1">+'Q1 Mgmt Summary'!H42+'QTD Mgmt Summary'!H42</f>
        <v>#NAME?</v>
      </c>
      <c r="I42" s="65">
        <f>'QTD Mgmt Summary'!I42+'Q1 Mgmt Summary'!I42</f>
        <v>0</v>
      </c>
      <c r="J42" s="236" t="e">
        <f ca="1">'QTD Mgmt Summary'!J42+'Q1 Mgmt Summary'!J42</f>
        <v>#NAME?</v>
      </c>
      <c r="K42" s="237"/>
      <c r="L42" s="235">
        <f>+C42-G42</f>
        <v>-152678</v>
      </c>
      <c r="M42" s="41" t="e">
        <f ca="1">+D42-H42</f>
        <v>#NAME?</v>
      </c>
      <c r="N42" s="236" t="e">
        <f ca="1">+L42-M42</f>
        <v>#NAME?</v>
      </c>
    </row>
    <row r="43" spans="1:14" ht="12" customHeight="1" x14ac:dyDescent="0.25">
      <c r="A43" s="240" t="s">
        <v>357</v>
      </c>
      <c r="B43" s="269"/>
      <c r="C43" s="309">
        <f>+'Q1 Mgmt Summary'!C43+'QTD Mgmt Summary'!C43</f>
        <v>0</v>
      </c>
      <c r="D43" s="43">
        <f>+'Q1 Mgmt Summary'!D43+'QTD Mgmt Summary'!D43</f>
        <v>0</v>
      </c>
      <c r="E43" s="236">
        <f>+C43-D43</f>
        <v>0</v>
      </c>
      <c r="F43" s="273"/>
      <c r="G43" s="309" t="e">
        <f ca="1">+'Q1 Mgmt Summary'!G43+'QTD Mgmt Summary'!G43</f>
        <v>#NAME?</v>
      </c>
      <c r="H43" s="43" t="e">
        <f ca="1">+'Q1 Mgmt Summary'!H43+'QTD Mgmt Summary'!H43</f>
        <v>#NAME?</v>
      </c>
      <c r="I43" s="65">
        <f>'QTD Mgmt Summary'!I43+'Q1 Mgmt Summary'!I43</f>
        <v>0</v>
      </c>
      <c r="J43" s="236" t="e">
        <f ca="1">'QTD Mgmt Summary'!J43+'Q1 Mgmt Summary'!J43</f>
        <v>#NAME?</v>
      </c>
      <c r="K43" s="237"/>
      <c r="L43" s="235" t="e">
        <f t="shared" ref="L43:M45" ca="1" si="9">+C43-G43</f>
        <v>#NAME?</v>
      </c>
      <c r="M43" s="41" t="e">
        <f t="shared" ca="1" si="9"/>
        <v>#NAME?</v>
      </c>
      <c r="N43" s="236" t="e">
        <f ca="1">+L43-M43</f>
        <v>#NAME?</v>
      </c>
    </row>
    <row r="44" spans="1:14" ht="12" customHeight="1" x14ac:dyDescent="0.25">
      <c r="A44" s="240" t="s">
        <v>18</v>
      </c>
      <c r="B44" s="269"/>
      <c r="C44" s="309">
        <f>+'Q1 Mgmt Summary'!C44+'QTD Mgmt Summary'!C44</f>
        <v>-41526</v>
      </c>
      <c r="D44" s="43" t="e">
        <f ca="1">+'Q1 Mgmt Summary'!D44+'QTD Mgmt Summary'!D44</f>
        <v>#NAME?</v>
      </c>
      <c r="E44" s="236" t="e">
        <f ca="1">+C44-D44</f>
        <v>#NAME?</v>
      </c>
      <c r="F44" s="275"/>
      <c r="G44" s="309" t="e">
        <f ca="1">+'Q1 Mgmt Summary'!G44+'QTD Mgmt Summary'!G44</f>
        <v>#NAME?</v>
      </c>
      <c r="H44" s="43" t="e">
        <f ca="1">+'Q1 Mgmt Summary'!H44+'QTD Mgmt Summary'!H44</f>
        <v>#NAME?</v>
      </c>
      <c r="I44" s="65">
        <f>'QTD Mgmt Summary'!I44+'Q1 Mgmt Summary'!I44</f>
        <v>0</v>
      </c>
      <c r="J44" s="236" t="e">
        <f ca="1">'QTD Mgmt Summary'!J44+'Q1 Mgmt Summary'!J44</f>
        <v>#NAME?</v>
      </c>
      <c r="K44" s="237"/>
      <c r="L44" s="235" t="e">
        <f t="shared" ca="1" si="9"/>
        <v>#NAME?</v>
      </c>
      <c r="M44" s="41" t="e">
        <f t="shared" ca="1" si="9"/>
        <v>#NAME?</v>
      </c>
      <c r="N44" s="236" t="e">
        <f ca="1">+L44-M44</f>
        <v>#NAME?</v>
      </c>
    </row>
    <row r="45" spans="1:14" ht="12" customHeight="1" x14ac:dyDescent="0.25">
      <c r="A45" s="240" t="s">
        <v>60</v>
      </c>
      <c r="B45" s="269"/>
      <c r="C45" s="309">
        <f>+'Q1 Mgmt Summary'!C45+'QTD Mgmt Summary'!C45</f>
        <v>0</v>
      </c>
      <c r="D45" s="43">
        <f>+'Q1 Mgmt Summary'!D45+'QTD Mgmt Summary'!D45</f>
        <v>0</v>
      </c>
      <c r="E45" s="236">
        <f>+C45-D45</f>
        <v>0</v>
      </c>
      <c r="F45" s="273"/>
      <c r="G45" s="309" t="e">
        <f ca="1">+'Q1 Mgmt Summary'!G45+'QTD Mgmt Summary'!G45</f>
        <v>#NAME?</v>
      </c>
      <c r="H45" s="43" t="e">
        <f ca="1">+'Q1 Mgmt Summary'!H45+'QTD Mgmt Summary'!H45</f>
        <v>#NAME?</v>
      </c>
      <c r="I45" s="65" t="e">
        <f ca="1">'QTD Mgmt Summary'!I45+'Q1 Mgmt Summary'!I45</f>
        <v>#NAME?</v>
      </c>
      <c r="J45" s="236" t="e">
        <f ca="1">'QTD Mgmt Summary'!J45+'Q1 Mgmt Summary'!J45</f>
        <v>#NAME?</v>
      </c>
      <c r="K45" s="237"/>
      <c r="L45" s="235" t="e">
        <f t="shared" ca="1" si="9"/>
        <v>#NAME?</v>
      </c>
      <c r="M45" s="41" t="e">
        <f t="shared" ca="1" si="9"/>
        <v>#NAME?</v>
      </c>
      <c r="N45" s="236" t="e">
        <f ca="1">+L45-M45</f>
        <v>#NAME?</v>
      </c>
    </row>
    <row r="46" spans="1:14" s="204" customFormat="1" ht="12" customHeight="1" x14ac:dyDescent="0.2">
      <c r="A46" s="261" t="s">
        <v>65</v>
      </c>
      <c r="B46" s="270"/>
      <c r="C46" s="293">
        <f>SUM(C40:C45)</f>
        <v>455696</v>
      </c>
      <c r="D46" s="293" t="e">
        <f ca="1">SUM(D40:D45)</f>
        <v>#NAME?</v>
      </c>
      <c r="E46" s="265" t="e">
        <f ca="1">SUM(E40:E45)</f>
        <v>#NAME?</v>
      </c>
      <c r="F46" s="274"/>
      <c r="G46" s="293" t="e">
        <f ca="1">SUM(G40:G45)</f>
        <v>#NAME?</v>
      </c>
      <c r="H46" s="293" t="e">
        <f ca="1">SUM(H40:H45)</f>
        <v>#NAME?</v>
      </c>
      <c r="I46" s="293" t="e">
        <f ca="1">SUM(I40:I45)</f>
        <v>#NAME?</v>
      </c>
      <c r="J46" s="265" t="e">
        <f ca="1">SUM(J40:J45)</f>
        <v>#NAME?</v>
      </c>
      <c r="K46" s="238"/>
      <c r="L46" s="293" t="e">
        <f ca="1">SUM(L40:L45)</f>
        <v>#NAME?</v>
      </c>
      <c r="M46" s="293" t="e">
        <f ca="1">SUM(M40:M45)</f>
        <v>#NAME?</v>
      </c>
      <c r="N46" s="265" t="e">
        <f ca="1">SUM(N40:N45)</f>
        <v>#NAME?</v>
      </c>
    </row>
    <row r="47" spans="1:14" ht="12" customHeight="1" thickBot="1" x14ac:dyDescent="0.3">
      <c r="A47" s="240" t="s">
        <v>150</v>
      </c>
      <c r="B47" s="269"/>
      <c r="C47" s="235">
        <f>+'[1]1Q'!C46+'[1]2QTD'!C46</f>
        <v>0</v>
      </c>
      <c r="D47" s="291">
        <f>+'[1]1Q'!D46+'[1]2QTD'!D46</f>
        <v>0</v>
      </c>
      <c r="E47" s="236">
        <f>+C47-D47</f>
        <v>0</v>
      </c>
      <c r="F47" s="273"/>
      <c r="G47" s="235">
        <f>+'[1]1Q'!G46+'[1]2QTD'!G46</f>
        <v>9823</v>
      </c>
      <c r="H47" s="291">
        <f>+'[1]1Q'!H46+'[1]2QTD'!H46</f>
        <v>20600</v>
      </c>
      <c r="I47" s="65">
        <f>'QTD Mgmt Summary'!I47+'Q1 Mgmt Summary'!I47</f>
        <v>0</v>
      </c>
      <c r="J47" s="236">
        <f>'QTD Mgmt Summary'!J47+'Q1 Mgmt Summary'!J47</f>
        <v>10777</v>
      </c>
      <c r="K47" s="237"/>
      <c r="L47" s="235">
        <f>+C47-G47</f>
        <v>-9823</v>
      </c>
      <c r="M47" s="41">
        <f>+D47-H47</f>
        <v>-20600</v>
      </c>
      <c r="N47" s="236">
        <f>+L47-M47</f>
        <v>10777</v>
      </c>
    </row>
    <row r="48" spans="1:14" s="204" customFormat="1" ht="12" customHeight="1" thickBot="1" x14ac:dyDescent="0.25">
      <c r="A48" s="283" t="s">
        <v>66</v>
      </c>
      <c r="B48" s="284"/>
      <c r="C48" s="298">
        <f>SUM(C46:C47)</f>
        <v>455696</v>
      </c>
      <c r="D48" s="298" t="e">
        <f ca="1">SUM(D46:D47)</f>
        <v>#NAME?</v>
      </c>
      <c r="E48" s="287" t="e">
        <f ca="1">SUM(E46:E47)</f>
        <v>#NAME?</v>
      </c>
      <c r="F48" s="288"/>
      <c r="G48" s="298" t="e">
        <f ca="1">SUM(G46:G47)</f>
        <v>#NAME?</v>
      </c>
      <c r="H48" s="298" t="e">
        <f ca="1">SUM(H46:H47)</f>
        <v>#NAME?</v>
      </c>
      <c r="I48" s="298" t="e">
        <f ca="1">SUM(I46:I47)</f>
        <v>#NAME?</v>
      </c>
      <c r="J48" s="287" t="e">
        <f ca="1">SUM(J46:J47)</f>
        <v>#NAME?</v>
      </c>
      <c r="K48" s="288"/>
      <c r="L48" s="298" t="e">
        <f ca="1">SUM(L46:L47)</f>
        <v>#NAME?</v>
      </c>
      <c r="M48" s="298" t="e">
        <f ca="1">SUM(M46:M47)</f>
        <v>#NAME?</v>
      </c>
      <c r="N48" s="287" t="e">
        <f ca="1">SUM(N46:N47)</f>
        <v>#NAME?</v>
      </c>
    </row>
    <row r="49" spans="1:10" ht="3" customHeight="1" x14ac:dyDescent="0.25">
      <c r="A49" s="185"/>
      <c r="C49" s="186"/>
      <c r="D49" s="42"/>
      <c r="E49" s="185"/>
      <c r="F49" s="44"/>
      <c r="J49" s="177"/>
    </row>
    <row r="50" spans="1:10" x14ac:dyDescent="0.25">
      <c r="A50" s="177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</sheetData>
  <mergeCells count="4">
    <mergeCell ref="C5:E5"/>
    <mergeCell ref="L5:N5"/>
    <mergeCell ref="I6:J6"/>
    <mergeCell ref="G5:J5"/>
  </mergeCells>
  <pageMargins left="0.38" right="0.4" top="0.5" bottom="1" header="0.5" footer="0.5"/>
  <pageSetup scale="92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T80"/>
  <sheetViews>
    <sheetView topLeftCell="A2" workbookViewId="0">
      <selection activeCell="A2" sqref="A2"/>
    </sheetView>
  </sheetViews>
  <sheetFormatPr defaultRowHeight="12.75" x14ac:dyDescent="0.25"/>
  <cols>
    <col min="1" max="1" width="16.85546875" style="25" customWidth="1"/>
    <col min="2" max="2" width="23.7109375" style="27" customWidth="1"/>
    <col min="3" max="3" width="1.7109375" style="27" customWidth="1"/>
    <col min="4" max="5" width="8.7109375" style="27" customWidth="1"/>
    <col min="6" max="6" width="9.7109375" style="27" customWidth="1"/>
    <col min="7" max="7" width="0.140625" style="27" customWidth="1"/>
    <col min="8" max="15" width="8.7109375" style="27" customWidth="1"/>
    <col min="16" max="21" width="9.7109375" style="27" customWidth="1"/>
    <col min="22" max="16384" width="9.140625" style="27"/>
  </cols>
  <sheetData>
    <row r="1" spans="1:20" ht="12.75" hidden="1" customHeight="1" x14ac:dyDescent="0.25">
      <c r="A1" s="25" t="s">
        <v>102</v>
      </c>
    </row>
    <row r="2" spans="1:20" ht="15.75" x14ac:dyDescent="0.25">
      <c r="A2" s="25" t="s">
        <v>50</v>
      </c>
      <c r="B2" s="378" t="s">
        <v>17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R2" s="27" t="s">
        <v>354</v>
      </c>
    </row>
    <row r="3" spans="1:20" ht="16.5" x14ac:dyDescent="0.3">
      <c r="A3" s="26">
        <v>36678</v>
      </c>
      <c r="B3" s="379" t="s">
        <v>161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</row>
    <row r="4" spans="1:20" ht="13.5" x14ac:dyDescent="0.25">
      <c r="A4" s="25" t="s">
        <v>47</v>
      </c>
      <c r="B4" s="380" t="str">
        <f>'Old Mgmt Summary'!A3</f>
        <v>Results based on Activity through April 28, 2000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</row>
    <row r="5" spans="1:20" ht="3" customHeight="1" x14ac:dyDescent="0.25">
      <c r="B5" s="38"/>
    </row>
    <row r="6" spans="1:20" ht="12.75" customHeight="1" x14ac:dyDescent="0.25">
      <c r="A6" s="25" t="s">
        <v>125</v>
      </c>
      <c r="B6" s="28"/>
      <c r="D6" s="39"/>
      <c r="E6" s="40"/>
      <c r="F6" s="40"/>
      <c r="G6" s="40"/>
      <c r="H6" s="40"/>
      <c r="I6" s="40"/>
      <c r="J6" s="40"/>
      <c r="K6" s="40"/>
      <c r="L6" s="40"/>
      <c r="M6" s="40"/>
      <c r="N6" s="40"/>
      <c r="O6" s="30"/>
      <c r="R6" s="381" t="s">
        <v>138</v>
      </c>
      <c r="S6" s="382"/>
      <c r="T6" s="383"/>
    </row>
    <row r="7" spans="1:20" x14ac:dyDescent="0.25">
      <c r="B7" s="29"/>
      <c r="D7" s="36"/>
      <c r="E7" s="38"/>
      <c r="F7" s="56"/>
      <c r="G7" s="56"/>
      <c r="H7" s="56"/>
      <c r="I7" s="38"/>
      <c r="J7" s="56" t="s">
        <v>71</v>
      </c>
      <c r="K7" s="56" t="s">
        <v>11</v>
      </c>
      <c r="L7" s="56" t="s">
        <v>13</v>
      </c>
      <c r="M7" s="56" t="s">
        <v>14</v>
      </c>
      <c r="N7" s="56" t="s">
        <v>21</v>
      </c>
      <c r="O7" s="57"/>
      <c r="P7" s="58"/>
      <c r="Q7" s="58"/>
      <c r="R7" s="381" t="s">
        <v>137</v>
      </c>
      <c r="S7" s="382"/>
      <c r="T7" s="383"/>
    </row>
    <row r="8" spans="1:20" x14ac:dyDescent="0.25">
      <c r="B8" s="37" t="s">
        <v>16</v>
      </c>
      <c r="D8" s="343" t="s">
        <v>474</v>
      </c>
      <c r="E8" s="34" t="s">
        <v>139</v>
      </c>
      <c r="F8" s="34" t="s">
        <v>135</v>
      </c>
      <c r="G8" s="34"/>
      <c r="H8" s="344" t="s">
        <v>477</v>
      </c>
      <c r="I8" s="34" t="s">
        <v>49</v>
      </c>
      <c r="J8" s="34" t="s">
        <v>21</v>
      </c>
      <c r="K8" s="34" t="s">
        <v>12</v>
      </c>
      <c r="L8" s="34" t="s">
        <v>21</v>
      </c>
      <c r="M8" s="34" t="s">
        <v>21</v>
      </c>
      <c r="N8" s="34" t="s">
        <v>15</v>
      </c>
      <c r="O8" s="35" t="s">
        <v>20</v>
      </c>
      <c r="P8" s="58"/>
      <c r="Q8" s="58"/>
      <c r="R8" s="184" t="s">
        <v>15</v>
      </c>
      <c r="S8" s="145" t="s">
        <v>13</v>
      </c>
      <c r="T8" s="146" t="s">
        <v>20</v>
      </c>
    </row>
    <row r="9" spans="1:20" ht="3" customHeight="1" x14ac:dyDescent="0.25">
      <c r="B9" s="29"/>
      <c r="D9" s="36"/>
      <c r="E9" s="38"/>
      <c r="F9" s="38"/>
      <c r="G9" s="38"/>
      <c r="H9" s="38"/>
      <c r="I9" s="38"/>
      <c r="J9" s="36"/>
      <c r="K9" s="36"/>
      <c r="L9" s="38"/>
      <c r="M9" s="38"/>
      <c r="N9" s="38"/>
      <c r="O9" s="28"/>
    </row>
    <row r="10" spans="1:20" ht="12" customHeight="1" x14ac:dyDescent="0.25">
      <c r="A10" s="25" t="s">
        <v>273</v>
      </c>
      <c r="B10" s="29" t="s">
        <v>3</v>
      </c>
      <c r="D10" s="59">
        <v>37748</v>
      </c>
      <c r="E10" s="60"/>
      <c r="F10" s="60"/>
      <c r="G10" s="60"/>
      <c r="H10" s="60"/>
      <c r="I10" s="60"/>
      <c r="J10" s="103">
        <f>SUM(D10:I10)</f>
        <v>37748</v>
      </c>
      <c r="K10" s="59"/>
      <c r="L10" s="60"/>
      <c r="M10" s="60">
        <f t="shared" ref="M10:M18" si="0">SUM(J10:L10)</f>
        <v>37748</v>
      </c>
      <c r="N10" s="60" t="e">
        <f ca="1">ROUND(_xll.HPVAL($A10,$A$1,$A$2,$A$3,$A$4,$A$6)/1000,0)</f>
        <v>#NAME?</v>
      </c>
      <c r="O10" s="82" t="e">
        <f ca="1">M10-N10</f>
        <v>#NAME?</v>
      </c>
      <c r="R10" s="73" t="e">
        <f ca="1">N10-Expenses!E9-'CapChrg-AllocExp'!E10</f>
        <v>#NAME?</v>
      </c>
      <c r="S10" s="73" t="e">
        <f ca="1">J10+K10-Expenses!D9-'CapChrg-AllocExp'!D10</f>
        <v>#NAME?</v>
      </c>
      <c r="T10" s="73" t="e">
        <f ca="1">R10-S10</f>
        <v>#NAME?</v>
      </c>
    </row>
    <row r="11" spans="1:20" ht="12" customHeight="1" x14ac:dyDescent="0.25">
      <c r="A11" s="25" t="s">
        <v>105</v>
      </c>
      <c r="B11" s="29" t="s">
        <v>106</v>
      </c>
      <c r="D11" s="41">
        <v>40629</v>
      </c>
      <c r="E11" s="42"/>
      <c r="F11" s="42"/>
      <c r="G11" s="42"/>
      <c r="H11" s="42">
        <v>0</v>
      </c>
      <c r="I11" s="42"/>
      <c r="J11" s="64">
        <f t="shared" ref="J11:J18" si="1">SUM(D11:I11)</f>
        <v>40629</v>
      </c>
      <c r="K11" s="41"/>
      <c r="L11" s="42"/>
      <c r="M11" s="42">
        <f t="shared" si="0"/>
        <v>40629</v>
      </c>
      <c r="N11" s="345">
        <f>58447+Expenses!E55</f>
        <v>67236</v>
      </c>
      <c r="O11" s="83">
        <f t="shared" ref="O11:O18" si="2">M11-N11</f>
        <v>-26607</v>
      </c>
      <c r="R11" s="44" t="e">
        <f ca="1">N11-Expenses!E10-'CapChrg-AllocExp'!E11</f>
        <v>#NAME?</v>
      </c>
      <c r="S11" s="44" t="e">
        <f ca="1">J11+K11-Expenses!D10-'CapChrg-AllocExp'!D11</f>
        <v>#NAME?</v>
      </c>
      <c r="T11" s="44" t="e">
        <f t="shared" ref="T11:T18" ca="1" si="3">R11-S11</f>
        <v>#NAME?</v>
      </c>
    </row>
    <row r="12" spans="1:20" ht="12" customHeight="1" x14ac:dyDescent="0.25">
      <c r="A12" s="25" t="s">
        <v>27</v>
      </c>
      <c r="B12" s="29" t="s">
        <v>132</v>
      </c>
      <c r="D12" s="41">
        <v>9797</v>
      </c>
      <c r="E12" s="42"/>
      <c r="F12" s="42"/>
      <c r="G12" s="42"/>
      <c r="H12" s="42"/>
      <c r="I12" s="42"/>
      <c r="J12" s="64">
        <f>SUM(D12:I12)</f>
        <v>9797</v>
      </c>
      <c r="K12" s="41"/>
      <c r="L12" s="42"/>
      <c r="M12" s="42">
        <f t="shared" si="0"/>
        <v>9797</v>
      </c>
      <c r="N12" s="42" t="e">
        <f ca="1">ROUND((_xll.HPVAL($A12,$A$1,"other",$A$3,$A$4,$A$6)+_xll.HPVAL($A12,$A$1,"overview",$A$3,$A$4,$A$6))/1000,0)</f>
        <v>#NAME?</v>
      </c>
      <c r="O12" s="83" t="e">
        <f t="shared" ca="1" si="2"/>
        <v>#NAME?</v>
      </c>
      <c r="R12" s="44" t="e">
        <f ca="1">N12-Expenses!E11-'CapChrg-AllocExp'!E12</f>
        <v>#NAME?</v>
      </c>
      <c r="S12" s="44" t="e">
        <f ca="1">J12+K12-Expenses!D11-'CapChrg-AllocExp'!D12</f>
        <v>#NAME?</v>
      </c>
      <c r="T12" s="44" t="e">
        <f t="shared" ca="1" si="3"/>
        <v>#NAME?</v>
      </c>
    </row>
    <row r="13" spans="1:20" ht="12" customHeight="1" x14ac:dyDescent="0.25">
      <c r="A13" s="25" t="s">
        <v>134</v>
      </c>
      <c r="B13" s="29" t="s">
        <v>133</v>
      </c>
      <c r="D13" s="41">
        <f>719+693-883</f>
        <v>529</v>
      </c>
      <c r="E13" s="42"/>
      <c r="F13" s="42"/>
      <c r="G13" s="42"/>
      <c r="H13" s="42"/>
      <c r="I13" s="42"/>
      <c r="J13" s="64">
        <f>SUM(D13:I13)</f>
        <v>529</v>
      </c>
      <c r="K13" s="41"/>
      <c r="L13" s="42"/>
      <c r="M13" s="42">
        <f>SUM(J13:L13)</f>
        <v>529</v>
      </c>
      <c r="N13" s="42" t="e">
        <f ca="1">ROUND(_xll.HPVAL($A13,$A$1,$A$2,$A$3,$A$4,$A$6)/1000,0)-N12</f>
        <v>#NAME?</v>
      </c>
      <c r="O13" s="83" t="e">
        <f ca="1">M13-N13</f>
        <v>#NAME?</v>
      </c>
      <c r="R13" s="44" t="e">
        <f ca="1">N13-Expenses!E12-'CapChrg-AllocExp'!E13</f>
        <v>#NAME?</v>
      </c>
      <c r="S13" s="44" t="e">
        <f ca="1">J13+K13-Expenses!D12-'CapChrg-AllocExp'!D13</f>
        <v>#NAME?</v>
      </c>
      <c r="T13" s="44" t="e">
        <f ca="1">R13-S13</f>
        <v>#NAME?</v>
      </c>
    </row>
    <row r="14" spans="1:20" ht="12" customHeight="1" x14ac:dyDescent="0.25">
      <c r="A14" s="25" t="s">
        <v>74</v>
      </c>
      <c r="B14" s="29" t="s">
        <v>424</v>
      </c>
      <c r="D14" s="41">
        <v>4334</v>
      </c>
      <c r="E14" s="81">
        <v>0</v>
      </c>
      <c r="F14" s="81">
        <v>0</v>
      </c>
      <c r="G14" s="81"/>
      <c r="H14" s="42"/>
      <c r="I14" s="42"/>
      <c r="J14" s="64">
        <f>SUM(D14:I14)</f>
        <v>4334</v>
      </c>
      <c r="K14" s="41"/>
      <c r="L14" s="42"/>
      <c r="M14" s="42">
        <f t="shared" si="0"/>
        <v>4334</v>
      </c>
      <c r="N14" s="42">
        <v>11556</v>
      </c>
      <c r="O14" s="83">
        <f t="shared" si="2"/>
        <v>-7222</v>
      </c>
      <c r="R14" s="44" t="e">
        <f ca="1">N14-Expenses!E13-'CapChrg-AllocExp'!E14</f>
        <v>#NAME?</v>
      </c>
      <c r="S14" s="44" t="e">
        <f ca="1">J14+K14-Expenses!D13-'CapChrg-AllocExp'!D14</f>
        <v>#NAME?</v>
      </c>
      <c r="T14" s="44" t="e">
        <f t="shared" ca="1" si="3"/>
        <v>#NAME?</v>
      </c>
    </row>
    <row r="15" spans="1:20" ht="12" customHeight="1" x14ac:dyDescent="0.25">
      <c r="A15" s="25" t="s">
        <v>28</v>
      </c>
      <c r="B15" s="29" t="s">
        <v>5</v>
      </c>
      <c r="D15" s="41">
        <v>2342</v>
      </c>
      <c r="E15" s="42">
        <v>67</v>
      </c>
      <c r="F15" s="42">
        <v>73</v>
      </c>
      <c r="G15" s="42"/>
      <c r="H15" s="42"/>
      <c r="I15" s="42"/>
      <c r="J15" s="64">
        <f t="shared" si="1"/>
        <v>2482</v>
      </c>
      <c r="K15" s="41"/>
      <c r="L15" s="42"/>
      <c r="M15" s="42">
        <f t="shared" si="0"/>
        <v>2482</v>
      </c>
      <c r="N15" s="42" t="e">
        <f ca="1">ROUND(_xll.HPVAL($A15,$A$1,$A$2,$A$3,$A$4,$A$6)/1000,0)</f>
        <v>#NAME?</v>
      </c>
      <c r="O15" s="83" t="e">
        <f t="shared" ca="1" si="2"/>
        <v>#NAME?</v>
      </c>
      <c r="R15" s="44" t="e">
        <f ca="1">N15-Expenses!E14-'CapChrg-AllocExp'!E15</f>
        <v>#NAME?</v>
      </c>
      <c r="S15" s="44" t="e">
        <f ca="1">J15+K15-Expenses!D14-'CapChrg-AllocExp'!D15</f>
        <v>#NAME?</v>
      </c>
      <c r="T15" s="44" t="e">
        <f t="shared" ca="1" si="3"/>
        <v>#NAME?</v>
      </c>
    </row>
    <row r="16" spans="1:20" ht="12" customHeight="1" x14ac:dyDescent="0.25">
      <c r="A16" s="25" t="s">
        <v>30</v>
      </c>
      <c r="B16" s="29" t="s">
        <v>155</v>
      </c>
      <c r="D16" s="41">
        <v>246</v>
      </c>
      <c r="E16" s="42">
        <v>0</v>
      </c>
      <c r="F16" s="42">
        <v>0</v>
      </c>
      <c r="G16" s="42"/>
      <c r="H16" s="42"/>
      <c r="I16" s="42"/>
      <c r="J16" s="64">
        <f t="shared" si="1"/>
        <v>246</v>
      </c>
      <c r="K16" s="41"/>
      <c r="L16" s="42"/>
      <c r="M16" s="42">
        <f t="shared" si="0"/>
        <v>246</v>
      </c>
      <c r="N16" s="42" t="e">
        <f ca="1">ROUND(_xll.HPVAL($A16,$A$1,$A$2,$A$3,$A$4,$A$6)/1000,0)</f>
        <v>#NAME?</v>
      </c>
      <c r="O16" s="83" t="e">
        <f t="shared" ca="1" si="2"/>
        <v>#NAME?</v>
      </c>
      <c r="R16" s="44" t="e">
        <f ca="1">N16-Expenses!E15-'CapChrg-AllocExp'!E16</f>
        <v>#NAME?</v>
      </c>
      <c r="S16" s="44" t="e">
        <f ca="1">J16+K16-Expenses!D15-'CapChrg-AllocExp'!D16</f>
        <v>#NAME?</v>
      </c>
      <c r="T16" s="44" t="e">
        <f t="shared" ca="1" si="3"/>
        <v>#NAME?</v>
      </c>
    </row>
    <row r="17" spans="1:20" ht="12" customHeight="1" x14ac:dyDescent="0.25">
      <c r="A17" s="25" t="s">
        <v>4</v>
      </c>
      <c r="B17" s="29" t="s">
        <v>107</v>
      </c>
      <c r="D17" s="41">
        <v>-938</v>
      </c>
      <c r="E17" s="42"/>
      <c r="F17" s="42"/>
      <c r="G17" s="42"/>
      <c r="H17" s="42"/>
      <c r="I17" s="42"/>
      <c r="J17" s="64">
        <f t="shared" si="1"/>
        <v>-938</v>
      </c>
      <c r="K17" s="41"/>
      <c r="L17" s="42"/>
      <c r="M17" s="42">
        <f t="shared" si="0"/>
        <v>-938</v>
      </c>
      <c r="N17" s="42" t="e">
        <f ca="1">ROUND(_xll.HPVAL($A17,$A$1,$A$2,$A$3,$A$4,$A$6)/1000,0)</f>
        <v>#NAME?</v>
      </c>
      <c r="O17" s="83" t="e">
        <f t="shared" ca="1" si="2"/>
        <v>#NAME?</v>
      </c>
      <c r="R17" s="44" t="e">
        <f ca="1">N17-Expenses!E16-'CapChrg-AllocExp'!E17</f>
        <v>#NAME?</v>
      </c>
      <c r="S17" s="44" t="e">
        <f ca="1">J17+K17-Expenses!D16-'CapChrg-AllocExp'!D17</f>
        <v>#NAME?</v>
      </c>
      <c r="T17" s="44" t="e">
        <f t="shared" ca="1" si="3"/>
        <v>#NAME?</v>
      </c>
    </row>
    <row r="18" spans="1:20" ht="12" customHeight="1" x14ac:dyDescent="0.25">
      <c r="A18" s="25" t="s">
        <v>73</v>
      </c>
      <c r="B18" s="29" t="s">
        <v>156</v>
      </c>
      <c r="D18" s="41"/>
      <c r="E18" s="42"/>
      <c r="F18" s="42"/>
      <c r="G18" s="42"/>
      <c r="H18" s="42"/>
      <c r="I18" s="42"/>
      <c r="J18" s="64">
        <f t="shared" si="1"/>
        <v>0</v>
      </c>
      <c r="K18" s="41"/>
      <c r="L18" s="42"/>
      <c r="M18" s="42">
        <f t="shared" si="0"/>
        <v>0</v>
      </c>
      <c r="N18" s="42" t="e">
        <f ca="1">ROUND(_xll.HPVAL($A18,$A$1,$A$2,$A$3,$A$4,$A$6)/1000,0)</f>
        <v>#NAME?</v>
      </c>
      <c r="O18" s="83" t="e">
        <f t="shared" ca="1" si="2"/>
        <v>#NAME?</v>
      </c>
      <c r="R18" s="44" t="e">
        <f ca="1">N18-Expenses!E17-'CapChrg-AllocExp'!E18</f>
        <v>#NAME?</v>
      </c>
      <c r="S18" s="44" t="e">
        <f ca="1">J18+K18-Expenses!D17-'CapChrg-AllocExp'!D18</f>
        <v>#NAME?</v>
      </c>
      <c r="T18" s="44" t="e">
        <f t="shared" ca="1" si="3"/>
        <v>#NAME?</v>
      </c>
    </row>
    <row r="19" spans="1:20" ht="3" customHeight="1" x14ac:dyDescent="0.25">
      <c r="B19" s="29"/>
      <c r="D19" s="41"/>
      <c r="E19" s="42"/>
      <c r="F19" s="42"/>
      <c r="G19" s="42"/>
      <c r="H19" s="42"/>
      <c r="I19" s="42"/>
      <c r="J19" s="64"/>
      <c r="K19" s="41"/>
      <c r="L19" s="42"/>
      <c r="M19" s="42"/>
      <c r="N19" s="42"/>
      <c r="O19" s="83"/>
    </row>
    <row r="20" spans="1:20" ht="12" customHeight="1" x14ac:dyDescent="0.25">
      <c r="B20" s="106" t="s">
        <v>6</v>
      </c>
      <c r="C20" s="91"/>
      <c r="D20" s="99">
        <f t="shared" ref="D20:O20" si="4">SUM(D10:D18)</f>
        <v>94687</v>
      </c>
      <c r="E20" s="100">
        <f t="shared" si="4"/>
        <v>67</v>
      </c>
      <c r="F20" s="100">
        <f t="shared" si="4"/>
        <v>73</v>
      </c>
      <c r="G20" s="100"/>
      <c r="H20" s="100">
        <f t="shared" si="4"/>
        <v>0</v>
      </c>
      <c r="I20" s="100">
        <f t="shared" si="4"/>
        <v>0</v>
      </c>
      <c r="J20" s="99">
        <f t="shared" si="4"/>
        <v>94827</v>
      </c>
      <c r="K20" s="99">
        <f t="shared" si="4"/>
        <v>0</v>
      </c>
      <c r="L20" s="100">
        <f t="shared" si="4"/>
        <v>0</v>
      </c>
      <c r="M20" s="100">
        <f t="shared" si="4"/>
        <v>94827</v>
      </c>
      <c r="N20" s="100" t="e">
        <f t="shared" ca="1" si="4"/>
        <v>#NAME?</v>
      </c>
      <c r="O20" s="102" t="e">
        <f t="shared" ca="1" si="4"/>
        <v>#NAME?</v>
      </c>
      <c r="R20" s="100" t="e">
        <f ca="1">SUM(R10:R18)</f>
        <v>#NAME?</v>
      </c>
      <c r="S20" s="100" t="e">
        <f ca="1">SUM(S10:S18)</f>
        <v>#NAME?</v>
      </c>
      <c r="T20" s="100" t="e">
        <f ca="1">SUM(T10:T18)</f>
        <v>#NAME?</v>
      </c>
    </row>
    <row r="21" spans="1:20" ht="3" customHeight="1" x14ac:dyDescent="0.25">
      <c r="B21" s="29"/>
      <c r="D21" s="41"/>
      <c r="E21" s="42"/>
      <c r="F21" s="42"/>
      <c r="G21" s="42"/>
      <c r="H21" s="42"/>
      <c r="I21" s="42"/>
      <c r="J21" s="64"/>
      <c r="K21" s="41"/>
      <c r="L21" s="42"/>
      <c r="M21" s="42"/>
      <c r="N21" s="42"/>
      <c r="O21" s="83"/>
    </row>
    <row r="22" spans="1:20" ht="12" customHeight="1" x14ac:dyDescent="0.25">
      <c r="A22" s="25" t="s">
        <v>32</v>
      </c>
      <c r="B22" s="29" t="s">
        <v>88</v>
      </c>
      <c r="D22" s="41"/>
      <c r="E22" s="42"/>
      <c r="F22" s="42"/>
      <c r="G22" s="42"/>
      <c r="H22" s="42"/>
      <c r="I22" s="42"/>
      <c r="J22" s="64">
        <f t="shared" ref="J22:J27" si="5">SUM(D22:I22)</f>
        <v>0</v>
      </c>
      <c r="K22" s="41"/>
      <c r="L22" s="42"/>
      <c r="M22" s="42">
        <f t="shared" ref="M22:M27" si="6">SUM(J22:L22)</f>
        <v>0</v>
      </c>
      <c r="N22" s="42" t="e">
        <f ca="1">ROUND(_xll.HPVAL($A22,$A$1,$A$2,$A$3,$A$4,$A$6)/1000,0)</f>
        <v>#NAME?</v>
      </c>
      <c r="O22" s="83" t="e">
        <f t="shared" ref="O22:O27" ca="1" si="7">M22-N22</f>
        <v>#NAME?</v>
      </c>
      <c r="R22" s="135" t="e">
        <f ca="1">N22-Expenses!E20-'CapChrg-AllocExp'!E21</f>
        <v>#NAME?</v>
      </c>
      <c r="S22" s="135" t="e">
        <f ca="1">J22+K22-Expenses!D20-'CapChrg-AllocExp'!D21</f>
        <v>#NAME?</v>
      </c>
      <c r="T22" s="44" t="e">
        <f ca="1">R22-S22</f>
        <v>#NAME?</v>
      </c>
    </row>
    <row r="23" spans="1:20" ht="12" customHeight="1" x14ac:dyDescent="0.25">
      <c r="A23" s="25" t="s">
        <v>38</v>
      </c>
      <c r="B23" s="29" t="s">
        <v>89</v>
      </c>
      <c r="D23" s="41"/>
      <c r="E23" s="42">
        <v>494</v>
      </c>
      <c r="F23" s="42"/>
      <c r="G23" s="42"/>
      <c r="H23" s="42"/>
      <c r="I23" s="42"/>
      <c r="J23" s="64">
        <f t="shared" si="5"/>
        <v>494</v>
      </c>
      <c r="K23" s="41"/>
      <c r="L23" s="42"/>
      <c r="M23" s="42">
        <f t="shared" si="6"/>
        <v>494</v>
      </c>
      <c r="N23" s="42" t="e">
        <f ca="1">ROUND(_xll.HPVAL($A23,$A$1,$A$2,$A$3,$A$4,$A$6)/1000,0)</f>
        <v>#NAME?</v>
      </c>
      <c r="O23" s="83" t="e">
        <f t="shared" ca="1" si="7"/>
        <v>#NAME?</v>
      </c>
      <c r="R23" s="44" t="e">
        <f ca="1">N23-Expenses!E21-'CapChrg-AllocExp'!E22</f>
        <v>#NAME?</v>
      </c>
      <c r="S23" s="44" t="e">
        <f ca="1">J23+K23-Expenses!D21-'CapChrg-AllocExp'!D22</f>
        <v>#NAME?</v>
      </c>
      <c r="T23" s="44" t="e">
        <f ca="1">R23-S23</f>
        <v>#NAME?</v>
      </c>
    </row>
    <row r="24" spans="1:20" ht="12" customHeight="1" x14ac:dyDescent="0.25">
      <c r="A24" s="25" t="s">
        <v>272</v>
      </c>
      <c r="B24" s="29" t="s">
        <v>271</v>
      </c>
      <c r="D24" s="41">
        <f>655+132</f>
        <v>787</v>
      </c>
      <c r="E24" s="42"/>
      <c r="F24" s="42"/>
      <c r="G24" s="42"/>
      <c r="H24" s="42"/>
      <c r="I24" s="42"/>
      <c r="J24" s="64">
        <f t="shared" si="5"/>
        <v>787</v>
      </c>
      <c r="K24" s="41"/>
      <c r="L24" s="42"/>
      <c r="M24" s="42">
        <f t="shared" si="6"/>
        <v>787</v>
      </c>
      <c r="N24" s="42" t="e">
        <f ca="1">ROUND(_xll.HPVAL($A24,$A$1,$A$2,$A$3,$A$4,$A$6)/1000,0)</f>
        <v>#NAME?</v>
      </c>
      <c r="O24" s="83" t="e">
        <f t="shared" ca="1" si="7"/>
        <v>#NAME?</v>
      </c>
      <c r="R24" s="44" t="e">
        <f ca="1">N24-Expenses!E22-'CapChrg-AllocExp'!E23</f>
        <v>#NAME?</v>
      </c>
      <c r="S24" s="44" t="e">
        <f ca="1">J24+K24-Expenses!D22-'CapChrg-AllocExp'!D23</f>
        <v>#NAME?</v>
      </c>
      <c r="T24" s="44" t="e">
        <f ca="1">R24-S24</f>
        <v>#NAME?</v>
      </c>
    </row>
    <row r="25" spans="1:20" ht="12" customHeight="1" x14ac:dyDescent="0.25">
      <c r="A25" s="25" t="s">
        <v>103</v>
      </c>
      <c r="B25" s="29" t="s">
        <v>104</v>
      </c>
      <c r="D25" s="41"/>
      <c r="E25" s="81"/>
      <c r="F25" s="81"/>
      <c r="G25" s="81"/>
      <c r="H25" s="42"/>
      <c r="I25" s="42"/>
      <c r="J25" s="64">
        <f t="shared" si="5"/>
        <v>0</v>
      </c>
      <c r="K25" s="41"/>
      <c r="L25" s="42"/>
      <c r="M25" s="42">
        <f t="shared" si="6"/>
        <v>0</v>
      </c>
      <c r="N25" s="42" t="e">
        <f ca="1">ROUND(_xll.HPVAL($A25,$A$1,$A$2,$A$3,$A$4,$A$6)/1000,0)</f>
        <v>#NAME?</v>
      </c>
      <c r="O25" s="83" t="e">
        <f t="shared" ca="1" si="7"/>
        <v>#NAME?</v>
      </c>
      <c r="R25" s="44" t="e">
        <f ca="1">N25-Expenses!E23-'CapChrg-AllocExp'!E24</f>
        <v>#NAME?</v>
      </c>
      <c r="S25" s="44" t="e">
        <f ca="1">J25+K25-Expenses!D23-'CapChrg-AllocExp'!D24</f>
        <v>#NAME?</v>
      </c>
      <c r="T25" s="44" t="e">
        <f ca="1">R25-S25</f>
        <v>#NAME?</v>
      </c>
    </row>
    <row r="26" spans="1:20" ht="12" customHeight="1" x14ac:dyDescent="0.25">
      <c r="A26" s="25" t="s">
        <v>426</v>
      </c>
      <c r="B26" s="29" t="s">
        <v>425</v>
      </c>
      <c r="D26" s="41"/>
      <c r="E26" s="81">
        <v>1768</v>
      </c>
      <c r="F26" s="81">
        <v>0</v>
      </c>
      <c r="G26" s="81"/>
      <c r="H26" s="42"/>
      <c r="I26" s="42"/>
      <c r="J26" s="64">
        <f t="shared" si="5"/>
        <v>1768</v>
      </c>
      <c r="K26" s="41"/>
      <c r="L26" s="42"/>
      <c r="M26" s="42">
        <f t="shared" si="6"/>
        <v>1768</v>
      </c>
      <c r="N26" s="42">
        <v>11556</v>
      </c>
      <c r="O26" s="83">
        <f t="shared" si="7"/>
        <v>-9788</v>
      </c>
      <c r="R26" s="44"/>
      <c r="S26" s="44"/>
      <c r="T26" s="44"/>
    </row>
    <row r="27" spans="1:20" ht="12" customHeight="1" x14ac:dyDescent="0.25">
      <c r="A27" s="25" t="s">
        <v>36</v>
      </c>
      <c r="B27" s="29" t="s">
        <v>0</v>
      </c>
      <c r="D27" s="41"/>
      <c r="E27" s="42"/>
      <c r="F27" s="42"/>
      <c r="G27" s="42"/>
      <c r="H27" s="42"/>
      <c r="I27" s="42"/>
      <c r="J27" s="64">
        <f t="shared" si="5"/>
        <v>0</v>
      </c>
      <c r="K27" s="41"/>
      <c r="L27" s="42"/>
      <c r="M27" s="42">
        <f t="shared" si="6"/>
        <v>0</v>
      </c>
      <c r="N27" s="42" t="e">
        <f ca="1">ROUND(_xll.HPVAL($A27,$A$1,$A$2,$A$3,$A$4,$A$6)/1000,0)</f>
        <v>#NAME?</v>
      </c>
      <c r="O27" s="83" t="e">
        <f t="shared" ca="1" si="7"/>
        <v>#NAME?</v>
      </c>
      <c r="R27" s="44" t="e">
        <f ca="1">N27-Expenses!E25-'CapChrg-AllocExp'!E26</f>
        <v>#NAME?</v>
      </c>
      <c r="S27" s="44" t="e">
        <f ca="1">J27+K27-Expenses!D25-'CapChrg-AllocExp'!D26</f>
        <v>#NAME?</v>
      </c>
      <c r="T27" s="44" t="e">
        <f ca="1">R27-S27</f>
        <v>#NAME?</v>
      </c>
    </row>
    <row r="28" spans="1:20" ht="3" customHeight="1" x14ac:dyDescent="0.25">
      <c r="B28" s="29"/>
      <c r="D28" s="41"/>
      <c r="E28" s="42"/>
      <c r="F28" s="42"/>
      <c r="G28" s="42"/>
      <c r="H28" s="42"/>
      <c r="I28" s="42"/>
      <c r="J28" s="64"/>
      <c r="K28" s="41"/>
      <c r="L28" s="42"/>
      <c r="M28" s="42"/>
      <c r="N28" s="42"/>
      <c r="O28" s="83"/>
    </row>
    <row r="29" spans="1:20" ht="12" customHeight="1" x14ac:dyDescent="0.25">
      <c r="B29" s="106" t="s">
        <v>1</v>
      </c>
      <c r="C29" s="91"/>
      <c r="D29" s="99">
        <f t="shared" ref="D29:O29" si="8">SUM(D22:D27)</f>
        <v>787</v>
      </c>
      <c r="E29" s="100">
        <f t="shared" si="8"/>
        <v>2262</v>
      </c>
      <c r="F29" s="100">
        <f t="shared" si="8"/>
        <v>0</v>
      </c>
      <c r="G29" s="100"/>
      <c r="H29" s="100">
        <f t="shared" si="8"/>
        <v>0</v>
      </c>
      <c r="I29" s="100">
        <f t="shared" si="8"/>
        <v>0</v>
      </c>
      <c r="J29" s="99">
        <f t="shared" si="8"/>
        <v>3049</v>
      </c>
      <c r="K29" s="99">
        <f t="shared" si="8"/>
        <v>0</v>
      </c>
      <c r="L29" s="100">
        <f t="shared" si="8"/>
        <v>0</v>
      </c>
      <c r="M29" s="100">
        <f t="shared" si="8"/>
        <v>3049</v>
      </c>
      <c r="N29" s="100" t="e">
        <f t="shared" ca="1" si="8"/>
        <v>#NAME?</v>
      </c>
      <c r="O29" s="102" t="e">
        <f t="shared" ca="1" si="8"/>
        <v>#NAME?</v>
      </c>
      <c r="R29" s="100" t="e">
        <f ca="1">SUM(R22:R27)</f>
        <v>#NAME?</v>
      </c>
      <c r="S29" s="100" t="e">
        <f ca="1">SUM(S22:S27)</f>
        <v>#NAME?</v>
      </c>
      <c r="T29" s="100" t="e">
        <f ca="1">SUM(T22:T27)</f>
        <v>#NAME?</v>
      </c>
    </row>
    <row r="30" spans="1:20" ht="3" customHeight="1" x14ac:dyDescent="0.25">
      <c r="B30" s="29"/>
      <c r="D30" s="41"/>
      <c r="E30" s="42"/>
      <c r="F30" s="42"/>
      <c r="G30" s="42"/>
      <c r="H30" s="42"/>
      <c r="I30" s="42"/>
      <c r="J30" s="64"/>
      <c r="K30" s="41"/>
      <c r="L30" s="42"/>
      <c r="M30" s="42"/>
      <c r="N30" s="42"/>
      <c r="O30" s="83"/>
    </row>
    <row r="31" spans="1:20" ht="12" customHeight="1" x14ac:dyDescent="0.25">
      <c r="A31" s="25" t="s">
        <v>37</v>
      </c>
      <c r="B31" s="29" t="s">
        <v>67</v>
      </c>
      <c r="D31" s="41"/>
      <c r="E31" s="42">
        <f>3553</f>
        <v>3553</v>
      </c>
      <c r="F31" s="81"/>
      <c r="G31" s="342"/>
      <c r="H31" s="81">
        <f>9300+3300</f>
        <v>12600</v>
      </c>
      <c r="I31" s="42"/>
      <c r="J31" s="64">
        <f>SUM(D31:I31)</f>
        <v>16153</v>
      </c>
      <c r="K31" s="41"/>
      <c r="L31" s="42"/>
      <c r="M31" s="42">
        <f>SUM(J31:L31)</f>
        <v>16153</v>
      </c>
      <c r="N31" s="42">
        <v>12234</v>
      </c>
      <c r="O31" s="83">
        <f>M31-N31</f>
        <v>3919</v>
      </c>
      <c r="R31" s="44" t="e">
        <f ca="1">N31-Expenses!E28-'CapChrg-AllocExp'!E29</f>
        <v>#NAME?</v>
      </c>
      <c r="S31" s="44">
        <f>J31+K31-Expenses!D28-'CapChrg-AllocExp'!D29</f>
        <v>9115</v>
      </c>
      <c r="T31" s="44" t="e">
        <f ca="1">R31-S31</f>
        <v>#NAME?</v>
      </c>
    </row>
    <row r="32" spans="1:20" ht="12" customHeight="1" x14ac:dyDescent="0.25">
      <c r="A32" s="25" t="s">
        <v>41</v>
      </c>
      <c r="B32" s="29" t="s">
        <v>415</v>
      </c>
      <c r="D32" s="41">
        <v>-44</v>
      </c>
      <c r="E32" s="42"/>
      <c r="F32" s="42">
        <v>15029</v>
      </c>
      <c r="G32" s="42"/>
      <c r="H32" s="42">
        <v>1990</v>
      </c>
      <c r="I32" s="42"/>
      <c r="J32" s="64">
        <f>SUM(D32:I32)</f>
        <v>16975</v>
      </c>
      <c r="K32" s="41"/>
      <c r="L32" s="42"/>
      <c r="M32" s="42">
        <f>SUM(J32:L32)</f>
        <v>16975</v>
      </c>
      <c r="N32" s="345">
        <f>-6139+Expenses!E56</f>
        <v>30508</v>
      </c>
      <c r="O32" s="83">
        <f>M32-N32</f>
        <v>-13533</v>
      </c>
      <c r="R32" s="44" t="e">
        <f ca="1">N32-Expenses!E29-Expenses!E56-'CapChrg-AllocExp'!E30</f>
        <v>#NAME?</v>
      </c>
      <c r="S32" s="44">
        <f>J32+K32-Expenses!D29-Expenses!D56-'CapChrg-AllocExp'!D30</f>
        <v>-38588</v>
      </c>
      <c r="T32" s="44" t="e">
        <f ca="1">R32-S32</f>
        <v>#NAME?</v>
      </c>
    </row>
    <row r="33" spans="1:20" ht="12" customHeight="1" x14ac:dyDescent="0.25">
      <c r="A33" s="25" t="s">
        <v>42</v>
      </c>
      <c r="B33" s="29" t="s">
        <v>416</v>
      </c>
      <c r="D33" s="41">
        <f>4169+5642</f>
        <v>9811</v>
      </c>
      <c r="E33" s="42"/>
      <c r="F33" s="42"/>
      <c r="G33" s="42"/>
      <c r="H33" s="42"/>
      <c r="I33" s="42"/>
      <c r="J33" s="64">
        <f>SUM(D33:I33)</f>
        <v>9811</v>
      </c>
      <c r="K33" s="41"/>
      <c r="L33" s="42"/>
      <c r="M33" s="42">
        <f>SUM(J33:L33)</f>
        <v>9811</v>
      </c>
      <c r="N33" s="42" t="e">
        <f ca="1">ROUND(_xll.HPVAL($A33,$A$1,$A$2,$A$3,$A$4,$A$6)/1000,0)</f>
        <v>#NAME?</v>
      </c>
      <c r="O33" s="83" t="e">
        <f ca="1">M33-N33</f>
        <v>#NAME?</v>
      </c>
      <c r="R33" s="44" t="e">
        <f ca="1">N33-Expenses!E30-'CapChrg-AllocExp'!E31</f>
        <v>#NAME?</v>
      </c>
      <c r="S33" s="44" t="e">
        <f ca="1">J33+K33-Expenses!D30-'CapChrg-AllocExp'!D31</f>
        <v>#NAME?</v>
      </c>
      <c r="T33" s="44" t="e">
        <f ca="1">R33-S33</f>
        <v>#NAME?</v>
      </c>
    </row>
    <row r="34" spans="1:20" ht="3" customHeight="1" x14ac:dyDescent="0.25">
      <c r="B34" s="29"/>
      <c r="C34" s="135"/>
      <c r="D34" s="41"/>
      <c r="E34" s="42"/>
      <c r="F34" s="42"/>
      <c r="G34" s="42"/>
      <c r="H34" s="42"/>
      <c r="I34" s="42"/>
      <c r="J34" s="64"/>
      <c r="K34" s="41"/>
      <c r="L34" s="42"/>
      <c r="M34" s="42"/>
      <c r="N34" s="42"/>
      <c r="O34" s="83"/>
    </row>
    <row r="35" spans="1:20" ht="12" customHeight="1" x14ac:dyDescent="0.25">
      <c r="B35" s="106" t="s">
        <v>86</v>
      </c>
      <c r="C35" s="91"/>
      <c r="D35" s="99">
        <f t="shared" ref="D35:O35" si="9">SUM(D31:D33)</f>
        <v>9767</v>
      </c>
      <c r="E35" s="100">
        <f t="shared" si="9"/>
        <v>3553</v>
      </c>
      <c r="F35" s="100">
        <f t="shared" si="9"/>
        <v>15029</v>
      </c>
      <c r="G35" s="100"/>
      <c r="H35" s="100">
        <f t="shared" si="9"/>
        <v>14590</v>
      </c>
      <c r="I35" s="100">
        <f t="shared" si="9"/>
        <v>0</v>
      </c>
      <c r="J35" s="99">
        <f t="shared" si="9"/>
        <v>42939</v>
      </c>
      <c r="K35" s="99">
        <f t="shared" si="9"/>
        <v>0</v>
      </c>
      <c r="L35" s="100">
        <f t="shared" si="9"/>
        <v>0</v>
      </c>
      <c r="M35" s="100">
        <f t="shared" si="9"/>
        <v>42939</v>
      </c>
      <c r="N35" s="100" t="e">
        <f t="shared" ca="1" si="9"/>
        <v>#NAME?</v>
      </c>
      <c r="O35" s="102" t="e">
        <f t="shared" ca="1" si="9"/>
        <v>#NAME?</v>
      </c>
      <c r="R35" s="100" t="e">
        <f ca="1">SUM(R31:R33)</f>
        <v>#NAME?</v>
      </c>
      <c r="S35" s="100" t="e">
        <f ca="1">SUM(S31:S33)</f>
        <v>#NAME?</v>
      </c>
      <c r="T35" s="100" t="e">
        <f ca="1">SUM(T31:T33)</f>
        <v>#NAME?</v>
      </c>
    </row>
    <row r="36" spans="1:20" ht="3" customHeight="1" x14ac:dyDescent="0.25">
      <c r="B36" s="29"/>
      <c r="D36" s="41"/>
      <c r="E36" s="42"/>
      <c r="F36" s="42"/>
      <c r="G36" s="42"/>
      <c r="H36" s="42"/>
      <c r="I36" s="42"/>
      <c r="J36" s="64"/>
      <c r="K36" s="41"/>
      <c r="L36" s="42"/>
      <c r="M36" s="42"/>
      <c r="N36" s="42"/>
      <c r="O36" s="83"/>
    </row>
    <row r="37" spans="1:20" ht="12" customHeight="1" x14ac:dyDescent="0.25">
      <c r="A37" s="25" t="s">
        <v>40</v>
      </c>
      <c r="B37" s="29" t="s">
        <v>9</v>
      </c>
      <c r="D37" s="41"/>
      <c r="E37" s="81">
        <v>-23517</v>
      </c>
      <c r="F37" s="81">
        <v>0</v>
      </c>
      <c r="G37" s="81"/>
      <c r="H37" s="42"/>
      <c r="I37" s="42"/>
      <c r="J37" s="64">
        <f>SUM(D37:I37)</f>
        <v>-23517</v>
      </c>
      <c r="K37" s="41"/>
      <c r="L37" s="42"/>
      <c r="M37" s="42">
        <f>SUM(J37:L37)</f>
        <v>-23517</v>
      </c>
      <c r="N37" s="42" t="e">
        <f ca="1">ROUND(_xll.HPVAL($A37,$A$1,$A$2,$A$3,$A$4,$A$6)/1000,0)</f>
        <v>#NAME?</v>
      </c>
      <c r="O37" s="83" t="e">
        <f ca="1">M37-N37</f>
        <v>#NAME?</v>
      </c>
      <c r="R37" s="135" t="e">
        <f ca="1">N37-Expenses!E33-'CapChrg-AllocExp'!E34</f>
        <v>#NAME?</v>
      </c>
      <c r="S37" s="135">
        <f>J37+K37-Expenses!D33-'CapChrg-AllocExp'!D34</f>
        <v>-25059</v>
      </c>
      <c r="T37" s="44" t="e">
        <f ca="1">R37-S37</f>
        <v>#NAME?</v>
      </c>
    </row>
    <row r="38" spans="1:20" ht="12" customHeight="1" x14ac:dyDescent="0.25">
      <c r="A38" s="25" t="s">
        <v>39</v>
      </c>
      <c r="B38" s="29" t="s">
        <v>440</v>
      </c>
      <c r="D38" s="41"/>
      <c r="E38" s="81">
        <v>293</v>
      </c>
      <c r="F38" s="81">
        <v>0</v>
      </c>
      <c r="G38" s="81"/>
      <c r="H38" s="42"/>
      <c r="I38" s="42"/>
      <c r="J38" s="64">
        <f>SUM(D38:I38)</f>
        <v>293</v>
      </c>
      <c r="K38" s="41"/>
      <c r="L38" s="42"/>
      <c r="M38" s="42">
        <f>SUM(J38:L38)</f>
        <v>293</v>
      </c>
      <c r="N38" s="42" t="e">
        <f ca="1">ROUND(_xll.HPVAL($A38,$A$1,$A$2,$A$3,$A$4,$A$6)/1000,0)</f>
        <v>#NAME?</v>
      </c>
      <c r="O38" s="83" t="e">
        <f ca="1">M38-N38</f>
        <v>#NAME?</v>
      </c>
      <c r="R38" s="44" t="e">
        <f ca="1">N38-Expenses!E34-'CapChrg-AllocExp'!E35</f>
        <v>#NAME?</v>
      </c>
      <c r="S38" s="44" t="e">
        <f ca="1">J38+K38-Expenses!D34-'CapChrg-AllocExp'!D35</f>
        <v>#NAME?</v>
      </c>
      <c r="T38" s="44" t="e">
        <f ca="1">R38-S38</f>
        <v>#NAME?</v>
      </c>
    </row>
    <row r="39" spans="1:20" ht="12.75" customHeight="1" x14ac:dyDescent="0.25">
      <c r="A39" s="25" t="s">
        <v>153</v>
      </c>
      <c r="B39" s="29" t="s">
        <v>180</v>
      </c>
      <c r="D39" s="41"/>
      <c r="E39" s="81">
        <f>-14857+384</f>
        <v>-14473</v>
      </c>
      <c r="F39" s="81">
        <f>-297+47</f>
        <v>-250</v>
      </c>
      <c r="G39" s="81"/>
      <c r="H39" s="42"/>
      <c r="I39" s="42"/>
      <c r="J39" s="64">
        <f>SUM(D39:I39)</f>
        <v>-14723</v>
      </c>
      <c r="K39" s="41">
        <f>Greensheet!M88</f>
        <v>0</v>
      </c>
      <c r="L39" s="42"/>
      <c r="M39" s="42">
        <f>SUM(J39:L39)</f>
        <v>-14723</v>
      </c>
      <c r="N39" s="42" t="e">
        <f ca="1">ROUND(_xll.HPVAL($A39,$A$1,$A$2,$A$3,$A$4,$A$6)/1000,0)</f>
        <v>#NAME?</v>
      </c>
      <c r="O39" s="83" t="e">
        <f ca="1">M39-N39</f>
        <v>#NAME?</v>
      </c>
      <c r="R39" s="44" t="e">
        <f ca="1">N39-Expenses!E35-'CapChrg-AllocExp'!E36</f>
        <v>#NAME?</v>
      </c>
      <c r="S39" s="44" t="e">
        <f ca="1">J39+K39-Expenses!D35-'CapChrg-AllocExp'!D36</f>
        <v>#NAME?</v>
      </c>
      <c r="T39" s="44" t="e">
        <f ca="1">R39-S39</f>
        <v>#NAME?</v>
      </c>
    </row>
    <row r="40" spans="1:20" ht="12.75" customHeight="1" x14ac:dyDescent="0.25">
      <c r="A40" s="25" t="s">
        <v>157</v>
      </c>
      <c r="B40" s="29" t="s">
        <v>154</v>
      </c>
      <c r="D40" s="41"/>
      <c r="E40" s="81">
        <v>5444</v>
      </c>
      <c r="F40" s="81">
        <v>320</v>
      </c>
      <c r="G40" s="81"/>
      <c r="H40" s="42"/>
      <c r="I40" s="42"/>
      <c r="J40" s="64">
        <f>SUM(D40:I40)</f>
        <v>5764</v>
      </c>
      <c r="K40" s="41"/>
      <c r="L40" s="42"/>
      <c r="M40" s="42">
        <f>SUM(J40:L40)</f>
        <v>5764</v>
      </c>
      <c r="N40" s="42" t="e">
        <f ca="1">ROUND(_xll.HPVAL($A40,$A$1,$A$2,$A$3,$A$4,$A$6)/1000,0)</f>
        <v>#NAME?</v>
      </c>
      <c r="O40" s="83" t="e">
        <f ca="1">M40-N40</f>
        <v>#NAME?</v>
      </c>
      <c r="R40" s="135" t="e">
        <f ca="1">N40-Expenses!E36-'CapChrg-AllocExp'!E38</f>
        <v>#NAME?</v>
      </c>
      <c r="S40" s="135" t="e">
        <f ca="1">J40+K40-Expenses!D36-'CapChrg-AllocExp'!D38</f>
        <v>#NAME?</v>
      </c>
      <c r="T40" s="44" t="e">
        <f ca="1">R40-S40</f>
        <v>#NAME?</v>
      </c>
    </row>
    <row r="41" spans="1:20" ht="12" customHeight="1" x14ac:dyDescent="0.25">
      <c r="B41" s="29" t="s">
        <v>154</v>
      </c>
      <c r="D41" s="41">
        <f>SUM(D39:D40)</f>
        <v>0</v>
      </c>
      <c r="E41" s="81">
        <f>SUM(E39:E40)</f>
        <v>-9029</v>
      </c>
      <c r="F41" s="81">
        <f>SUM(F39:F40)</f>
        <v>70</v>
      </c>
      <c r="G41" s="81"/>
      <c r="H41" s="81">
        <f>SUM(H39:H40)</f>
        <v>0</v>
      </c>
      <c r="I41" s="42">
        <f>SUM(I39:I40)</f>
        <v>0</v>
      </c>
      <c r="J41" s="64">
        <f>SUM(D41:I41)</f>
        <v>-8959</v>
      </c>
      <c r="K41" s="41"/>
      <c r="L41" s="42">
        <f>SUM(L39:L40)</f>
        <v>0</v>
      </c>
      <c r="M41" s="42">
        <f>SUM(J41:L41)</f>
        <v>-8959</v>
      </c>
      <c r="N41" s="42" t="e">
        <f ca="1">SUM(N39:N40)</f>
        <v>#NAME?</v>
      </c>
      <c r="O41" s="83" t="e">
        <f ca="1">SUM(O39:O40)</f>
        <v>#NAME?</v>
      </c>
      <c r="R41" s="44"/>
      <c r="S41" s="44"/>
      <c r="T41" s="44"/>
    </row>
    <row r="42" spans="1:20" ht="3" customHeight="1" x14ac:dyDescent="0.25">
      <c r="B42" s="45"/>
      <c r="D42" s="46"/>
      <c r="E42" s="47"/>
      <c r="F42" s="47"/>
      <c r="G42" s="47"/>
      <c r="H42" s="47"/>
      <c r="I42" s="47"/>
      <c r="J42" s="46"/>
      <c r="K42" s="46"/>
      <c r="L42" s="47"/>
      <c r="M42" s="47"/>
      <c r="N42" s="47"/>
      <c r="O42" s="126"/>
    </row>
    <row r="43" spans="1:20" s="90" customFormat="1" ht="12" customHeight="1" x14ac:dyDescent="0.25">
      <c r="B43" s="106" t="s">
        <v>87</v>
      </c>
      <c r="C43" s="91"/>
      <c r="D43" s="99">
        <f t="shared" ref="D43:O43" si="10">SUM(D37:D40)</f>
        <v>0</v>
      </c>
      <c r="E43" s="100">
        <f>E37+E38+E41</f>
        <v>-32253</v>
      </c>
      <c r="F43" s="100">
        <f>F37+F38+F41</f>
        <v>70</v>
      </c>
      <c r="G43" s="100"/>
      <c r="H43" s="100">
        <f t="shared" si="10"/>
        <v>0</v>
      </c>
      <c r="I43" s="100">
        <f t="shared" si="10"/>
        <v>0</v>
      </c>
      <c r="J43" s="99">
        <f t="shared" si="10"/>
        <v>-32183</v>
      </c>
      <c r="K43" s="99">
        <f t="shared" si="10"/>
        <v>0</v>
      </c>
      <c r="L43" s="100">
        <f t="shared" si="10"/>
        <v>0</v>
      </c>
      <c r="M43" s="100">
        <f>M37+M38+M41</f>
        <v>-32183</v>
      </c>
      <c r="N43" s="100" t="e">
        <f ca="1">N37+N38+N41</f>
        <v>#NAME?</v>
      </c>
      <c r="O43" s="102" t="e">
        <f t="shared" ca="1" si="10"/>
        <v>#NAME?</v>
      </c>
      <c r="R43" s="100" t="e">
        <f ca="1">SUM(R37:R41)</f>
        <v>#NAME?</v>
      </c>
      <c r="S43" s="100" t="e">
        <f ca="1">SUM(S37:S41)</f>
        <v>#NAME?</v>
      </c>
      <c r="T43" s="100" t="e">
        <f ca="1">SUM(T37:T41)</f>
        <v>#NAME?</v>
      </c>
    </row>
    <row r="44" spans="1:20" ht="3" customHeight="1" x14ac:dyDescent="0.25">
      <c r="B44" s="29"/>
      <c r="D44" s="104"/>
      <c r="E44" s="81"/>
      <c r="F44" s="81"/>
      <c r="G44" s="81"/>
      <c r="H44" s="81"/>
      <c r="I44" s="81"/>
      <c r="J44" s="105"/>
      <c r="K44" s="104"/>
      <c r="L44" s="81"/>
      <c r="M44" s="81"/>
      <c r="N44" s="81"/>
      <c r="O44" s="127"/>
    </row>
    <row r="45" spans="1:20" ht="12" customHeight="1" x14ac:dyDescent="0.25">
      <c r="A45" s="25" t="s">
        <v>82</v>
      </c>
      <c r="B45" s="29" t="s">
        <v>8</v>
      </c>
      <c r="D45" s="41"/>
      <c r="E45" s="42"/>
      <c r="F45" s="42"/>
      <c r="G45" s="42"/>
      <c r="H45" s="42"/>
      <c r="I45" s="42"/>
      <c r="J45" s="64">
        <f>SUM(D45:I45)</f>
        <v>0</v>
      </c>
      <c r="K45" s="41"/>
      <c r="L45" s="42"/>
      <c r="M45" s="42">
        <f>SUM(J45:L45)</f>
        <v>0</v>
      </c>
      <c r="N45" s="42" t="e">
        <f ca="1">ROUND(_xll.HPVAL($A45,$A$1,$A$2,$A$3,$A$4,$A$6)/1000,0)</f>
        <v>#NAME?</v>
      </c>
      <c r="O45" s="83" t="e">
        <f ca="1">M45-N45</f>
        <v>#NAME?</v>
      </c>
      <c r="R45" s="135" t="e">
        <f ca="1">N45-Expenses!E40-'CapChrg-AllocExp'!E41</f>
        <v>#NAME?</v>
      </c>
      <c r="S45" s="135" t="e">
        <f ca="1">J45+K45-Expenses!D40-'CapChrg-AllocExp'!D41</f>
        <v>#NAME?</v>
      </c>
      <c r="T45" s="44" t="e">
        <f ca="1">R45-S45</f>
        <v>#NAME?</v>
      </c>
    </row>
    <row r="46" spans="1:20" ht="3" customHeight="1" x14ac:dyDescent="0.25">
      <c r="B46" s="29"/>
      <c r="D46" s="41"/>
      <c r="E46" s="42"/>
      <c r="F46" s="42"/>
      <c r="G46" s="42"/>
      <c r="H46" s="42"/>
      <c r="I46" s="42"/>
      <c r="J46" s="64"/>
      <c r="K46" s="41"/>
      <c r="L46" s="42"/>
      <c r="M46" s="42"/>
      <c r="N46" s="42"/>
      <c r="O46" s="83"/>
    </row>
    <row r="47" spans="1:20" ht="12" customHeight="1" x14ac:dyDescent="0.25">
      <c r="A47" s="25" t="s">
        <v>44</v>
      </c>
      <c r="B47" s="29" t="s">
        <v>7</v>
      </c>
      <c r="D47" s="41"/>
      <c r="E47" s="42"/>
      <c r="F47" s="42"/>
      <c r="G47" s="42"/>
      <c r="H47" s="42"/>
      <c r="I47" s="42"/>
      <c r="J47" s="64">
        <f>SUM(D47:I47)</f>
        <v>0</v>
      </c>
      <c r="K47" s="41"/>
      <c r="L47" s="42"/>
      <c r="M47" s="42">
        <f>SUM(J47:L47)</f>
        <v>0</v>
      </c>
      <c r="N47" s="42"/>
      <c r="O47" s="83">
        <f>M47-N47</f>
        <v>0</v>
      </c>
      <c r="R47" s="44"/>
      <c r="S47" s="44"/>
      <c r="T47" s="44"/>
    </row>
    <row r="48" spans="1:20" ht="3" customHeight="1" x14ac:dyDescent="0.25">
      <c r="B48" s="76"/>
      <c r="D48" s="77"/>
      <c r="E48" s="67"/>
      <c r="F48" s="67"/>
      <c r="G48" s="67"/>
      <c r="H48" s="67"/>
      <c r="I48" s="67"/>
      <c r="J48" s="46"/>
      <c r="K48" s="77"/>
      <c r="L48" s="67"/>
      <c r="M48" s="67"/>
      <c r="N48" s="67"/>
      <c r="O48" s="126"/>
    </row>
    <row r="49" spans="1:20" ht="12" customHeight="1" x14ac:dyDescent="0.25">
      <c r="A49" s="25" t="s">
        <v>46</v>
      </c>
      <c r="B49" s="29" t="s">
        <v>18</v>
      </c>
      <c r="D49" s="41"/>
      <c r="E49" s="42">
        <v>-4168</v>
      </c>
      <c r="F49" s="42">
        <v>-15200</v>
      </c>
      <c r="G49" s="42"/>
      <c r="H49" s="42"/>
      <c r="I49" s="42"/>
      <c r="J49" s="64">
        <f>SUM(D49:I49)</f>
        <v>-19368</v>
      </c>
      <c r="K49" s="41"/>
      <c r="L49" s="42"/>
      <c r="M49" s="42">
        <f>SUM(J49:L49)</f>
        <v>-19368</v>
      </c>
      <c r="N49" s="42" t="e">
        <f ca="1">ROUND(_xll.HPVAL($A49,$A$1,$A$2,$A$3,$A$4,$A$6)/1000,0)</f>
        <v>#NAME?</v>
      </c>
      <c r="O49" s="83" t="e">
        <f ca="1">M49-N49</f>
        <v>#NAME?</v>
      </c>
      <c r="T49" s="44"/>
    </row>
    <row r="50" spans="1:20" ht="3" customHeight="1" x14ac:dyDescent="0.25">
      <c r="B50" s="76"/>
      <c r="D50" s="77"/>
      <c r="E50" s="67"/>
      <c r="F50" s="67"/>
      <c r="G50" s="67"/>
      <c r="H50" s="67"/>
      <c r="I50" s="67"/>
      <c r="J50" s="46"/>
      <c r="K50" s="77"/>
      <c r="L50" s="67"/>
      <c r="M50" s="67"/>
      <c r="N50" s="67"/>
      <c r="O50" s="126"/>
    </row>
    <row r="51" spans="1:20" ht="12" customHeight="1" x14ac:dyDescent="0.25">
      <c r="B51" s="29" t="s">
        <v>19</v>
      </c>
      <c r="D51" s="41"/>
      <c r="E51" s="42"/>
      <c r="F51" s="42"/>
      <c r="G51" s="42"/>
      <c r="H51" s="42"/>
      <c r="I51" s="42"/>
      <c r="J51" s="64">
        <f>SUM(D51:I51)</f>
        <v>0</v>
      </c>
      <c r="K51" s="41"/>
      <c r="L51" s="42"/>
      <c r="M51" s="42">
        <f>SUM(J51:L51)</f>
        <v>0</v>
      </c>
      <c r="N51" s="42">
        <f>38074+5064</f>
        <v>43138</v>
      </c>
      <c r="O51" s="83">
        <f>M51-N51</f>
        <v>-43138</v>
      </c>
      <c r="T51" s="44"/>
    </row>
    <row r="52" spans="1:20" ht="3" customHeight="1" x14ac:dyDescent="0.25">
      <c r="B52" s="29"/>
      <c r="D52" s="41"/>
      <c r="E52" s="42"/>
      <c r="F52" s="42"/>
      <c r="G52" s="42"/>
      <c r="H52" s="42"/>
      <c r="I52" s="42"/>
      <c r="J52" s="64"/>
      <c r="K52" s="41"/>
      <c r="L52" s="42"/>
      <c r="M52" s="42"/>
      <c r="N52" s="42"/>
      <c r="O52" s="83"/>
    </row>
    <row r="53" spans="1:20" ht="12" customHeight="1" x14ac:dyDescent="0.25">
      <c r="B53" s="75" t="s">
        <v>14</v>
      </c>
      <c r="D53" s="95">
        <f t="shared" ref="D53:O53" si="11">SUM(D43:D51)+D35+D29+D20</f>
        <v>105241</v>
      </c>
      <c r="E53" s="96">
        <f t="shared" si="11"/>
        <v>-30539</v>
      </c>
      <c r="F53" s="96">
        <f t="shared" si="11"/>
        <v>-28</v>
      </c>
      <c r="G53" s="96"/>
      <c r="H53" s="96">
        <f t="shared" si="11"/>
        <v>14590</v>
      </c>
      <c r="I53" s="96">
        <f t="shared" si="11"/>
        <v>0</v>
      </c>
      <c r="J53" s="95">
        <f t="shared" si="11"/>
        <v>89264</v>
      </c>
      <c r="K53" s="95">
        <f t="shared" si="11"/>
        <v>0</v>
      </c>
      <c r="L53" s="96">
        <f t="shared" si="11"/>
        <v>0</v>
      </c>
      <c r="M53" s="96">
        <f t="shared" si="11"/>
        <v>89264</v>
      </c>
      <c r="N53" s="96" t="e">
        <f t="shared" ca="1" si="11"/>
        <v>#NAME?</v>
      </c>
      <c r="O53" s="98" t="e">
        <f t="shared" ca="1" si="11"/>
        <v>#NAME?</v>
      </c>
    </row>
    <row r="54" spans="1:20" ht="3" customHeight="1" x14ac:dyDescent="0.25">
      <c r="B54" s="48"/>
      <c r="D54" s="49"/>
      <c r="E54" s="50"/>
      <c r="F54" s="50"/>
      <c r="G54" s="50"/>
      <c r="H54" s="50"/>
      <c r="I54" s="50"/>
      <c r="J54" s="49"/>
      <c r="K54" s="49"/>
      <c r="L54" s="50"/>
      <c r="M54" s="50"/>
      <c r="N54" s="50"/>
      <c r="O54" s="128"/>
    </row>
    <row r="55" spans="1:20" x14ac:dyDescent="0.25">
      <c r="B55" s="341" t="s">
        <v>475</v>
      </c>
      <c r="C55" s="136"/>
      <c r="D55" s="44"/>
      <c r="E55" s="44"/>
      <c r="F55" s="44"/>
      <c r="G55" s="44"/>
      <c r="H55" s="44"/>
      <c r="I55" s="44"/>
      <c r="J55" s="44"/>
      <c r="K55" s="44"/>
      <c r="L55" s="44"/>
      <c r="M55" s="44"/>
      <c r="N55" s="44"/>
      <c r="O55" s="44"/>
    </row>
    <row r="56" spans="1:20" x14ac:dyDescent="0.25">
      <c r="B56" s="341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</row>
    <row r="57" spans="1:20" x14ac:dyDescent="0.25">
      <c r="B57" s="341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</row>
    <row r="58" spans="1:20" x14ac:dyDescent="0.25"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</row>
    <row r="59" spans="1:20" x14ac:dyDescent="0.25"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</row>
    <row r="60" spans="1:20" x14ac:dyDescent="0.25">
      <c r="B60" s="177" t="s">
        <v>127</v>
      </c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</row>
    <row r="61" spans="1:20" x14ac:dyDescent="0.25">
      <c r="B61" s="27" t="s">
        <v>3</v>
      </c>
      <c r="D61" s="44">
        <f>D10+D14+D32+D33</f>
        <v>51849</v>
      </c>
    </row>
    <row r="62" spans="1:20" x14ac:dyDescent="0.25">
      <c r="B62" s="27" t="s">
        <v>128</v>
      </c>
      <c r="D62" s="44">
        <f>D15+D16+D17+D24</f>
        <v>2437</v>
      </c>
    </row>
    <row r="75" spans="1:1" x14ac:dyDescent="0.25">
      <c r="A75" s="27"/>
    </row>
    <row r="76" spans="1:1" x14ac:dyDescent="0.25">
      <c r="A76" s="27"/>
    </row>
    <row r="77" spans="1:1" x14ac:dyDescent="0.25">
      <c r="A77" s="27"/>
    </row>
    <row r="78" spans="1:1" x14ac:dyDescent="0.25">
      <c r="A78" s="27"/>
    </row>
    <row r="79" spans="1:1" x14ac:dyDescent="0.25">
      <c r="A79" s="27"/>
    </row>
    <row r="80" spans="1:1" x14ac:dyDescent="0.25">
      <c r="A80" s="27"/>
    </row>
  </sheetData>
  <mergeCells count="5">
    <mergeCell ref="B2:O2"/>
    <mergeCell ref="B3:O3"/>
    <mergeCell ref="B4:O4"/>
    <mergeCell ref="R7:T7"/>
    <mergeCell ref="R6:T6"/>
  </mergeCells>
  <printOptions horizontalCentered="1"/>
  <pageMargins left="0.1" right="0.1" top="0.3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6"/>
  <sheetViews>
    <sheetView zoomScale="75" workbookViewId="0"/>
  </sheetViews>
  <sheetFormatPr defaultRowHeight="12.75" x14ac:dyDescent="0.25"/>
  <cols>
    <col min="1" max="2" width="2.7109375" style="27" customWidth="1"/>
    <col min="3" max="3" width="16.28515625" style="27" bestFit="1" customWidth="1"/>
    <col min="4" max="5" width="7.7109375" style="27" customWidth="1"/>
    <col min="6" max="6" width="13.7109375" style="27" customWidth="1"/>
    <col min="7" max="8" width="7.7109375" style="27" customWidth="1"/>
    <col min="9" max="9" width="13.7109375" style="27" customWidth="1"/>
    <col min="10" max="11" width="7.7109375" style="27" customWidth="1"/>
    <col min="12" max="12" width="13.7109375" style="27" customWidth="1"/>
    <col min="13" max="14" width="7.7109375" style="27" customWidth="1"/>
    <col min="15" max="15" width="7.42578125" style="27" customWidth="1"/>
    <col min="16" max="17" width="7.710937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5"/>
      <c r="C1" s="195"/>
      <c r="D1" s="195"/>
      <c r="E1" s="153"/>
    </row>
    <row r="2" spans="1:23" s="208" customFormat="1" ht="27" customHeight="1" x14ac:dyDescent="0.4">
      <c r="A2" s="196" t="s">
        <v>226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353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62" t="str">
        <f>'Old Mgmt Summary'!A3</f>
        <v>Results based on Activity through April 28, 2000</v>
      </c>
      <c r="M3" s="362"/>
      <c r="N3" s="362"/>
      <c r="O3" s="362"/>
      <c r="P3" s="362"/>
      <c r="Q3" s="362"/>
      <c r="R3" s="212"/>
      <c r="S3" s="212"/>
      <c r="T3" s="213"/>
      <c r="W3" s="214"/>
    </row>
    <row r="4" spans="1:23" s="209" customFormat="1" ht="15" customHeight="1" x14ac:dyDescent="0.2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6.5" x14ac:dyDescent="0.25">
      <c r="C5" s="369" t="s">
        <v>227</v>
      </c>
      <c r="D5" s="370"/>
      <c r="E5" s="371"/>
      <c r="F5" s="369" t="s">
        <v>228</v>
      </c>
      <c r="G5" s="370"/>
      <c r="H5" s="371"/>
      <c r="I5" s="369" t="s">
        <v>229</v>
      </c>
      <c r="J5" s="370"/>
      <c r="K5" s="371"/>
      <c r="L5" s="369" t="s">
        <v>230</v>
      </c>
      <c r="M5" s="370"/>
      <c r="N5" s="371"/>
      <c r="O5" s="369" t="s">
        <v>14</v>
      </c>
      <c r="P5" s="370"/>
      <c r="Q5" s="371"/>
      <c r="U5" s="38"/>
    </row>
    <row r="6" spans="1:23" ht="15" x14ac:dyDescent="0.4">
      <c r="A6" s="363" t="s">
        <v>231</v>
      </c>
      <c r="B6" s="366" t="s">
        <v>232</v>
      </c>
      <c r="C6" s="215" t="s">
        <v>233</v>
      </c>
      <c r="D6" s="216" t="s">
        <v>234</v>
      </c>
      <c r="E6" s="217"/>
      <c r="F6" s="215" t="s">
        <v>233</v>
      </c>
      <c r="G6" s="216" t="s">
        <v>234</v>
      </c>
      <c r="H6" s="217"/>
      <c r="I6" s="215" t="s">
        <v>233</v>
      </c>
      <c r="J6" s="216" t="s">
        <v>234</v>
      </c>
      <c r="K6" s="217"/>
      <c r="L6" s="215" t="s">
        <v>233</v>
      </c>
      <c r="M6" s="216" t="s">
        <v>234</v>
      </c>
      <c r="N6" s="217"/>
      <c r="O6" s="215"/>
      <c r="P6" s="216"/>
      <c r="Q6" s="217"/>
      <c r="U6" s="38"/>
    </row>
    <row r="7" spans="1:23" x14ac:dyDescent="0.25">
      <c r="A7" s="364"/>
      <c r="B7" s="367"/>
      <c r="C7" s="41"/>
      <c r="D7" s="42"/>
      <c r="E7" s="43"/>
      <c r="F7" s="41"/>
      <c r="G7" s="42"/>
      <c r="H7" s="43"/>
      <c r="I7" s="41"/>
      <c r="J7" s="42"/>
      <c r="K7" s="43"/>
      <c r="L7" s="41"/>
      <c r="M7" s="42"/>
      <c r="N7" s="43"/>
      <c r="O7" s="41"/>
      <c r="P7" s="42"/>
      <c r="Q7" s="43"/>
      <c r="U7" s="38"/>
    </row>
    <row r="8" spans="1:23" x14ac:dyDescent="0.25">
      <c r="A8" s="364"/>
      <c r="B8" s="367"/>
      <c r="C8" s="41"/>
      <c r="D8" s="42"/>
      <c r="E8" s="43"/>
      <c r="F8" s="41"/>
      <c r="G8" s="42"/>
      <c r="H8" s="43"/>
      <c r="I8" s="41"/>
      <c r="J8" s="42"/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364"/>
      <c r="B9" s="367"/>
      <c r="C9" s="41"/>
      <c r="D9" s="42"/>
      <c r="E9" s="43"/>
      <c r="F9" s="41"/>
      <c r="G9" s="42"/>
      <c r="H9" s="43"/>
      <c r="I9" s="41"/>
      <c r="J9" s="42"/>
      <c r="K9" s="43"/>
      <c r="L9" s="41"/>
      <c r="M9" s="42"/>
      <c r="N9" s="43"/>
      <c r="O9" s="41"/>
      <c r="P9" s="42"/>
      <c r="Q9" s="43"/>
    </row>
    <row r="10" spans="1:23" x14ac:dyDescent="0.25">
      <c r="A10" s="364"/>
      <c r="B10" s="367"/>
      <c r="C10" s="41"/>
      <c r="D10" s="42"/>
      <c r="E10" s="43"/>
      <c r="F10" s="41"/>
      <c r="G10" s="42"/>
      <c r="H10" s="43"/>
      <c r="I10" s="41"/>
      <c r="J10" s="42"/>
      <c r="K10" s="43"/>
      <c r="L10" s="41"/>
      <c r="M10" s="42"/>
      <c r="N10" s="43"/>
      <c r="O10" s="41"/>
      <c r="P10" s="42"/>
      <c r="Q10" s="43"/>
    </row>
    <row r="11" spans="1:23" x14ac:dyDescent="0.25">
      <c r="A11" s="364"/>
      <c r="B11" s="367"/>
      <c r="C11" s="41"/>
      <c r="D11" s="42"/>
      <c r="E11" s="43"/>
      <c r="F11" s="41"/>
      <c r="G11" s="42"/>
      <c r="H11" s="43"/>
      <c r="I11" s="41"/>
      <c r="J11" s="42"/>
      <c r="K11" s="43"/>
      <c r="L11" s="41"/>
      <c r="M11" s="42"/>
      <c r="N11" s="43"/>
      <c r="O11" s="41"/>
      <c r="P11" s="42"/>
      <c r="Q11" s="43"/>
    </row>
    <row r="12" spans="1:23" x14ac:dyDescent="0.25">
      <c r="A12" s="364"/>
      <c r="B12" s="367"/>
      <c r="C12" s="41"/>
      <c r="D12" s="42"/>
      <c r="E12" s="43"/>
      <c r="F12" s="41"/>
      <c r="G12" s="42"/>
      <c r="H12" s="43"/>
      <c r="I12" s="41"/>
      <c r="J12" s="42"/>
      <c r="K12" s="43"/>
      <c r="L12" s="41"/>
      <c r="M12" s="42"/>
      <c r="N12" s="43"/>
      <c r="O12" s="41"/>
      <c r="P12" s="42"/>
      <c r="Q12" s="43"/>
    </row>
    <row r="13" spans="1:23" x14ac:dyDescent="0.25">
      <c r="A13" s="364"/>
      <c r="B13" s="367"/>
      <c r="C13" s="41"/>
      <c r="D13" s="42"/>
      <c r="E13" s="43"/>
      <c r="F13" s="41"/>
      <c r="G13" s="42"/>
      <c r="H13" s="43"/>
      <c r="I13" s="41"/>
      <c r="J13" s="42"/>
      <c r="K13" s="43"/>
      <c r="L13" s="41"/>
      <c r="M13" s="42"/>
      <c r="N13" s="43"/>
      <c r="O13" s="41"/>
      <c r="P13" s="42"/>
      <c r="Q13" s="43"/>
    </row>
    <row r="14" spans="1:23" x14ac:dyDescent="0.25">
      <c r="A14" s="364"/>
      <c r="B14" s="367"/>
      <c r="C14" s="41"/>
      <c r="D14" s="42"/>
      <c r="E14" s="43"/>
      <c r="F14" s="41"/>
      <c r="G14" s="42"/>
      <c r="H14" s="43"/>
      <c r="I14" s="41"/>
      <c r="J14" s="42"/>
      <c r="K14" s="43"/>
      <c r="L14" s="41"/>
      <c r="M14" s="42"/>
      <c r="N14" s="43"/>
      <c r="O14" s="41"/>
      <c r="P14" s="42"/>
      <c r="Q14" s="43"/>
    </row>
    <row r="15" spans="1:23" ht="15" x14ac:dyDescent="0.4">
      <c r="A15" s="364"/>
      <c r="B15" s="367"/>
      <c r="C15" s="219" t="s">
        <v>235</v>
      </c>
      <c r="D15" s="220"/>
      <c r="E15" s="221" t="s">
        <v>19</v>
      </c>
      <c r="F15" s="219" t="s">
        <v>235</v>
      </c>
      <c r="G15" s="220"/>
      <c r="H15" s="221" t="s">
        <v>19</v>
      </c>
      <c r="I15" s="219" t="s">
        <v>235</v>
      </c>
      <c r="J15" s="220"/>
      <c r="K15" s="221" t="s">
        <v>19</v>
      </c>
      <c r="L15" s="219" t="s">
        <v>235</v>
      </c>
      <c r="M15" s="220"/>
      <c r="N15" s="221" t="s">
        <v>19</v>
      </c>
      <c r="O15" s="219" t="s">
        <v>235</v>
      </c>
      <c r="P15" s="220"/>
      <c r="Q15" s="221" t="s">
        <v>19</v>
      </c>
    </row>
    <row r="16" spans="1:23" x14ac:dyDescent="0.25">
      <c r="A16" s="365"/>
      <c r="B16" s="368"/>
      <c r="C16" s="222">
        <v>20493</v>
      </c>
      <c r="D16" s="222">
        <f>SUM(D7:D15)</f>
        <v>0</v>
      </c>
      <c r="E16" s="222">
        <f>IF(C16-D16&gt;0,C16-D16,)</f>
        <v>20493</v>
      </c>
      <c r="F16" s="222">
        <v>21493</v>
      </c>
      <c r="G16" s="222">
        <f>SUM(G7:G15)</f>
        <v>0</v>
      </c>
      <c r="H16" s="222">
        <f>IF(F16-G16&gt;0,F16-G16,)</f>
        <v>21493</v>
      </c>
      <c r="I16" s="222">
        <v>22344</v>
      </c>
      <c r="J16" s="222">
        <f>SUM(J7:J15)</f>
        <v>0</v>
      </c>
      <c r="K16" s="222">
        <f>IF(I16-J16&gt;0,I16-J16,)</f>
        <v>22344</v>
      </c>
      <c r="L16" s="222">
        <f>14243*1.35</f>
        <v>19228.050000000003</v>
      </c>
      <c r="M16" s="222">
        <f>SUM(M7:M15)</f>
        <v>0</v>
      </c>
      <c r="N16" s="222">
        <f>IF(L16-M16&gt;0,L16-M16,)</f>
        <v>19228.050000000003</v>
      </c>
      <c r="O16" s="222">
        <f>L16+I16+F16+C16</f>
        <v>83558.05</v>
      </c>
      <c r="P16" s="222">
        <f>M16+J16+G16+D16</f>
        <v>0</v>
      </c>
      <c r="Q16" s="222">
        <f>IF(O16-P16&gt;0,O16-P16,)</f>
        <v>83558.05</v>
      </c>
    </row>
    <row r="17" spans="1:17" ht="15" x14ac:dyDescent="0.4">
      <c r="A17" s="363" t="s">
        <v>236</v>
      </c>
      <c r="B17" s="366" t="s">
        <v>232</v>
      </c>
      <c r="C17" s="215" t="s">
        <v>233</v>
      </c>
      <c r="D17" s="216" t="s">
        <v>234</v>
      </c>
      <c r="E17" s="217"/>
      <c r="F17" s="215" t="s">
        <v>233</v>
      </c>
      <c r="G17" s="216" t="s">
        <v>234</v>
      </c>
      <c r="H17" s="217"/>
      <c r="I17" s="215" t="s">
        <v>233</v>
      </c>
      <c r="J17" s="216" t="s">
        <v>234</v>
      </c>
      <c r="K17" s="217"/>
      <c r="L17" s="215" t="s">
        <v>233</v>
      </c>
      <c r="M17" s="216" t="s">
        <v>234</v>
      </c>
      <c r="N17" s="217"/>
      <c r="O17" s="215"/>
      <c r="P17" s="216"/>
      <c r="Q17" s="217"/>
    </row>
    <row r="18" spans="1:17" x14ac:dyDescent="0.25">
      <c r="A18" s="364"/>
      <c r="B18" s="367"/>
      <c r="C18" s="41"/>
      <c r="D18" s="42"/>
      <c r="E18" s="43"/>
      <c r="F18" s="41"/>
      <c r="G18" s="42"/>
      <c r="H18" s="43"/>
      <c r="I18" s="41"/>
      <c r="J18" s="42"/>
      <c r="K18" s="43"/>
      <c r="L18" s="41"/>
      <c r="M18" s="42"/>
      <c r="N18" s="43"/>
      <c r="O18" s="41"/>
      <c r="P18" s="42"/>
      <c r="Q18" s="43"/>
    </row>
    <row r="19" spans="1:17" x14ac:dyDescent="0.25">
      <c r="A19" s="364"/>
      <c r="B19" s="367"/>
      <c r="C19" s="41"/>
      <c r="D19" s="42"/>
      <c r="E19" s="43"/>
      <c r="F19" s="41"/>
      <c r="G19" s="42"/>
      <c r="H19" s="43"/>
      <c r="I19" s="41"/>
      <c r="J19" s="42"/>
      <c r="K19" s="43"/>
      <c r="L19" s="41"/>
      <c r="M19" s="42"/>
      <c r="N19" s="43"/>
      <c r="O19" s="41"/>
      <c r="P19" s="42"/>
      <c r="Q19" s="43"/>
    </row>
    <row r="20" spans="1:17" x14ac:dyDescent="0.25">
      <c r="A20" s="364"/>
      <c r="B20" s="367"/>
      <c r="C20" s="41"/>
      <c r="D20" s="42"/>
      <c r="E20" s="43"/>
      <c r="F20" s="41"/>
      <c r="G20" s="42"/>
      <c r="H20" s="43"/>
      <c r="I20" s="41"/>
      <c r="J20" s="42"/>
      <c r="K20" s="43"/>
      <c r="L20" s="41"/>
      <c r="M20" s="42"/>
      <c r="N20" s="43"/>
      <c r="O20" s="41"/>
      <c r="P20" s="42"/>
      <c r="Q20" s="43"/>
    </row>
    <row r="21" spans="1:17" x14ac:dyDescent="0.25">
      <c r="A21" s="364"/>
      <c r="B21" s="367"/>
      <c r="C21" s="41"/>
      <c r="D21" s="42"/>
      <c r="E21" s="43"/>
      <c r="F21" s="41"/>
      <c r="G21" s="42"/>
      <c r="H21" s="43"/>
      <c r="I21" s="41"/>
      <c r="J21" s="42"/>
      <c r="K21" s="43"/>
      <c r="L21" s="41"/>
      <c r="M21" s="42"/>
      <c r="N21" s="43"/>
      <c r="O21" s="41"/>
      <c r="P21" s="42"/>
      <c r="Q21" s="43"/>
    </row>
    <row r="22" spans="1:17" x14ac:dyDescent="0.25">
      <c r="A22" s="364"/>
      <c r="B22" s="367"/>
      <c r="C22" s="41"/>
      <c r="D22" s="42"/>
      <c r="E22" s="43"/>
      <c r="F22" s="41"/>
      <c r="G22" s="42"/>
      <c r="H22" s="43"/>
      <c r="I22" s="41"/>
      <c r="J22" s="42"/>
      <c r="K22" s="43"/>
      <c r="L22" s="41"/>
      <c r="M22" s="42"/>
      <c r="N22" s="43"/>
      <c r="O22" s="41"/>
      <c r="P22" s="42"/>
      <c r="Q22" s="43"/>
    </row>
    <row r="23" spans="1:17" x14ac:dyDescent="0.25">
      <c r="A23" s="364"/>
      <c r="B23" s="367"/>
      <c r="C23" s="41"/>
      <c r="D23" s="42"/>
      <c r="E23" s="43"/>
      <c r="F23" s="41"/>
      <c r="G23" s="42"/>
      <c r="H23" s="43"/>
      <c r="I23" s="41"/>
      <c r="J23" s="42"/>
      <c r="K23" s="43"/>
      <c r="L23" s="41"/>
      <c r="M23" s="42"/>
      <c r="N23" s="43"/>
      <c r="O23" s="41"/>
      <c r="P23" s="42"/>
      <c r="Q23" s="43"/>
    </row>
    <row r="24" spans="1:17" x14ac:dyDescent="0.25">
      <c r="A24" s="364"/>
      <c r="B24" s="367"/>
      <c r="C24" s="41"/>
      <c r="D24" s="42"/>
      <c r="E24" s="43"/>
      <c r="F24" s="41"/>
      <c r="G24" s="42"/>
      <c r="H24" s="43"/>
      <c r="I24" s="41"/>
      <c r="J24" s="42"/>
      <c r="K24" s="43"/>
      <c r="L24" s="41"/>
      <c r="M24" s="42"/>
      <c r="N24" s="43"/>
      <c r="O24" s="41"/>
      <c r="P24" s="42"/>
      <c r="Q24" s="43"/>
    </row>
    <row r="25" spans="1:17" x14ac:dyDescent="0.25">
      <c r="A25" s="364"/>
      <c r="B25" s="367"/>
      <c r="C25" s="41"/>
      <c r="D25" s="42"/>
      <c r="E25" s="43"/>
      <c r="F25" s="41"/>
      <c r="G25" s="42"/>
      <c r="H25" s="43"/>
      <c r="I25" s="41"/>
      <c r="J25" s="42"/>
      <c r="K25" s="43"/>
      <c r="L25" s="41"/>
      <c r="M25" s="42"/>
      <c r="N25" s="43"/>
      <c r="O25" s="41"/>
      <c r="P25" s="42"/>
      <c r="Q25" s="43"/>
    </row>
    <row r="26" spans="1:17" ht="15" x14ac:dyDescent="0.4">
      <c r="A26" s="364"/>
      <c r="B26" s="367"/>
      <c r="C26" s="219" t="s">
        <v>235</v>
      </c>
      <c r="D26" s="220"/>
      <c r="E26" s="221" t="s">
        <v>19</v>
      </c>
      <c r="F26" s="219" t="s">
        <v>235</v>
      </c>
      <c r="G26" s="220"/>
      <c r="H26" s="221" t="s">
        <v>19</v>
      </c>
      <c r="I26" s="219" t="s">
        <v>235</v>
      </c>
      <c r="J26" s="220"/>
      <c r="K26" s="221" t="s">
        <v>19</v>
      </c>
      <c r="L26" s="219" t="s">
        <v>235</v>
      </c>
      <c r="M26" s="220"/>
      <c r="N26" s="221" t="s">
        <v>19</v>
      </c>
      <c r="O26" s="219" t="s">
        <v>235</v>
      </c>
      <c r="P26" s="220"/>
      <c r="Q26" s="221" t="s">
        <v>19</v>
      </c>
    </row>
    <row r="27" spans="1:17" x14ac:dyDescent="0.25">
      <c r="A27" s="365"/>
      <c r="B27" s="368"/>
      <c r="C27" s="222">
        <v>13235</v>
      </c>
      <c r="D27" s="222">
        <f>SUM(D18:D26)</f>
        <v>0</v>
      </c>
      <c r="E27" s="222">
        <f>IF(C27-D27&gt;0,C27-D27,)</f>
        <v>13235</v>
      </c>
      <c r="F27" s="222">
        <v>17163</v>
      </c>
      <c r="G27" s="222">
        <f>SUM(G18:G26)</f>
        <v>0</v>
      </c>
      <c r="H27" s="222">
        <f>IF(F27-G27&gt;0,F27-G27,)</f>
        <v>17163</v>
      </c>
      <c r="I27" s="222">
        <v>43231</v>
      </c>
      <c r="J27" s="222">
        <f>SUM(J18:J26)</f>
        <v>0</v>
      </c>
      <c r="K27" s="222">
        <f>IF(I27-J27&gt;0,I27-J27,)</f>
        <v>43231</v>
      </c>
      <c r="L27" s="222">
        <f>13235*1.35</f>
        <v>17867.25</v>
      </c>
      <c r="M27" s="222">
        <f>SUM(M18:M26)</f>
        <v>0</v>
      </c>
      <c r="N27" s="222">
        <f>IF(L27-M27&gt;0,L27-M27,)</f>
        <v>17867.25</v>
      </c>
      <c r="O27" s="222">
        <f>L27+I27+F27+C27</f>
        <v>91496.25</v>
      </c>
      <c r="P27" s="222">
        <f>M27+J27+G27+D27</f>
        <v>0</v>
      </c>
      <c r="Q27" s="222">
        <f>IF(O27-P27&gt;0,O27-P27,)</f>
        <v>91496.25</v>
      </c>
    </row>
    <row r="28" spans="1:17" ht="15" x14ac:dyDescent="0.4">
      <c r="A28" s="363" t="s">
        <v>238</v>
      </c>
      <c r="B28" s="366" t="s">
        <v>239</v>
      </c>
      <c r="C28" s="215" t="s">
        <v>233</v>
      </c>
      <c r="D28" s="216" t="s">
        <v>234</v>
      </c>
      <c r="E28" s="217"/>
      <c r="F28" s="215" t="s">
        <v>233</v>
      </c>
      <c r="G28" s="216" t="s">
        <v>234</v>
      </c>
      <c r="H28" s="217"/>
      <c r="I28" s="215" t="s">
        <v>233</v>
      </c>
      <c r="J28" s="216" t="s">
        <v>234</v>
      </c>
      <c r="K28" s="217"/>
      <c r="L28" s="215" t="s">
        <v>233</v>
      </c>
      <c r="M28" s="216" t="s">
        <v>234</v>
      </c>
      <c r="N28" s="217"/>
      <c r="O28" s="215"/>
      <c r="P28" s="216"/>
      <c r="Q28" s="217"/>
    </row>
    <row r="29" spans="1:17" x14ac:dyDescent="0.25">
      <c r="A29" s="364"/>
      <c r="B29" s="367"/>
      <c r="C29" s="27" t="s">
        <v>195</v>
      </c>
      <c r="D29" s="44">
        <v>220</v>
      </c>
      <c r="E29" s="43"/>
      <c r="F29" s="41"/>
      <c r="G29" s="42"/>
      <c r="H29" s="43"/>
      <c r="I29" s="41"/>
      <c r="J29" s="42"/>
      <c r="K29" s="43"/>
      <c r="L29" s="41"/>
      <c r="M29" s="42"/>
      <c r="N29" s="43"/>
      <c r="O29" s="41"/>
      <c r="P29" s="42"/>
      <c r="Q29" s="43"/>
    </row>
    <row r="30" spans="1:17" x14ac:dyDescent="0.25">
      <c r="A30" s="364"/>
      <c r="B30" s="367"/>
      <c r="C30" s="27" t="s">
        <v>194</v>
      </c>
      <c r="D30" s="44">
        <v>116</v>
      </c>
      <c r="E30" s="43"/>
      <c r="F30" s="41"/>
      <c r="G30" s="42"/>
      <c r="H30" s="43"/>
      <c r="I30" s="41"/>
      <c r="J30" s="42"/>
      <c r="K30" s="43"/>
      <c r="L30" s="41"/>
      <c r="M30" s="42"/>
      <c r="N30" s="43"/>
      <c r="O30" s="41"/>
      <c r="P30" s="42"/>
      <c r="Q30" s="43"/>
    </row>
    <row r="31" spans="1:17" x14ac:dyDescent="0.25">
      <c r="A31" s="364"/>
      <c r="B31" s="367"/>
      <c r="C31" s="41"/>
      <c r="D31" s="42"/>
      <c r="E31" s="43"/>
      <c r="F31" s="41"/>
      <c r="G31" s="42"/>
      <c r="H31" s="43"/>
      <c r="I31" s="41"/>
      <c r="J31" s="42"/>
      <c r="K31" s="43"/>
      <c r="L31" s="41"/>
      <c r="M31" s="42"/>
      <c r="N31" s="43"/>
      <c r="O31" s="41"/>
      <c r="P31" s="42"/>
      <c r="Q31" s="43"/>
    </row>
    <row r="32" spans="1:17" x14ac:dyDescent="0.25">
      <c r="A32" s="364"/>
      <c r="B32" s="367"/>
      <c r="C32" s="41"/>
      <c r="D32" s="42"/>
      <c r="E32" s="43"/>
      <c r="F32" s="41"/>
      <c r="G32" s="42"/>
      <c r="H32" s="43"/>
      <c r="I32" s="41"/>
      <c r="J32" s="42"/>
      <c r="K32" s="43"/>
      <c r="L32" s="41"/>
      <c r="M32" s="42"/>
      <c r="N32" s="43"/>
      <c r="O32" s="41"/>
      <c r="P32" s="42"/>
      <c r="Q32" s="43"/>
    </row>
    <row r="33" spans="1:17" x14ac:dyDescent="0.25">
      <c r="A33" s="364"/>
      <c r="B33" s="367"/>
      <c r="C33" s="41"/>
      <c r="D33" s="42"/>
      <c r="E33" s="43"/>
      <c r="F33" s="41"/>
      <c r="G33" s="42"/>
      <c r="H33" s="43"/>
      <c r="I33" s="41"/>
      <c r="J33" s="42"/>
      <c r="K33" s="43"/>
      <c r="L33" s="41"/>
      <c r="M33" s="42"/>
      <c r="N33" s="43"/>
      <c r="O33" s="41"/>
      <c r="P33" s="42"/>
      <c r="Q33" s="43"/>
    </row>
    <row r="34" spans="1:17" x14ac:dyDescent="0.25">
      <c r="A34" s="364"/>
      <c r="B34" s="367"/>
      <c r="C34" s="41"/>
      <c r="D34" s="42"/>
      <c r="E34" s="43"/>
      <c r="F34" s="41"/>
      <c r="G34" s="42"/>
      <c r="H34" s="43"/>
      <c r="I34" s="41"/>
      <c r="J34" s="42"/>
      <c r="K34" s="43"/>
      <c r="L34" s="41"/>
      <c r="M34" s="42"/>
      <c r="N34" s="43"/>
      <c r="O34" s="41"/>
      <c r="P34" s="42"/>
      <c r="Q34" s="43"/>
    </row>
    <row r="35" spans="1:17" x14ac:dyDescent="0.25">
      <c r="A35" s="364"/>
      <c r="B35" s="367"/>
      <c r="C35" s="41"/>
      <c r="D35" s="42"/>
      <c r="E35" s="43"/>
      <c r="F35" s="41"/>
      <c r="G35" s="42"/>
      <c r="H35" s="43"/>
      <c r="I35" s="41"/>
      <c r="J35" s="42"/>
      <c r="K35" s="43"/>
      <c r="L35" s="41"/>
      <c r="M35" s="42"/>
      <c r="N35" s="43"/>
      <c r="O35" s="41"/>
      <c r="P35" s="42"/>
      <c r="Q35" s="43"/>
    </row>
    <row r="36" spans="1:17" x14ac:dyDescent="0.25">
      <c r="A36" s="364"/>
      <c r="B36" s="367"/>
      <c r="C36" s="41"/>
      <c r="D36" s="42"/>
      <c r="E36" s="43"/>
      <c r="F36" s="41"/>
      <c r="G36" s="42"/>
      <c r="H36" s="43"/>
      <c r="I36" s="41"/>
      <c r="J36" s="42"/>
      <c r="K36" s="43"/>
      <c r="L36" s="41"/>
      <c r="M36" s="42"/>
      <c r="N36" s="43"/>
      <c r="O36" s="41"/>
      <c r="P36" s="42"/>
      <c r="Q36" s="43"/>
    </row>
    <row r="37" spans="1:17" ht="15" x14ac:dyDescent="0.4">
      <c r="A37" s="364"/>
      <c r="B37" s="367"/>
      <c r="C37" s="219" t="s">
        <v>235</v>
      </c>
      <c r="D37" s="220"/>
      <c r="E37" s="221" t="s">
        <v>19</v>
      </c>
      <c r="F37" s="219" t="s">
        <v>235</v>
      </c>
      <c r="G37" s="220"/>
      <c r="H37" s="221" t="s">
        <v>19</v>
      </c>
      <c r="I37" s="219" t="s">
        <v>235</v>
      </c>
      <c r="J37" s="220"/>
      <c r="K37" s="221" t="s">
        <v>19</v>
      </c>
      <c r="L37" s="219" t="s">
        <v>235</v>
      </c>
      <c r="M37" s="220"/>
      <c r="N37" s="221" t="s">
        <v>19</v>
      </c>
      <c r="O37" s="219" t="s">
        <v>235</v>
      </c>
      <c r="P37" s="220"/>
      <c r="Q37" s="221" t="s">
        <v>19</v>
      </c>
    </row>
    <row r="38" spans="1:17" x14ac:dyDescent="0.25">
      <c r="A38" s="365"/>
      <c r="B38" s="368"/>
      <c r="C38" s="222">
        <f>14164+8697</f>
        <v>22861</v>
      </c>
      <c r="D38" s="222">
        <f>SUM(D29:D37)</f>
        <v>336</v>
      </c>
      <c r="E38" s="222">
        <f>IF(C38-D38&gt;0,C38-D38,)</f>
        <v>22525</v>
      </c>
      <c r="F38" s="222">
        <f>18664+9697</f>
        <v>28361</v>
      </c>
      <c r="G38" s="222">
        <f>SUM(G29:G37)</f>
        <v>0</v>
      </c>
      <c r="H38" s="222">
        <f>IF(F38-G38&gt;0,F38-G38,)</f>
        <v>28361</v>
      </c>
      <c r="I38" s="222">
        <f>18664+9697</f>
        <v>28361</v>
      </c>
      <c r="J38" s="222">
        <f>SUM(J29:J37)</f>
        <v>0</v>
      </c>
      <c r="K38" s="222">
        <f>IF(I38-J38&gt;0,I38-J38,)</f>
        <v>28361</v>
      </c>
      <c r="L38" s="222">
        <f>(14164*1.35)+(2697*1.35)</f>
        <v>22762.350000000002</v>
      </c>
      <c r="M38" s="222">
        <f>SUM(M29:M37)</f>
        <v>0</v>
      </c>
      <c r="N38" s="222">
        <f>IF(L38-M38&gt;0,L38-M38,)</f>
        <v>22762.350000000002</v>
      </c>
      <c r="O38" s="222">
        <f>L38+I38+F38+C38</f>
        <v>102345.35</v>
      </c>
      <c r="P38" s="222">
        <f>M38+J38+G38+D38</f>
        <v>336</v>
      </c>
      <c r="Q38" s="222">
        <f>IF(O38-P38&gt;0,O38-P38,)</f>
        <v>102009.35</v>
      </c>
    </row>
    <row r="39" spans="1:17" ht="15" x14ac:dyDescent="0.4">
      <c r="A39" s="363" t="s">
        <v>232</v>
      </c>
      <c r="B39" s="366" t="s">
        <v>241</v>
      </c>
      <c r="C39" s="215" t="s">
        <v>233</v>
      </c>
      <c r="D39" s="216" t="s">
        <v>234</v>
      </c>
      <c r="E39" s="217"/>
      <c r="F39" s="215" t="s">
        <v>233</v>
      </c>
      <c r="G39" s="216" t="s">
        <v>234</v>
      </c>
      <c r="H39" s="217"/>
      <c r="I39" s="215" t="s">
        <v>233</v>
      </c>
      <c r="J39" s="216" t="s">
        <v>234</v>
      </c>
      <c r="K39" s="217"/>
      <c r="L39" s="215" t="s">
        <v>233</v>
      </c>
      <c r="M39" s="216" t="s">
        <v>234</v>
      </c>
      <c r="N39" s="217"/>
      <c r="O39" s="215"/>
      <c r="P39" s="216"/>
      <c r="Q39" s="217"/>
    </row>
    <row r="40" spans="1:17" x14ac:dyDescent="0.25">
      <c r="A40" s="364"/>
      <c r="B40" s="367"/>
      <c r="C40" s="41"/>
      <c r="D40" s="42"/>
      <c r="E40" s="43"/>
      <c r="F40" s="41"/>
      <c r="G40" s="42"/>
      <c r="H40" s="43"/>
      <c r="I40" s="41"/>
      <c r="J40" s="42"/>
      <c r="K40" s="43"/>
      <c r="L40" s="41"/>
      <c r="M40" s="42"/>
      <c r="N40" s="43"/>
      <c r="O40" s="41"/>
      <c r="P40" s="42"/>
      <c r="Q40" s="43"/>
    </row>
    <row r="41" spans="1:17" x14ac:dyDescent="0.25">
      <c r="A41" s="364"/>
      <c r="B41" s="367"/>
      <c r="C41" s="41"/>
      <c r="D41" s="42"/>
      <c r="E41" s="43"/>
      <c r="F41" s="41"/>
      <c r="G41" s="42"/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364"/>
      <c r="B42" s="367"/>
      <c r="C42" s="41"/>
      <c r="D42" s="42"/>
      <c r="E42" s="43"/>
      <c r="F42" s="41"/>
      <c r="G42" s="42"/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364"/>
      <c r="B43" s="367"/>
      <c r="C43" s="41"/>
      <c r="D43" s="42"/>
      <c r="E43" s="43"/>
      <c r="F43" s="41"/>
      <c r="G43" s="42"/>
      <c r="H43" s="43"/>
      <c r="I43" s="41"/>
      <c r="J43" s="42"/>
      <c r="K43" s="43"/>
      <c r="L43" s="41"/>
      <c r="M43" s="42"/>
      <c r="N43" s="43"/>
      <c r="O43" s="41"/>
      <c r="P43" s="42"/>
      <c r="Q43" s="43"/>
    </row>
    <row r="44" spans="1:17" x14ac:dyDescent="0.25">
      <c r="A44" s="364"/>
      <c r="B44" s="367"/>
      <c r="C44" s="41"/>
      <c r="D44" s="42"/>
      <c r="E44" s="43"/>
      <c r="F44" s="41"/>
      <c r="G44" s="42"/>
      <c r="H44" s="43"/>
      <c r="I44" s="41"/>
      <c r="J44" s="42"/>
      <c r="K44" s="43"/>
      <c r="L44" s="41"/>
      <c r="M44" s="42"/>
      <c r="N44" s="43"/>
      <c r="O44" s="41"/>
      <c r="P44" s="42"/>
      <c r="Q44" s="43"/>
    </row>
    <row r="45" spans="1:17" x14ac:dyDescent="0.25">
      <c r="A45" s="364"/>
      <c r="B45" s="367"/>
      <c r="C45" s="41"/>
      <c r="D45" s="42"/>
      <c r="E45" s="43"/>
      <c r="F45" s="41"/>
      <c r="G45" s="42"/>
      <c r="H45" s="43"/>
      <c r="I45" s="41"/>
      <c r="J45" s="42"/>
      <c r="K45" s="43"/>
      <c r="L45" s="41"/>
      <c r="M45" s="42"/>
      <c r="N45" s="43"/>
      <c r="O45" s="41"/>
      <c r="P45" s="42"/>
      <c r="Q45" s="43"/>
    </row>
    <row r="46" spans="1:17" x14ac:dyDescent="0.25">
      <c r="A46" s="364"/>
      <c r="B46" s="367"/>
      <c r="C46" s="41"/>
      <c r="D46" s="42"/>
      <c r="E46" s="43"/>
      <c r="F46" s="41"/>
      <c r="G46" s="42"/>
      <c r="H46" s="43"/>
      <c r="I46" s="41"/>
      <c r="J46" s="42"/>
      <c r="K46" s="43"/>
      <c r="L46" s="41"/>
      <c r="M46" s="42"/>
      <c r="N46" s="43"/>
      <c r="O46" s="41"/>
      <c r="P46" s="42"/>
      <c r="Q46" s="43"/>
    </row>
    <row r="47" spans="1:17" x14ac:dyDescent="0.25">
      <c r="A47" s="364"/>
      <c r="B47" s="367"/>
      <c r="C47" s="41"/>
      <c r="D47" s="42"/>
      <c r="E47" s="43"/>
      <c r="F47" s="41"/>
      <c r="G47" s="42"/>
      <c r="H47" s="43"/>
      <c r="I47" s="41"/>
      <c r="J47" s="42"/>
      <c r="K47" s="43"/>
      <c r="L47" s="41"/>
      <c r="M47" s="42"/>
      <c r="N47" s="43"/>
      <c r="O47" s="41"/>
      <c r="P47" s="42"/>
      <c r="Q47" s="43"/>
    </row>
    <row r="48" spans="1:17" ht="15" x14ac:dyDescent="0.4">
      <c r="A48" s="364"/>
      <c r="B48" s="367"/>
      <c r="C48" s="219" t="s">
        <v>235</v>
      </c>
      <c r="D48" s="220"/>
      <c r="E48" s="221" t="s">
        <v>19</v>
      </c>
      <c r="F48" s="219" t="s">
        <v>235</v>
      </c>
      <c r="G48" s="220"/>
      <c r="H48" s="221" t="s">
        <v>19</v>
      </c>
      <c r="I48" s="219" t="s">
        <v>235</v>
      </c>
      <c r="J48" s="220"/>
      <c r="K48" s="221" t="s">
        <v>19</v>
      </c>
      <c r="L48" s="219" t="s">
        <v>235</v>
      </c>
      <c r="M48" s="220"/>
      <c r="N48" s="221" t="s">
        <v>19</v>
      </c>
      <c r="O48" s="219" t="s">
        <v>235</v>
      </c>
      <c r="P48" s="220"/>
      <c r="Q48" s="221" t="s">
        <v>19</v>
      </c>
    </row>
    <row r="49" spans="1:17" x14ac:dyDescent="0.25">
      <c r="A49" s="365"/>
      <c r="B49" s="368"/>
      <c r="C49" s="222">
        <v>6477</v>
      </c>
      <c r="D49" s="222">
        <f>SUM(D40:D48)</f>
        <v>0</v>
      </c>
      <c r="E49" s="222">
        <f>IF(C49-D49&gt;0,C49-D49,)</f>
        <v>6477</v>
      </c>
      <c r="F49" s="222">
        <v>6477</v>
      </c>
      <c r="G49" s="222">
        <f>SUM(G40:G48)</f>
        <v>0</v>
      </c>
      <c r="H49" s="222">
        <f>IF(F49-G49&gt;0,F49-G49,)</f>
        <v>6477</v>
      </c>
      <c r="I49" s="222">
        <v>6477</v>
      </c>
      <c r="J49" s="222">
        <f>SUM(J40:J48)</f>
        <v>0</v>
      </c>
      <c r="K49" s="222">
        <f>IF(I49-J49&gt;0,I49-J49,)</f>
        <v>6477</v>
      </c>
      <c r="L49" s="222">
        <f>6477*1.35</f>
        <v>8743.9500000000007</v>
      </c>
      <c r="M49" s="222">
        <f>SUM(M40:M48)</f>
        <v>0</v>
      </c>
      <c r="N49" s="222">
        <f>IF(L49-M49&gt;0,L49-M49,)</f>
        <v>8743.9500000000007</v>
      </c>
      <c r="O49" s="222">
        <f>L49+I49+F49+C49</f>
        <v>28174.95</v>
      </c>
      <c r="P49" s="222">
        <f>M49+J49+G49+D49</f>
        <v>0</v>
      </c>
      <c r="Q49" s="222">
        <f>IF(O49-P49&gt;0,O49-P49,)</f>
        <v>28174.95</v>
      </c>
    </row>
    <row r="50" spans="1:17" ht="15" x14ac:dyDescent="0.4">
      <c r="A50" s="363" t="s">
        <v>242</v>
      </c>
      <c r="B50" s="366" t="s">
        <v>243</v>
      </c>
      <c r="C50" s="215" t="s">
        <v>233</v>
      </c>
      <c r="D50" s="216" t="s">
        <v>234</v>
      </c>
      <c r="E50" s="217"/>
      <c r="F50" s="215" t="s">
        <v>233</v>
      </c>
      <c r="G50" s="216" t="s">
        <v>234</v>
      </c>
      <c r="H50" s="217"/>
      <c r="I50" s="215" t="s">
        <v>233</v>
      </c>
      <c r="J50" s="216" t="s">
        <v>234</v>
      </c>
      <c r="K50" s="217"/>
      <c r="L50" s="215" t="s">
        <v>233</v>
      </c>
      <c r="M50" s="216" t="s">
        <v>234</v>
      </c>
      <c r="N50" s="217"/>
      <c r="O50" s="215"/>
      <c r="P50" s="216"/>
      <c r="Q50" s="217"/>
    </row>
    <row r="51" spans="1:17" x14ac:dyDescent="0.25">
      <c r="A51" s="364"/>
      <c r="B51" s="367"/>
      <c r="C51" s="41"/>
      <c r="D51" s="42"/>
      <c r="E51" s="43"/>
      <c r="F51" s="41"/>
      <c r="G51" s="42"/>
      <c r="H51" s="43"/>
      <c r="I51" s="41"/>
      <c r="J51" s="42"/>
      <c r="K51" s="43"/>
      <c r="L51" s="41"/>
      <c r="M51" s="42"/>
      <c r="N51" s="43"/>
      <c r="O51" s="41"/>
      <c r="P51" s="42"/>
      <c r="Q51" s="43"/>
    </row>
    <row r="52" spans="1:17" x14ac:dyDescent="0.25">
      <c r="A52" s="364"/>
      <c r="B52" s="367"/>
      <c r="C52" s="41"/>
      <c r="D52" s="42"/>
      <c r="E52" s="43"/>
      <c r="F52" s="41"/>
      <c r="G52" s="42"/>
      <c r="H52" s="43"/>
      <c r="I52" s="41"/>
      <c r="J52" s="42"/>
      <c r="K52" s="43"/>
      <c r="L52" s="41"/>
      <c r="M52" s="42"/>
      <c r="N52" s="43"/>
      <c r="O52" s="41"/>
      <c r="P52" s="42"/>
      <c r="Q52" s="43"/>
    </row>
    <row r="53" spans="1:17" x14ac:dyDescent="0.25">
      <c r="A53" s="364"/>
      <c r="B53" s="367"/>
      <c r="C53" s="41"/>
      <c r="D53" s="42"/>
      <c r="E53" s="43"/>
      <c r="F53" s="41"/>
      <c r="G53" s="42"/>
      <c r="H53" s="43"/>
      <c r="I53" s="41"/>
      <c r="J53" s="42"/>
      <c r="K53" s="43"/>
      <c r="L53" s="41"/>
      <c r="M53" s="42"/>
      <c r="N53" s="43"/>
      <c r="O53" s="41"/>
      <c r="P53" s="42"/>
      <c r="Q53" s="43"/>
    </row>
    <row r="54" spans="1:17" x14ac:dyDescent="0.25">
      <c r="A54" s="364"/>
      <c r="B54" s="367"/>
      <c r="C54" s="41"/>
      <c r="D54" s="42"/>
      <c r="E54" s="43"/>
      <c r="F54" s="41"/>
      <c r="G54" s="42"/>
      <c r="H54" s="43"/>
      <c r="I54" s="41"/>
      <c r="J54" s="42"/>
      <c r="K54" s="43"/>
      <c r="L54" s="41"/>
      <c r="M54" s="42"/>
      <c r="N54" s="43"/>
      <c r="O54" s="41"/>
      <c r="P54" s="42"/>
      <c r="Q54" s="43"/>
    </row>
    <row r="55" spans="1:17" x14ac:dyDescent="0.25">
      <c r="A55" s="364"/>
      <c r="B55" s="367"/>
      <c r="C55" s="41"/>
      <c r="D55" s="42"/>
      <c r="E55" s="43"/>
      <c r="F55" s="41"/>
      <c r="G55" s="42"/>
      <c r="H55" s="43"/>
      <c r="I55" s="41"/>
      <c r="J55" s="42"/>
      <c r="K55" s="43"/>
      <c r="L55" s="41"/>
      <c r="M55" s="42"/>
      <c r="N55" s="43"/>
      <c r="O55" s="41"/>
      <c r="P55" s="42"/>
      <c r="Q55" s="43"/>
    </row>
    <row r="56" spans="1:17" x14ac:dyDescent="0.25">
      <c r="A56" s="364"/>
      <c r="B56" s="367"/>
      <c r="C56" s="41"/>
      <c r="D56" s="42"/>
      <c r="E56" s="43"/>
      <c r="F56" s="41"/>
      <c r="G56" s="42"/>
      <c r="H56" s="43"/>
      <c r="I56" s="41"/>
      <c r="J56" s="42"/>
      <c r="K56" s="43"/>
      <c r="L56" s="41"/>
      <c r="M56" s="42"/>
      <c r="N56" s="43"/>
      <c r="O56" s="41"/>
      <c r="P56" s="42"/>
      <c r="Q56" s="43"/>
    </row>
    <row r="57" spans="1:17" x14ac:dyDescent="0.25">
      <c r="A57" s="364"/>
      <c r="B57" s="367"/>
      <c r="C57" s="41"/>
      <c r="D57" s="42"/>
      <c r="E57" s="43"/>
      <c r="F57" s="41"/>
      <c r="G57" s="42"/>
      <c r="H57" s="43"/>
      <c r="I57" s="41"/>
      <c r="J57" s="42"/>
      <c r="K57" s="43"/>
      <c r="L57" s="41"/>
      <c r="M57" s="42"/>
      <c r="N57" s="43"/>
      <c r="O57" s="41"/>
      <c r="P57" s="42"/>
      <c r="Q57" s="43"/>
    </row>
    <row r="58" spans="1:17" x14ac:dyDescent="0.25">
      <c r="A58" s="364"/>
      <c r="B58" s="367"/>
      <c r="C58" s="41"/>
      <c r="D58" s="42"/>
      <c r="E58" s="43"/>
      <c r="F58" s="41"/>
      <c r="G58" s="42"/>
      <c r="H58" s="43"/>
      <c r="I58" s="41"/>
      <c r="J58" s="42"/>
      <c r="K58" s="43"/>
      <c r="L58" s="41"/>
      <c r="M58" s="42"/>
      <c r="N58" s="43"/>
      <c r="O58" s="41"/>
      <c r="P58" s="42"/>
      <c r="Q58" s="43"/>
    </row>
    <row r="59" spans="1:17" ht="15" x14ac:dyDescent="0.4">
      <c r="A59" s="364"/>
      <c r="B59" s="367"/>
      <c r="C59" s="219" t="s">
        <v>235</v>
      </c>
      <c r="D59" s="220"/>
      <c r="E59" s="221" t="s">
        <v>19</v>
      </c>
      <c r="F59" s="219" t="s">
        <v>235</v>
      </c>
      <c r="G59" s="220"/>
      <c r="H59" s="221" t="s">
        <v>19</v>
      </c>
      <c r="I59" s="219" t="s">
        <v>235</v>
      </c>
      <c r="J59" s="220"/>
      <c r="K59" s="221" t="s">
        <v>19</v>
      </c>
      <c r="L59" s="219" t="s">
        <v>235</v>
      </c>
      <c r="M59" s="220"/>
      <c r="N59" s="221" t="s">
        <v>19</v>
      </c>
      <c r="O59" s="219" t="s">
        <v>235</v>
      </c>
      <c r="P59" s="220"/>
      <c r="Q59" s="221" t="s">
        <v>19</v>
      </c>
    </row>
    <row r="60" spans="1:17" x14ac:dyDescent="0.25">
      <c r="A60" s="365"/>
      <c r="B60" s="368"/>
      <c r="C60" s="222">
        <v>7712</v>
      </c>
      <c r="D60" s="222">
        <f>SUM(D51:D59)</f>
        <v>0</v>
      </c>
      <c r="E60" s="222">
        <f>IF(C60-D60&gt;0,C60-D60,)</f>
        <v>7712</v>
      </c>
      <c r="F60" s="222">
        <v>7712</v>
      </c>
      <c r="G60" s="222">
        <f>SUM(G51:G59)</f>
        <v>0</v>
      </c>
      <c r="H60" s="222">
        <f>IF(F60-G60&gt;0,F60-G60,)</f>
        <v>7712</v>
      </c>
      <c r="I60" s="222">
        <v>7712</v>
      </c>
      <c r="J60" s="222">
        <f>SUM(J51:J59)</f>
        <v>0</v>
      </c>
      <c r="K60" s="222">
        <f>IF(I60-J60&gt;0,I60-J60,)</f>
        <v>7712</v>
      </c>
      <c r="L60" s="222">
        <f>7712*1.35</f>
        <v>10411.200000000001</v>
      </c>
      <c r="M60" s="222">
        <f>SUM(M51:M59)</f>
        <v>0</v>
      </c>
      <c r="N60" s="222">
        <f>IF(L60-M60&gt;0,L60-M60,)</f>
        <v>10411.200000000001</v>
      </c>
      <c r="O60" s="222">
        <f>L60+I60+F60+C60</f>
        <v>33547.199999999997</v>
      </c>
      <c r="P60" s="222">
        <f>M60+J60+G60+D60</f>
        <v>0</v>
      </c>
      <c r="Q60" s="222">
        <f>IF(O60-P60&gt;0,O60-P60,)</f>
        <v>33547.199999999997</v>
      </c>
    </row>
    <row r="61" spans="1:17" ht="15" x14ac:dyDescent="0.4">
      <c r="A61" s="363"/>
      <c r="B61" s="366" t="s">
        <v>0</v>
      </c>
      <c r="C61" s="215" t="s">
        <v>233</v>
      </c>
      <c r="D61" s="216" t="s">
        <v>234</v>
      </c>
      <c r="E61" s="217"/>
      <c r="F61" s="215" t="s">
        <v>233</v>
      </c>
      <c r="G61" s="216" t="s">
        <v>234</v>
      </c>
      <c r="H61" s="217"/>
      <c r="I61" s="215" t="s">
        <v>233</v>
      </c>
      <c r="J61" s="216" t="s">
        <v>234</v>
      </c>
      <c r="K61" s="217"/>
      <c r="L61" s="215" t="s">
        <v>233</v>
      </c>
      <c r="M61" s="216" t="s">
        <v>234</v>
      </c>
      <c r="N61" s="217"/>
      <c r="O61" s="215"/>
      <c r="P61" s="216"/>
      <c r="Q61" s="217"/>
    </row>
    <row r="62" spans="1:17" x14ac:dyDescent="0.25">
      <c r="A62" s="364"/>
      <c r="B62" s="367"/>
      <c r="C62" s="41"/>
      <c r="D62" s="42"/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364"/>
      <c r="B63" s="367"/>
      <c r="C63" s="41"/>
      <c r="D63" s="42"/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364"/>
      <c r="B64" s="367"/>
      <c r="C64" s="41"/>
      <c r="D64" s="42"/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41"/>
      <c r="P64" s="42"/>
      <c r="Q64" s="43"/>
    </row>
    <row r="65" spans="1:17" x14ac:dyDescent="0.25">
      <c r="A65" s="364"/>
      <c r="B65" s="367"/>
      <c r="C65" s="41"/>
      <c r="D65" s="42"/>
      <c r="E65" s="43"/>
      <c r="F65" s="41"/>
      <c r="G65" s="42"/>
      <c r="H65" s="43"/>
      <c r="I65" s="41"/>
      <c r="J65" s="42"/>
      <c r="K65" s="43"/>
      <c r="L65" s="41"/>
      <c r="M65" s="42"/>
      <c r="N65" s="43"/>
      <c r="O65" s="41"/>
      <c r="P65" s="42"/>
      <c r="Q65" s="43"/>
    </row>
    <row r="66" spans="1:17" x14ac:dyDescent="0.25">
      <c r="A66" s="364"/>
      <c r="B66" s="367"/>
      <c r="C66" s="41"/>
      <c r="D66" s="42"/>
      <c r="E66" s="43"/>
      <c r="F66" s="41"/>
      <c r="G66" s="42"/>
      <c r="H66" s="43"/>
      <c r="I66" s="41"/>
      <c r="J66" s="42"/>
      <c r="K66" s="43"/>
      <c r="L66" s="41"/>
      <c r="M66" s="42"/>
      <c r="N66" s="43"/>
      <c r="O66" s="41"/>
      <c r="P66" s="42"/>
      <c r="Q66" s="43"/>
    </row>
    <row r="67" spans="1:17" x14ac:dyDescent="0.25">
      <c r="A67" s="364"/>
      <c r="B67" s="367"/>
      <c r="C67" s="41"/>
      <c r="D67" s="42"/>
      <c r="E67" s="43"/>
      <c r="F67" s="41"/>
      <c r="G67" s="42"/>
      <c r="H67" s="43"/>
      <c r="I67" s="41"/>
      <c r="J67" s="42"/>
      <c r="K67" s="43"/>
      <c r="L67" s="41"/>
      <c r="M67" s="42"/>
      <c r="N67" s="43"/>
      <c r="O67" s="41"/>
      <c r="P67" s="42"/>
      <c r="Q67" s="43"/>
    </row>
    <row r="68" spans="1:17" x14ac:dyDescent="0.25">
      <c r="A68" s="364"/>
      <c r="B68" s="367"/>
      <c r="C68" s="41"/>
      <c r="D68" s="42"/>
      <c r="E68" s="43"/>
      <c r="F68" s="41"/>
      <c r="G68" s="42"/>
      <c r="H68" s="43"/>
      <c r="I68" s="41"/>
      <c r="J68" s="42"/>
      <c r="K68" s="43"/>
      <c r="L68" s="41"/>
      <c r="M68" s="42"/>
      <c r="N68" s="43"/>
      <c r="O68" s="41"/>
      <c r="P68" s="42"/>
      <c r="Q68" s="43"/>
    </row>
    <row r="69" spans="1:17" x14ac:dyDescent="0.25">
      <c r="A69" s="364"/>
      <c r="B69" s="367"/>
      <c r="C69" s="41"/>
      <c r="D69" s="42"/>
      <c r="E69" s="43"/>
      <c r="F69" s="41"/>
      <c r="G69" s="42"/>
      <c r="H69" s="43"/>
      <c r="I69" s="41"/>
      <c r="J69" s="42"/>
      <c r="K69" s="43"/>
      <c r="L69" s="41"/>
      <c r="M69" s="42"/>
      <c r="N69" s="43"/>
      <c r="O69" s="41"/>
      <c r="P69" s="42"/>
      <c r="Q69" s="43"/>
    </row>
    <row r="70" spans="1:17" ht="15" x14ac:dyDescent="0.4">
      <c r="A70" s="364"/>
      <c r="B70" s="367"/>
      <c r="C70" s="219" t="s">
        <v>235</v>
      </c>
      <c r="D70" s="220"/>
      <c r="E70" s="221" t="s">
        <v>19</v>
      </c>
      <c r="F70" s="219" t="s">
        <v>235</v>
      </c>
      <c r="G70" s="220"/>
      <c r="H70" s="221" t="s">
        <v>19</v>
      </c>
      <c r="I70" s="219" t="s">
        <v>235</v>
      </c>
      <c r="J70" s="220"/>
      <c r="K70" s="221" t="s">
        <v>19</v>
      </c>
      <c r="L70" s="219" t="s">
        <v>235</v>
      </c>
      <c r="M70" s="220"/>
      <c r="N70" s="221" t="s">
        <v>19</v>
      </c>
      <c r="O70" s="219" t="s">
        <v>235</v>
      </c>
      <c r="P70" s="220"/>
      <c r="Q70" s="221" t="s">
        <v>19</v>
      </c>
    </row>
    <row r="71" spans="1:17" x14ac:dyDescent="0.25">
      <c r="A71" s="365"/>
      <c r="B71" s="368"/>
      <c r="C71" s="222">
        <v>4656</v>
      </c>
      <c r="D71" s="222">
        <f>SUM(D62:D70)</f>
        <v>0</v>
      </c>
      <c r="E71" s="222">
        <f>IF(C71-D71&gt;0,C71-D71,)</f>
        <v>4656</v>
      </c>
      <c r="F71" s="222">
        <v>4656</v>
      </c>
      <c r="G71" s="222">
        <f>SUM(G62:G66)</f>
        <v>0</v>
      </c>
      <c r="H71" s="222">
        <f>IF(F71-G71&gt;0,F71-G71,)</f>
        <v>4656</v>
      </c>
      <c r="I71" s="222">
        <v>4656</v>
      </c>
      <c r="J71" s="222">
        <f>SUM(J62:J66)</f>
        <v>0</v>
      </c>
      <c r="K71" s="222">
        <f>IF(I71-J71&gt;0,I71-J71,)</f>
        <v>4656</v>
      </c>
      <c r="L71" s="222">
        <f>4656*1.35</f>
        <v>6285.6</v>
      </c>
      <c r="M71" s="222">
        <f>SUM(M62:M70)</f>
        <v>0</v>
      </c>
      <c r="N71" s="222">
        <f>IF(L71-M71&gt;0,L71-M71,)</f>
        <v>6285.6</v>
      </c>
      <c r="O71" s="222">
        <f>L71+I71+F71+C71</f>
        <v>20253.599999999999</v>
      </c>
      <c r="P71" s="222">
        <f>M71+J71+G71+D71</f>
        <v>0</v>
      </c>
      <c r="Q71" s="222">
        <f>IF(O71-P71&gt;0,O71-P71,)</f>
        <v>20253.599999999999</v>
      </c>
    </row>
    <row r="72" spans="1:17" ht="15" customHeight="1" x14ac:dyDescent="0.4">
      <c r="A72" s="363" t="s">
        <v>244</v>
      </c>
      <c r="B72" s="385" t="s">
        <v>245</v>
      </c>
      <c r="C72" s="215" t="s">
        <v>233</v>
      </c>
      <c r="D72" s="216" t="s">
        <v>234</v>
      </c>
      <c r="E72" s="217"/>
      <c r="F72" s="215" t="s">
        <v>233</v>
      </c>
      <c r="G72" s="216" t="s">
        <v>234</v>
      </c>
      <c r="H72" s="217"/>
      <c r="I72" s="215" t="s">
        <v>233</v>
      </c>
      <c r="J72" s="216" t="s">
        <v>234</v>
      </c>
      <c r="K72" s="217"/>
      <c r="L72" s="215" t="s">
        <v>233</v>
      </c>
      <c r="M72" s="216" t="s">
        <v>234</v>
      </c>
      <c r="N72" s="217"/>
      <c r="O72" s="215"/>
      <c r="P72" s="216"/>
      <c r="Q72" s="217"/>
    </row>
    <row r="73" spans="1:17" ht="15" customHeight="1" x14ac:dyDescent="0.4">
      <c r="A73" s="364"/>
      <c r="B73" s="386"/>
      <c r="C73" s="255" t="s">
        <v>176</v>
      </c>
      <c r="D73" s="257">
        <v>9300</v>
      </c>
      <c r="E73" s="277"/>
      <c r="F73" s="219"/>
      <c r="G73" s="220"/>
      <c r="H73" s="221"/>
      <c r="I73" s="219"/>
      <c r="J73" s="220"/>
      <c r="K73" s="221"/>
      <c r="L73" s="219"/>
      <c r="M73" s="220"/>
      <c r="N73" s="221"/>
      <c r="O73" s="219"/>
      <c r="P73" s="220"/>
      <c r="Q73" s="221"/>
    </row>
    <row r="74" spans="1:17" ht="15" customHeight="1" x14ac:dyDescent="0.4">
      <c r="A74" s="364"/>
      <c r="B74" s="386"/>
      <c r="C74" s="276"/>
      <c r="D74" s="256"/>
      <c r="E74" s="277"/>
      <c r="F74" s="219"/>
      <c r="G74" s="220"/>
      <c r="H74" s="221"/>
      <c r="I74" s="219"/>
      <c r="J74" s="220"/>
      <c r="K74" s="221"/>
      <c r="L74" s="219"/>
      <c r="M74" s="220"/>
      <c r="N74" s="221"/>
      <c r="O74" s="219"/>
      <c r="P74" s="220"/>
      <c r="Q74" s="221"/>
    </row>
    <row r="75" spans="1:17" x14ac:dyDescent="0.25">
      <c r="A75" s="364"/>
      <c r="B75" s="386"/>
      <c r="C75" s="41"/>
      <c r="D75" s="42"/>
      <c r="E75" s="43"/>
      <c r="F75" s="41"/>
      <c r="G75" s="42"/>
      <c r="H75" s="43"/>
      <c r="I75" s="41"/>
      <c r="J75" s="42"/>
      <c r="K75" s="43"/>
      <c r="L75" s="41"/>
      <c r="M75" s="42"/>
      <c r="N75" s="43"/>
      <c r="O75" s="41"/>
      <c r="P75" s="42"/>
      <c r="Q75" s="43"/>
    </row>
    <row r="76" spans="1:17" x14ac:dyDescent="0.25">
      <c r="A76" s="364"/>
      <c r="B76" s="386"/>
      <c r="C76" s="41"/>
      <c r="D76" s="42"/>
      <c r="E76" s="43"/>
      <c r="F76" s="41"/>
      <c r="G76" s="42"/>
      <c r="H76" s="43"/>
      <c r="I76" s="41"/>
      <c r="J76" s="42"/>
      <c r="K76" s="43"/>
      <c r="L76" s="41"/>
      <c r="M76" s="42"/>
      <c r="N76" s="43"/>
      <c r="O76" s="41"/>
      <c r="P76" s="42"/>
      <c r="Q76" s="43"/>
    </row>
    <row r="77" spans="1:17" ht="15" x14ac:dyDescent="0.4">
      <c r="A77" s="364"/>
      <c r="B77" s="386"/>
      <c r="C77" s="219" t="s">
        <v>235</v>
      </c>
      <c r="D77" s="220"/>
      <c r="E77" s="221" t="s">
        <v>19</v>
      </c>
      <c r="F77" s="219" t="s">
        <v>235</v>
      </c>
      <c r="G77" s="220"/>
      <c r="H77" s="221" t="s">
        <v>19</v>
      </c>
      <c r="I77" s="219" t="s">
        <v>235</v>
      </c>
      <c r="J77" s="220"/>
      <c r="K77" s="221" t="s">
        <v>19</v>
      </c>
      <c r="L77" s="219" t="s">
        <v>235</v>
      </c>
      <c r="M77" s="220"/>
      <c r="N77" s="221" t="s">
        <v>19</v>
      </c>
      <c r="O77" s="219" t="s">
        <v>235</v>
      </c>
      <c r="P77" s="220"/>
      <c r="Q77" s="221" t="s">
        <v>19</v>
      </c>
    </row>
    <row r="78" spans="1:17" x14ac:dyDescent="0.25">
      <c r="A78" s="365"/>
      <c r="B78" s="387"/>
      <c r="C78" s="222">
        <v>12234</v>
      </c>
      <c r="D78" s="222">
        <f>SUM(D73:D77)</f>
        <v>9300</v>
      </c>
      <c r="E78" s="222">
        <f>IF(C78-D78&gt;0,C78-D78,)</f>
        <v>2934</v>
      </c>
      <c r="F78" s="222">
        <v>12235</v>
      </c>
      <c r="G78" s="222">
        <f>SUM(G75:G77)</f>
        <v>0</v>
      </c>
      <c r="H78" s="222">
        <f>IF(F78-G78&gt;0,F78-G78,)</f>
        <v>12235</v>
      </c>
      <c r="I78" s="222">
        <v>12236</v>
      </c>
      <c r="J78" s="222">
        <f>SUM(J75:J77)</f>
        <v>0</v>
      </c>
      <c r="K78" s="222">
        <f>IF(I78-J78&gt;0,I78-J78,)</f>
        <v>12236</v>
      </c>
      <c r="L78" s="222">
        <f>12234*1.35</f>
        <v>16515.900000000001</v>
      </c>
      <c r="M78" s="222">
        <f>SUM(M75:M77)</f>
        <v>0</v>
      </c>
      <c r="N78" s="222">
        <f>IF(L78-M78&gt;0,L78-M78,)</f>
        <v>16515.900000000001</v>
      </c>
      <c r="O78" s="222">
        <f>L78+I78+F78+C78</f>
        <v>53220.9</v>
      </c>
      <c r="P78" s="222">
        <f>M78+J78+G78+D78</f>
        <v>9300</v>
      </c>
      <c r="Q78" s="222">
        <f>IF(O78-P78&gt;0,O78-P78,)</f>
        <v>43920.9</v>
      </c>
    </row>
    <row r="79" spans="1:17" ht="15" x14ac:dyDescent="0.4">
      <c r="A79" s="363" t="s">
        <v>255</v>
      </c>
      <c r="B79" s="366" t="s">
        <v>256</v>
      </c>
      <c r="C79" s="215" t="s">
        <v>233</v>
      </c>
      <c r="D79" s="216" t="s">
        <v>234</v>
      </c>
      <c r="E79" s="217"/>
      <c r="F79" s="215" t="s">
        <v>233</v>
      </c>
      <c r="G79" s="216" t="s">
        <v>234</v>
      </c>
      <c r="H79" s="217"/>
      <c r="I79" s="215" t="s">
        <v>233</v>
      </c>
      <c r="J79" s="216" t="s">
        <v>234</v>
      </c>
      <c r="K79" s="217"/>
      <c r="L79" s="215" t="s">
        <v>233</v>
      </c>
      <c r="M79" s="216" t="s">
        <v>234</v>
      </c>
      <c r="N79" s="217"/>
      <c r="O79" s="215"/>
      <c r="P79" s="216"/>
      <c r="Q79" s="217"/>
    </row>
    <row r="80" spans="1:17" x14ac:dyDescent="0.25">
      <c r="A80" s="364"/>
      <c r="B80" s="367"/>
      <c r="C80" s="41"/>
      <c r="D80" s="42"/>
      <c r="E80" s="43"/>
      <c r="F80" s="41"/>
      <c r="G80" s="42"/>
      <c r="H80" s="43"/>
      <c r="I80" s="41"/>
      <c r="J80" s="42"/>
      <c r="K80" s="43"/>
      <c r="L80" s="41"/>
      <c r="M80" s="42"/>
      <c r="N80" s="43"/>
      <c r="O80" s="41"/>
      <c r="P80" s="42"/>
      <c r="Q80" s="43"/>
    </row>
    <row r="81" spans="1:17" x14ac:dyDescent="0.25">
      <c r="A81" s="364"/>
      <c r="B81" s="367"/>
      <c r="C81" s="41"/>
      <c r="D81" s="42"/>
      <c r="E81" s="43"/>
      <c r="F81" s="41"/>
      <c r="G81" s="42"/>
      <c r="H81" s="43"/>
      <c r="I81" s="41"/>
      <c r="J81" s="42"/>
      <c r="K81" s="43"/>
      <c r="L81" s="41"/>
      <c r="M81" s="42"/>
      <c r="N81" s="43"/>
      <c r="O81" s="41"/>
      <c r="P81" s="42"/>
      <c r="Q81" s="43"/>
    </row>
    <row r="82" spans="1:17" x14ac:dyDescent="0.25">
      <c r="A82" s="364"/>
      <c r="B82" s="367"/>
      <c r="C82" s="41"/>
      <c r="D82" s="42"/>
      <c r="E82" s="43"/>
      <c r="F82" s="41"/>
      <c r="G82" s="42"/>
      <c r="H82" s="43"/>
      <c r="I82" s="41"/>
      <c r="J82" s="42"/>
      <c r="K82" s="43"/>
      <c r="L82" s="41"/>
      <c r="M82" s="42"/>
      <c r="N82" s="43"/>
      <c r="O82" s="41"/>
      <c r="P82" s="42"/>
      <c r="Q82" s="43"/>
    </row>
    <row r="83" spans="1:17" x14ac:dyDescent="0.25">
      <c r="A83" s="364"/>
      <c r="B83" s="367"/>
      <c r="C83" s="41"/>
      <c r="D83" s="42"/>
      <c r="E83" s="43"/>
      <c r="F83" s="41"/>
      <c r="G83" s="42"/>
      <c r="H83" s="43"/>
      <c r="I83" s="41"/>
      <c r="J83" s="42"/>
      <c r="K83" s="43"/>
      <c r="L83" s="41"/>
      <c r="M83" s="42"/>
      <c r="N83" s="43"/>
      <c r="O83" s="41"/>
      <c r="P83" s="42"/>
      <c r="Q83" s="43"/>
    </row>
    <row r="84" spans="1:17" x14ac:dyDescent="0.25">
      <c r="A84" s="364"/>
      <c r="B84" s="367"/>
      <c r="C84" s="41"/>
      <c r="D84" s="42"/>
      <c r="E84" s="43"/>
      <c r="F84" s="41"/>
      <c r="G84" s="42"/>
      <c r="H84" s="43"/>
      <c r="I84" s="41"/>
      <c r="J84" s="42"/>
      <c r="K84" s="43"/>
      <c r="L84" s="41"/>
      <c r="M84" s="42"/>
      <c r="N84" s="43"/>
      <c r="O84" s="41"/>
      <c r="P84" s="42"/>
      <c r="Q84" s="43"/>
    </row>
    <row r="85" spans="1:17" x14ac:dyDescent="0.25">
      <c r="A85" s="364"/>
      <c r="B85" s="367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x14ac:dyDescent="0.25">
      <c r="A86" s="364"/>
      <c r="B86" s="367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x14ac:dyDescent="0.25">
      <c r="A87" s="364"/>
      <c r="B87" s="367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ht="15" x14ac:dyDescent="0.4">
      <c r="A88" s="364"/>
      <c r="B88" s="367"/>
      <c r="C88" s="219" t="s">
        <v>235</v>
      </c>
      <c r="D88" s="220"/>
      <c r="E88" s="221" t="s">
        <v>19</v>
      </c>
      <c r="F88" s="219" t="s">
        <v>235</v>
      </c>
      <c r="G88" s="220"/>
      <c r="H88" s="221" t="s">
        <v>19</v>
      </c>
      <c r="I88" s="219" t="s">
        <v>235</v>
      </c>
      <c r="J88" s="220"/>
      <c r="K88" s="221" t="s">
        <v>19</v>
      </c>
      <c r="L88" s="219" t="s">
        <v>235</v>
      </c>
      <c r="M88" s="220"/>
      <c r="N88" s="221" t="s">
        <v>19</v>
      </c>
      <c r="O88" s="219" t="s">
        <v>235</v>
      </c>
      <c r="P88" s="220"/>
      <c r="Q88" s="221" t="s">
        <v>19</v>
      </c>
    </row>
    <row r="89" spans="1:17" x14ac:dyDescent="0.25">
      <c r="A89" s="365"/>
      <c r="B89" s="368"/>
      <c r="C89" s="222">
        <v>15385</v>
      </c>
      <c r="D89" s="222">
        <f>SUM(D80:D88)</f>
        <v>0</v>
      </c>
      <c r="E89" s="222">
        <f>IF(C89-D89&gt;0,C89-D89,)</f>
        <v>15385</v>
      </c>
      <c r="F89" s="222">
        <v>15390</v>
      </c>
      <c r="G89" s="222">
        <f>SUM(G80:G88)</f>
        <v>0</v>
      </c>
      <c r="H89" s="222">
        <f>IF(F89-G89&gt;0,F89-G89,)</f>
        <v>15390</v>
      </c>
      <c r="I89" s="222">
        <v>15390</v>
      </c>
      <c r="J89" s="222">
        <f>SUM(J80:J88)</f>
        <v>0</v>
      </c>
      <c r="K89" s="222">
        <f>IF(I89-J89&gt;0,I89-J89,)</f>
        <v>15390</v>
      </c>
      <c r="L89" s="222">
        <f>15379*1.35</f>
        <v>20761.650000000001</v>
      </c>
      <c r="M89" s="222">
        <f>SUM(M80:M88)</f>
        <v>0</v>
      </c>
      <c r="N89" s="222">
        <f>IF(L89-M89&gt;0,L89-M89,)</f>
        <v>20761.650000000001</v>
      </c>
      <c r="O89" s="222">
        <f>L89+I89+F89+C89</f>
        <v>66926.649999999994</v>
      </c>
      <c r="P89" s="222">
        <f>M89+J89+G89+D89</f>
        <v>0</v>
      </c>
      <c r="Q89" s="222">
        <f>IF(O89-P89&gt;0,O89-P89,)</f>
        <v>66926.649999999994</v>
      </c>
    </row>
    <row r="90" spans="1:17" ht="15" x14ac:dyDescent="0.4">
      <c r="A90" s="363" t="s">
        <v>257</v>
      </c>
      <c r="B90" s="366" t="s">
        <v>442</v>
      </c>
      <c r="C90" s="215" t="s">
        <v>233</v>
      </c>
      <c r="D90" s="216" t="s">
        <v>234</v>
      </c>
      <c r="E90" s="217"/>
      <c r="F90" s="215" t="s">
        <v>233</v>
      </c>
      <c r="G90" s="216" t="s">
        <v>234</v>
      </c>
      <c r="H90" s="217"/>
      <c r="I90" s="215" t="s">
        <v>233</v>
      </c>
      <c r="J90" s="216" t="s">
        <v>234</v>
      </c>
      <c r="K90" s="217"/>
      <c r="L90" s="215" t="s">
        <v>233</v>
      </c>
      <c r="M90" s="216" t="s">
        <v>234</v>
      </c>
      <c r="N90" s="217"/>
      <c r="O90" s="215"/>
      <c r="P90" s="216"/>
      <c r="Q90" s="217"/>
    </row>
    <row r="91" spans="1:17" x14ac:dyDescent="0.25">
      <c r="A91" s="364"/>
      <c r="B91" s="367"/>
      <c r="C91" s="41"/>
      <c r="D91" s="42"/>
      <c r="E91" s="43"/>
      <c r="F91" s="41"/>
      <c r="G91" s="42"/>
      <c r="H91" s="43"/>
      <c r="I91" s="41"/>
      <c r="J91" s="42"/>
      <c r="K91" s="43"/>
      <c r="L91" s="41"/>
      <c r="M91" s="42"/>
      <c r="N91" s="43"/>
      <c r="O91" s="41"/>
      <c r="P91" s="42"/>
      <c r="Q91" s="43"/>
    </row>
    <row r="92" spans="1:17" x14ac:dyDescent="0.25">
      <c r="A92" s="364"/>
      <c r="B92" s="367"/>
      <c r="C92" s="41"/>
      <c r="D92" s="42"/>
      <c r="E92" s="43"/>
      <c r="F92" s="41"/>
      <c r="G92" s="42"/>
      <c r="H92" s="43"/>
      <c r="I92" s="41"/>
      <c r="J92" s="42"/>
      <c r="K92" s="43"/>
      <c r="L92" s="41"/>
      <c r="M92" s="42"/>
      <c r="N92" s="43"/>
      <c r="O92" s="41"/>
      <c r="P92" s="42"/>
      <c r="Q92" s="43"/>
    </row>
    <row r="93" spans="1:17" x14ac:dyDescent="0.25">
      <c r="A93" s="364"/>
      <c r="B93" s="367"/>
      <c r="C93" s="41"/>
      <c r="D93" s="42"/>
      <c r="E93" s="43"/>
      <c r="F93" s="41"/>
      <c r="G93" s="42"/>
      <c r="H93" s="43"/>
      <c r="I93" s="41"/>
      <c r="J93" s="42"/>
      <c r="K93" s="43"/>
      <c r="L93" s="41"/>
      <c r="M93" s="42"/>
      <c r="N93" s="43"/>
      <c r="O93" s="41"/>
      <c r="P93" s="42"/>
      <c r="Q93" s="43"/>
    </row>
    <row r="94" spans="1:17" x14ac:dyDescent="0.25">
      <c r="A94" s="364"/>
      <c r="B94" s="367"/>
      <c r="C94" s="41"/>
      <c r="D94" s="42"/>
      <c r="E94" s="43"/>
      <c r="F94" s="41"/>
      <c r="G94" s="42"/>
      <c r="H94" s="43"/>
      <c r="I94" s="41"/>
      <c r="J94" s="42"/>
      <c r="K94" s="43"/>
      <c r="L94" s="41"/>
      <c r="M94" s="42"/>
      <c r="N94" s="43"/>
      <c r="O94" s="41"/>
      <c r="P94" s="42"/>
      <c r="Q94" s="43"/>
    </row>
    <row r="95" spans="1:17" x14ac:dyDescent="0.25">
      <c r="A95" s="364"/>
      <c r="B95" s="367"/>
      <c r="C95" s="41"/>
      <c r="D95" s="42"/>
      <c r="E95" s="43"/>
      <c r="F95" s="41"/>
      <c r="G95" s="42"/>
      <c r="H95" s="43"/>
      <c r="I95" s="41"/>
      <c r="J95" s="42"/>
      <c r="K95" s="43"/>
      <c r="L95" s="41"/>
      <c r="M95" s="42"/>
      <c r="N95" s="43"/>
      <c r="O95" s="41"/>
      <c r="P95" s="42"/>
      <c r="Q95" s="43"/>
    </row>
    <row r="96" spans="1:17" x14ac:dyDescent="0.25">
      <c r="A96" s="364"/>
      <c r="B96" s="367"/>
      <c r="C96" s="41"/>
      <c r="D96" s="42"/>
      <c r="E96" s="43"/>
      <c r="F96" s="41"/>
      <c r="G96" s="42"/>
      <c r="H96" s="43"/>
      <c r="I96" s="41"/>
      <c r="J96" s="42"/>
      <c r="K96" s="43"/>
      <c r="L96" s="41"/>
      <c r="M96" s="42"/>
      <c r="N96" s="43"/>
      <c r="O96" s="41"/>
      <c r="P96" s="42"/>
      <c r="Q96" s="43"/>
    </row>
    <row r="97" spans="1:17" x14ac:dyDescent="0.25">
      <c r="A97" s="364"/>
      <c r="B97" s="367"/>
      <c r="C97" s="41"/>
      <c r="D97" s="42"/>
      <c r="E97" s="43"/>
      <c r="F97" s="41"/>
      <c r="G97" s="42"/>
      <c r="H97" s="43"/>
      <c r="I97" s="41"/>
      <c r="J97" s="42"/>
      <c r="K97" s="43"/>
      <c r="L97" s="41"/>
      <c r="M97" s="42"/>
      <c r="N97" s="43"/>
      <c r="O97" s="41"/>
      <c r="P97" s="42"/>
      <c r="Q97" s="43"/>
    </row>
    <row r="98" spans="1:17" x14ac:dyDescent="0.25">
      <c r="A98" s="364"/>
      <c r="B98" s="367"/>
      <c r="C98" s="41"/>
      <c r="D98" s="42"/>
      <c r="E98" s="43"/>
      <c r="F98" s="41"/>
      <c r="G98" s="42"/>
      <c r="H98" s="43"/>
      <c r="I98" s="41"/>
      <c r="J98" s="42"/>
      <c r="K98" s="43"/>
      <c r="L98" s="41"/>
      <c r="M98" s="42"/>
      <c r="N98" s="43"/>
      <c r="O98" s="41"/>
      <c r="P98" s="42"/>
      <c r="Q98" s="43"/>
    </row>
    <row r="99" spans="1:17" ht="15" x14ac:dyDescent="0.4">
      <c r="A99" s="364"/>
      <c r="B99" s="367"/>
      <c r="C99" s="219" t="s">
        <v>235</v>
      </c>
      <c r="D99" s="220"/>
      <c r="E99" s="221" t="s">
        <v>19</v>
      </c>
      <c r="F99" s="219" t="s">
        <v>235</v>
      </c>
      <c r="G99" s="220"/>
      <c r="H99" s="221" t="s">
        <v>19</v>
      </c>
      <c r="I99" s="219" t="s">
        <v>235</v>
      </c>
      <c r="J99" s="220"/>
      <c r="K99" s="221" t="s">
        <v>19</v>
      </c>
      <c r="L99" s="219" t="s">
        <v>235</v>
      </c>
      <c r="M99" s="220"/>
      <c r="N99" s="221" t="s">
        <v>19</v>
      </c>
      <c r="O99" s="219" t="s">
        <v>235</v>
      </c>
      <c r="P99" s="220"/>
      <c r="Q99" s="221" t="s">
        <v>19</v>
      </c>
    </row>
    <row r="100" spans="1:17" x14ac:dyDescent="0.25">
      <c r="A100" s="365"/>
      <c r="B100" s="368"/>
      <c r="C100" s="222">
        <v>16142</v>
      </c>
      <c r="D100" s="222">
        <f>SUM(D91:D99)</f>
        <v>0</v>
      </c>
      <c r="E100" s="222">
        <f>IF(C100-D100&gt;0,C100-D100,)</f>
        <v>16142</v>
      </c>
      <c r="F100" s="222">
        <v>10067</v>
      </c>
      <c r="G100" s="222">
        <f>SUM(G91:G99)</f>
        <v>0</v>
      </c>
      <c r="H100" s="222">
        <f>IF(F100-G100&gt;0,F100-G100,)</f>
        <v>10067</v>
      </c>
      <c r="I100" s="222">
        <v>11442</v>
      </c>
      <c r="J100" s="222">
        <f>SUM(J91:J99)</f>
        <v>0</v>
      </c>
      <c r="K100" s="222">
        <f>IF(I100-J100&gt;0,I100-J100,)</f>
        <v>11442</v>
      </c>
      <c r="L100" s="222">
        <f>10317*1.35</f>
        <v>13927.95</v>
      </c>
      <c r="M100" s="222">
        <f>SUM(M91:M99)</f>
        <v>0</v>
      </c>
      <c r="N100" s="222">
        <f>IF(L100-M100&gt;0,L100-M100,)</f>
        <v>13927.95</v>
      </c>
      <c r="O100" s="222">
        <f>L100+I100+F100+C100</f>
        <v>51578.95</v>
      </c>
      <c r="P100" s="222">
        <f>M100+J100+G100+D100</f>
        <v>0</v>
      </c>
      <c r="Q100" s="222">
        <f>IF(O100-P100&gt;0,O100-P100,)</f>
        <v>51578.95</v>
      </c>
    </row>
    <row r="101" spans="1:17" ht="15" x14ac:dyDescent="0.4">
      <c r="A101" s="363"/>
      <c r="B101" s="366" t="s">
        <v>258</v>
      </c>
      <c r="C101" s="215" t="s">
        <v>233</v>
      </c>
      <c r="D101" s="216" t="s">
        <v>234</v>
      </c>
      <c r="E101" s="217"/>
      <c r="F101" s="215" t="s">
        <v>233</v>
      </c>
      <c r="G101" s="216" t="s">
        <v>234</v>
      </c>
      <c r="H101" s="217"/>
      <c r="I101" s="215" t="s">
        <v>233</v>
      </c>
      <c r="J101" s="216" t="s">
        <v>234</v>
      </c>
      <c r="K101" s="217"/>
      <c r="L101" s="215" t="s">
        <v>233</v>
      </c>
      <c r="M101" s="216" t="s">
        <v>234</v>
      </c>
      <c r="N101" s="217"/>
      <c r="O101" s="215"/>
      <c r="P101" s="216"/>
      <c r="Q101" s="217"/>
    </row>
    <row r="102" spans="1:17" x14ac:dyDescent="0.25">
      <c r="A102" s="364"/>
      <c r="B102" s="367"/>
      <c r="C102" s="41"/>
      <c r="D102" s="42"/>
      <c r="E102" s="43"/>
      <c r="F102" s="41"/>
      <c r="G102" s="42"/>
      <c r="H102" s="43"/>
      <c r="I102" s="41"/>
      <c r="J102" s="42"/>
      <c r="K102" s="43"/>
      <c r="L102" s="41"/>
      <c r="M102" s="42"/>
      <c r="N102" s="43"/>
      <c r="O102" s="41"/>
      <c r="P102" s="42"/>
      <c r="Q102" s="43"/>
    </row>
    <row r="103" spans="1:17" x14ac:dyDescent="0.25">
      <c r="A103" s="364"/>
      <c r="B103" s="367"/>
      <c r="C103" s="41"/>
      <c r="D103" s="42"/>
      <c r="E103" s="43"/>
      <c r="F103" s="41"/>
      <c r="G103" s="42"/>
      <c r="H103" s="43"/>
      <c r="I103" s="41"/>
      <c r="J103" s="42"/>
      <c r="K103" s="43"/>
      <c r="L103" s="41"/>
      <c r="M103" s="42"/>
      <c r="N103" s="43"/>
      <c r="O103" s="41"/>
      <c r="P103" s="42"/>
      <c r="Q103" s="43"/>
    </row>
    <row r="104" spans="1:17" x14ac:dyDescent="0.25">
      <c r="A104" s="364"/>
      <c r="B104" s="367"/>
      <c r="C104" s="41"/>
      <c r="D104" s="42"/>
      <c r="E104" s="43"/>
      <c r="F104" s="41"/>
      <c r="G104" s="42"/>
      <c r="H104" s="43"/>
      <c r="I104" s="41"/>
      <c r="J104" s="42"/>
      <c r="K104" s="43"/>
      <c r="L104" s="41"/>
      <c r="M104" s="42"/>
      <c r="N104" s="43"/>
      <c r="O104" s="41"/>
      <c r="P104" s="42"/>
      <c r="Q104" s="43"/>
    </row>
    <row r="105" spans="1:17" x14ac:dyDescent="0.25">
      <c r="A105" s="364"/>
      <c r="B105" s="367"/>
      <c r="C105" s="41"/>
      <c r="D105" s="42"/>
      <c r="E105" s="43"/>
      <c r="F105" s="41"/>
      <c r="G105" s="42"/>
      <c r="H105" s="43"/>
      <c r="I105" s="41"/>
      <c r="J105" s="42"/>
      <c r="K105" s="43"/>
      <c r="L105" s="41"/>
      <c r="M105" s="42"/>
      <c r="N105" s="43"/>
      <c r="O105" s="41"/>
      <c r="P105" s="42"/>
      <c r="Q105" s="43"/>
    </row>
    <row r="106" spans="1:17" x14ac:dyDescent="0.25">
      <c r="A106" s="364"/>
      <c r="B106" s="367"/>
      <c r="C106" s="41"/>
      <c r="D106" s="42"/>
      <c r="E106" s="43"/>
      <c r="F106" s="41"/>
      <c r="G106" s="42"/>
      <c r="H106" s="43"/>
      <c r="I106" s="41"/>
      <c r="J106" s="42"/>
      <c r="K106" s="43"/>
      <c r="L106" s="41"/>
      <c r="M106" s="42"/>
      <c r="N106" s="43"/>
      <c r="O106" s="41"/>
      <c r="P106" s="42"/>
      <c r="Q106" s="43"/>
    </row>
    <row r="107" spans="1:17" x14ac:dyDescent="0.25">
      <c r="A107" s="364"/>
      <c r="B107" s="367"/>
      <c r="C107" s="41"/>
      <c r="D107" s="42"/>
      <c r="E107" s="43"/>
      <c r="F107" s="41"/>
      <c r="G107" s="42"/>
      <c r="H107" s="43"/>
      <c r="I107" s="41"/>
      <c r="J107" s="42"/>
      <c r="K107" s="43"/>
      <c r="L107" s="41"/>
      <c r="M107" s="42"/>
      <c r="N107" s="43"/>
      <c r="O107" s="41"/>
      <c r="P107" s="42"/>
      <c r="Q107" s="43"/>
    </row>
    <row r="108" spans="1:17" x14ac:dyDescent="0.25">
      <c r="A108" s="364"/>
      <c r="B108" s="367"/>
      <c r="C108" s="41"/>
      <c r="D108" s="42"/>
      <c r="E108" s="43"/>
      <c r="F108" s="41"/>
      <c r="G108" s="42"/>
      <c r="H108" s="43"/>
      <c r="I108" s="41"/>
      <c r="J108" s="42"/>
      <c r="K108" s="43"/>
      <c r="L108" s="41"/>
      <c r="M108" s="42"/>
      <c r="N108" s="43"/>
      <c r="O108" s="41"/>
      <c r="P108" s="42"/>
      <c r="Q108" s="43"/>
    </row>
    <row r="109" spans="1:17" x14ac:dyDescent="0.25">
      <c r="A109" s="364"/>
      <c r="B109" s="367"/>
      <c r="C109" s="41"/>
      <c r="D109" s="42"/>
      <c r="E109" s="43"/>
      <c r="F109" s="41"/>
      <c r="G109" s="42"/>
      <c r="H109" s="43"/>
      <c r="I109" s="41"/>
      <c r="J109" s="42"/>
      <c r="K109" s="43"/>
      <c r="L109" s="41"/>
      <c r="M109" s="42"/>
      <c r="N109" s="43"/>
      <c r="O109" s="41"/>
      <c r="P109" s="42"/>
      <c r="Q109" s="43"/>
    </row>
    <row r="110" spans="1:17" ht="15" x14ac:dyDescent="0.4">
      <c r="A110" s="364"/>
      <c r="B110" s="367"/>
      <c r="C110" s="219" t="s">
        <v>235</v>
      </c>
      <c r="D110" s="220"/>
      <c r="E110" s="221" t="s">
        <v>19</v>
      </c>
      <c r="F110" s="219" t="s">
        <v>235</v>
      </c>
      <c r="G110" s="220"/>
      <c r="H110" s="221" t="s">
        <v>19</v>
      </c>
      <c r="I110" s="219" t="s">
        <v>235</v>
      </c>
      <c r="J110" s="220"/>
      <c r="K110" s="221" t="s">
        <v>19</v>
      </c>
      <c r="L110" s="219" t="s">
        <v>235</v>
      </c>
      <c r="M110" s="220"/>
      <c r="N110" s="221" t="s">
        <v>19</v>
      </c>
      <c r="O110" s="219" t="s">
        <v>235</v>
      </c>
      <c r="P110" s="220"/>
      <c r="Q110" s="221" t="s">
        <v>19</v>
      </c>
    </row>
    <row r="111" spans="1:17" x14ac:dyDescent="0.25">
      <c r="A111" s="365"/>
      <c r="B111" s="368"/>
      <c r="C111" s="222">
        <v>2430</v>
      </c>
      <c r="D111" s="222">
        <f>SUM(D102:D110)</f>
        <v>0</v>
      </c>
      <c r="E111" s="222">
        <f>IF(C111-D111&gt;0,C111-D111,)</f>
        <v>2430</v>
      </c>
      <c r="F111" s="222">
        <v>2430</v>
      </c>
      <c r="G111" s="222">
        <f>SUM(G102:G110)</f>
        <v>0</v>
      </c>
      <c r="H111" s="222">
        <f>IF(F111-G111&gt;0,F111-G111,)</f>
        <v>2430</v>
      </c>
      <c r="I111" s="222">
        <v>2430</v>
      </c>
      <c r="J111" s="222">
        <f>SUM(J102:J110)</f>
        <v>0</v>
      </c>
      <c r="K111" s="222">
        <f>IF(I111-J111&gt;0,I111-J111,)</f>
        <v>2430</v>
      </c>
      <c r="L111" s="222">
        <f>4999*1.35</f>
        <v>6748.6500000000005</v>
      </c>
      <c r="M111" s="222">
        <f>SUM(M102:M110)</f>
        <v>0</v>
      </c>
      <c r="N111" s="222">
        <f>IF(L111-M111&gt;0,L111-M111,)</f>
        <v>6748.6500000000005</v>
      </c>
      <c r="O111" s="222">
        <f>L111+I111+F111+C111</f>
        <v>14038.650000000001</v>
      </c>
      <c r="P111" s="222">
        <f>M111+J111+G111+D111</f>
        <v>0</v>
      </c>
      <c r="Q111" s="222">
        <f>IF(O111-P111&gt;0,O111-P111,)</f>
        <v>14038.650000000001</v>
      </c>
    </row>
    <row r="112" spans="1:17" ht="15" x14ac:dyDescent="0.4">
      <c r="A112" s="363" t="s">
        <v>125</v>
      </c>
      <c r="B112" s="366" t="s">
        <v>417</v>
      </c>
      <c r="C112" s="215" t="s">
        <v>233</v>
      </c>
      <c r="D112" s="216" t="s">
        <v>234</v>
      </c>
      <c r="E112" s="217"/>
      <c r="F112" s="215" t="s">
        <v>233</v>
      </c>
      <c r="G112" s="216" t="s">
        <v>234</v>
      </c>
      <c r="H112" s="217"/>
      <c r="I112" s="215" t="s">
        <v>233</v>
      </c>
      <c r="J112" s="216" t="s">
        <v>234</v>
      </c>
      <c r="K112" s="217"/>
      <c r="L112" s="215" t="s">
        <v>233</v>
      </c>
      <c r="M112" s="216" t="s">
        <v>234</v>
      </c>
      <c r="N112" s="217"/>
      <c r="O112" s="215"/>
      <c r="P112" s="216"/>
      <c r="Q112" s="217"/>
    </row>
    <row r="113" spans="1:17" x14ac:dyDescent="0.25">
      <c r="A113" s="364"/>
      <c r="B113" s="367"/>
      <c r="C113" s="27" t="s">
        <v>352</v>
      </c>
      <c r="D113" s="44">
        <v>414</v>
      </c>
      <c r="E113" s="43"/>
      <c r="F113" s="41"/>
      <c r="G113" s="42"/>
      <c r="H113" s="43"/>
      <c r="I113" s="41"/>
      <c r="J113" s="42"/>
      <c r="K113" s="43"/>
      <c r="L113" s="41"/>
      <c r="M113" s="42"/>
      <c r="N113" s="43"/>
      <c r="O113" s="41"/>
      <c r="P113" s="42"/>
      <c r="Q113" s="43"/>
    </row>
    <row r="114" spans="1:17" x14ac:dyDescent="0.25">
      <c r="A114" s="364"/>
      <c r="B114" s="367"/>
      <c r="C114" s="27" t="s">
        <v>218</v>
      </c>
      <c r="D114" s="44">
        <v>195</v>
      </c>
      <c r="E114" s="43"/>
      <c r="F114" s="41"/>
      <c r="G114" s="42"/>
      <c r="H114" s="43"/>
      <c r="I114" s="41"/>
      <c r="J114" s="42"/>
      <c r="K114" s="43"/>
      <c r="L114" s="41"/>
      <c r="M114" s="42"/>
      <c r="N114" s="43"/>
      <c r="O114" s="41"/>
      <c r="P114" s="42"/>
      <c r="Q114" s="43"/>
    </row>
    <row r="115" spans="1:17" x14ac:dyDescent="0.25">
      <c r="A115" s="364"/>
      <c r="B115" s="367"/>
      <c r="C115" s="27" t="s">
        <v>216</v>
      </c>
      <c r="D115" s="44">
        <v>142</v>
      </c>
      <c r="E115" s="43"/>
      <c r="F115" s="41"/>
      <c r="G115" s="42"/>
      <c r="H115" s="43"/>
      <c r="I115" s="41"/>
      <c r="J115" s="42"/>
      <c r="K115" s="43"/>
      <c r="L115" s="41"/>
      <c r="M115" s="42"/>
      <c r="N115" s="43"/>
      <c r="O115" s="41"/>
      <c r="P115" s="42"/>
      <c r="Q115" s="43"/>
    </row>
    <row r="116" spans="1:17" x14ac:dyDescent="0.25">
      <c r="A116" s="364"/>
      <c r="B116" s="367"/>
      <c r="C116" s="27" t="s">
        <v>219</v>
      </c>
      <c r="D116" s="44">
        <v>-41</v>
      </c>
      <c r="E116" s="43"/>
      <c r="F116" s="41"/>
      <c r="G116" s="42"/>
      <c r="H116" s="43"/>
      <c r="I116" s="41"/>
      <c r="J116" s="42"/>
      <c r="K116" s="43"/>
      <c r="L116" s="41"/>
      <c r="M116" s="42"/>
      <c r="N116" s="43"/>
      <c r="O116" s="41"/>
      <c r="P116" s="42"/>
      <c r="Q116" s="43"/>
    </row>
    <row r="117" spans="1:17" x14ac:dyDescent="0.25">
      <c r="A117" s="364"/>
      <c r="B117" s="367"/>
      <c r="C117" s="41"/>
      <c r="D117" s="42"/>
      <c r="E117" s="43"/>
      <c r="F117" s="41"/>
      <c r="G117" s="42"/>
      <c r="H117" s="43"/>
      <c r="I117" s="41"/>
      <c r="J117" s="42"/>
      <c r="K117" s="43"/>
      <c r="L117" s="41"/>
      <c r="M117" s="42"/>
      <c r="N117" s="43"/>
      <c r="O117" s="41"/>
      <c r="P117" s="42"/>
      <c r="Q117" s="43"/>
    </row>
    <row r="118" spans="1:17" x14ac:dyDescent="0.25">
      <c r="A118" s="364"/>
      <c r="B118" s="367"/>
      <c r="C118" s="41"/>
      <c r="D118" s="42"/>
      <c r="E118" s="43"/>
      <c r="F118" s="41"/>
      <c r="G118" s="42"/>
      <c r="H118" s="43"/>
      <c r="I118" s="41"/>
      <c r="J118" s="42"/>
      <c r="K118" s="43"/>
      <c r="L118" s="41"/>
      <c r="M118" s="42"/>
      <c r="N118" s="43"/>
      <c r="O118" s="41"/>
      <c r="P118" s="42"/>
      <c r="Q118" s="43"/>
    </row>
    <row r="119" spans="1:17" x14ac:dyDescent="0.25">
      <c r="A119" s="364"/>
      <c r="B119" s="367"/>
      <c r="C119" s="41"/>
      <c r="D119" s="42"/>
      <c r="E119" s="43"/>
      <c r="F119" s="41"/>
      <c r="G119" s="42"/>
      <c r="H119" s="43"/>
      <c r="I119" s="41"/>
      <c r="J119" s="42"/>
      <c r="K119" s="43"/>
      <c r="L119" s="41"/>
      <c r="M119" s="42"/>
      <c r="N119" s="43"/>
      <c r="O119" s="41"/>
      <c r="P119" s="42"/>
      <c r="Q119" s="43"/>
    </row>
    <row r="120" spans="1:17" x14ac:dyDescent="0.25">
      <c r="A120" s="364"/>
      <c r="B120" s="367"/>
      <c r="C120" s="41"/>
      <c r="D120" s="42"/>
      <c r="E120" s="43"/>
      <c r="F120" s="41"/>
      <c r="G120" s="42"/>
      <c r="H120" s="43"/>
      <c r="I120" s="41"/>
      <c r="J120" s="42"/>
      <c r="K120" s="43"/>
      <c r="L120" s="41"/>
      <c r="M120" s="42"/>
      <c r="N120" s="43"/>
      <c r="O120" s="41"/>
      <c r="P120" s="42"/>
      <c r="Q120" s="43"/>
    </row>
    <row r="121" spans="1:17" ht="15" x14ac:dyDescent="0.4">
      <c r="A121" s="364"/>
      <c r="B121" s="367"/>
      <c r="C121" s="219" t="s">
        <v>235</v>
      </c>
      <c r="D121" s="220"/>
      <c r="E121" s="221" t="s">
        <v>19</v>
      </c>
      <c r="F121" s="219" t="s">
        <v>235</v>
      </c>
      <c r="G121" s="220"/>
      <c r="H121" s="221" t="s">
        <v>19</v>
      </c>
      <c r="I121" s="219" t="s">
        <v>235</v>
      </c>
      <c r="J121" s="220"/>
      <c r="K121" s="221" t="s">
        <v>19</v>
      </c>
      <c r="L121" s="219" t="s">
        <v>235</v>
      </c>
      <c r="M121" s="220"/>
      <c r="N121" s="221" t="s">
        <v>19</v>
      </c>
      <c r="O121" s="219" t="s">
        <v>235</v>
      </c>
      <c r="P121" s="220"/>
      <c r="Q121" s="221" t="s">
        <v>19</v>
      </c>
    </row>
    <row r="122" spans="1:17" x14ac:dyDescent="0.25">
      <c r="A122" s="365"/>
      <c r="B122" s="368"/>
      <c r="C122" s="222">
        <v>30471</v>
      </c>
      <c r="D122" s="222">
        <f>SUM(D113:D121)</f>
        <v>710</v>
      </c>
      <c r="E122" s="222">
        <f>IF(C122-D122&gt;0,C122-D122,)</f>
        <v>29761</v>
      </c>
      <c r="F122" s="222">
        <v>32227</v>
      </c>
      <c r="G122" s="222">
        <f>SUM(G113:G121)</f>
        <v>0</v>
      </c>
      <c r="H122" s="222">
        <f>IF(F122-G122&gt;0,F122-G122,)</f>
        <v>32227</v>
      </c>
      <c r="I122" s="222">
        <v>33006</v>
      </c>
      <c r="J122" s="222">
        <f>SUM(J113:J121)</f>
        <v>0</v>
      </c>
      <c r="K122" s="222">
        <f>IF(I122-J122&gt;0,I122-J122,)</f>
        <v>33006</v>
      </c>
      <c r="L122" s="222">
        <v>40262</v>
      </c>
      <c r="M122" s="222">
        <f>SUM(M113:M121)</f>
        <v>0</v>
      </c>
      <c r="N122" s="222">
        <f>IF(L122-M122&gt;0,L122-M122,)</f>
        <v>40262</v>
      </c>
      <c r="O122" s="222">
        <f>L122+I122+F122+C122</f>
        <v>135966</v>
      </c>
      <c r="P122" s="222">
        <f>M122+J122+G122+D122</f>
        <v>710</v>
      </c>
      <c r="Q122" s="222">
        <f>IF(O122-P122&gt;0,O122-P122,)</f>
        <v>135256</v>
      </c>
    </row>
    <row r="123" spans="1:17" ht="15" x14ac:dyDescent="0.4">
      <c r="A123" s="363"/>
      <c r="B123" s="366" t="s">
        <v>5</v>
      </c>
      <c r="C123" s="215" t="s">
        <v>233</v>
      </c>
      <c r="D123" s="216" t="s">
        <v>234</v>
      </c>
      <c r="E123" s="217"/>
      <c r="F123" s="215" t="s">
        <v>233</v>
      </c>
      <c r="G123" s="216" t="s">
        <v>234</v>
      </c>
      <c r="H123" s="217"/>
      <c r="I123" s="215" t="s">
        <v>233</v>
      </c>
      <c r="J123" s="216" t="s">
        <v>234</v>
      </c>
      <c r="K123" s="217"/>
      <c r="L123" s="215" t="s">
        <v>233</v>
      </c>
      <c r="M123" s="216" t="s">
        <v>234</v>
      </c>
      <c r="N123" s="217"/>
      <c r="O123" s="215"/>
      <c r="P123" s="216"/>
      <c r="Q123" s="217"/>
    </row>
    <row r="124" spans="1:17" x14ac:dyDescent="0.25">
      <c r="A124" s="364"/>
      <c r="B124" s="367"/>
      <c r="C124" s="41"/>
      <c r="D124" s="42"/>
      <c r="E124" s="43"/>
      <c r="F124" s="41"/>
      <c r="G124" s="42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364"/>
      <c r="B125" s="367"/>
      <c r="C125" s="41"/>
      <c r="D125" s="42"/>
      <c r="E125" s="43"/>
      <c r="F125" s="41"/>
      <c r="G125" s="42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364"/>
      <c r="B126" s="367"/>
      <c r="C126" s="41"/>
      <c r="D126" s="42"/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364"/>
      <c r="B127" s="367"/>
      <c r="C127" s="41"/>
      <c r="D127" s="42"/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364"/>
      <c r="B128" s="367"/>
      <c r="C128" s="41"/>
      <c r="D128" s="42"/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5">
      <c r="A129" s="364"/>
      <c r="B129" s="367"/>
      <c r="C129" s="41"/>
      <c r="D129" s="42"/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5">
      <c r="A130" s="364"/>
      <c r="B130" s="367"/>
      <c r="C130" s="41"/>
      <c r="D130" s="42"/>
      <c r="E130" s="43"/>
      <c r="F130" s="41"/>
      <c r="G130" s="42"/>
      <c r="H130" s="43"/>
      <c r="I130" s="41"/>
      <c r="J130" s="42"/>
      <c r="K130" s="43"/>
      <c r="L130" s="41"/>
      <c r="M130" s="42"/>
      <c r="N130" s="43"/>
      <c r="O130" s="41"/>
      <c r="P130" s="42"/>
      <c r="Q130" s="43"/>
    </row>
    <row r="131" spans="1:17" x14ac:dyDescent="0.25">
      <c r="A131" s="364"/>
      <c r="B131" s="367"/>
      <c r="C131" s="41"/>
      <c r="D131" s="42"/>
      <c r="E131" s="43"/>
      <c r="F131" s="41"/>
      <c r="G131" s="42"/>
      <c r="H131" s="43"/>
      <c r="I131" s="41"/>
      <c r="J131" s="42"/>
      <c r="K131" s="43"/>
      <c r="L131" s="41"/>
      <c r="M131" s="42"/>
      <c r="N131" s="43"/>
      <c r="O131" s="41"/>
      <c r="P131" s="42"/>
      <c r="Q131" s="43"/>
    </row>
    <row r="132" spans="1:17" ht="15" x14ac:dyDescent="0.4">
      <c r="A132" s="364"/>
      <c r="B132" s="367"/>
      <c r="C132" s="219" t="s">
        <v>235</v>
      </c>
      <c r="D132" s="220"/>
      <c r="E132" s="221" t="s">
        <v>19</v>
      </c>
      <c r="F132" s="219" t="s">
        <v>235</v>
      </c>
      <c r="G132" s="220"/>
      <c r="H132" s="221" t="s">
        <v>19</v>
      </c>
      <c r="I132" s="219" t="s">
        <v>235</v>
      </c>
      <c r="J132" s="220"/>
      <c r="K132" s="221" t="s">
        <v>19</v>
      </c>
      <c r="L132" s="219" t="s">
        <v>235</v>
      </c>
      <c r="M132" s="220"/>
      <c r="N132" s="221" t="s">
        <v>19</v>
      </c>
      <c r="O132" s="219" t="s">
        <v>235</v>
      </c>
      <c r="P132" s="220"/>
      <c r="Q132" s="221" t="s">
        <v>19</v>
      </c>
    </row>
    <row r="133" spans="1:17" x14ac:dyDescent="0.25">
      <c r="A133" s="365"/>
      <c r="B133" s="368"/>
      <c r="C133" s="222">
        <v>12747</v>
      </c>
      <c r="D133" s="222">
        <f>SUM(D124:D132)</f>
        <v>0</v>
      </c>
      <c r="E133" s="222">
        <f>IF(C133-D133&gt;0,C133-D133,)</f>
        <v>12747</v>
      </c>
      <c r="F133" s="222">
        <v>12747</v>
      </c>
      <c r="G133" s="222">
        <f>SUM(G124:G132)</f>
        <v>0</v>
      </c>
      <c r="H133" s="222">
        <f>IF(F133-G133&gt;0,F133-G133,)</f>
        <v>12747</v>
      </c>
      <c r="I133" s="222">
        <v>12747</v>
      </c>
      <c r="J133" s="222">
        <f>SUM(J124:J132)</f>
        <v>0</v>
      </c>
      <c r="K133" s="222">
        <f>IF(I133-J133&gt;0,I133-J133,)</f>
        <v>12747</v>
      </c>
      <c r="L133" s="222">
        <v>20493</v>
      </c>
      <c r="M133" s="222">
        <f>SUM(M124:M132)</f>
        <v>0</v>
      </c>
      <c r="N133" s="222">
        <f>IF(L133-M133&gt;0,L133-M133,)</f>
        <v>20493</v>
      </c>
      <c r="O133" s="222">
        <f>L133+I133+F133+C133</f>
        <v>58734</v>
      </c>
      <c r="P133" s="222">
        <f>M133+J133+G133+D133</f>
        <v>0</v>
      </c>
      <c r="Q133" s="222">
        <f>IF(O133-P133&gt;0,O133-P133,)</f>
        <v>58734</v>
      </c>
    </row>
    <row r="134" spans="1:17" ht="15" x14ac:dyDescent="0.4">
      <c r="A134" s="363"/>
      <c r="B134" s="366" t="s">
        <v>114</v>
      </c>
      <c r="C134" s="215" t="s">
        <v>233</v>
      </c>
      <c r="D134" s="216" t="s">
        <v>234</v>
      </c>
      <c r="E134" s="217"/>
      <c r="F134" s="215" t="s">
        <v>233</v>
      </c>
      <c r="G134" s="216" t="s">
        <v>234</v>
      </c>
      <c r="H134" s="217"/>
      <c r="I134" s="215" t="s">
        <v>233</v>
      </c>
      <c r="J134" s="216" t="s">
        <v>234</v>
      </c>
      <c r="K134" s="217"/>
      <c r="L134" s="215" t="s">
        <v>233</v>
      </c>
      <c r="M134" s="216" t="s">
        <v>234</v>
      </c>
      <c r="N134" s="217"/>
      <c r="O134" s="215"/>
      <c r="P134" s="216"/>
      <c r="Q134" s="217"/>
    </row>
    <row r="135" spans="1:17" x14ac:dyDescent="0.25">
      <c r="A135" s="364"/>
      <c r="B135" s="367"/>
      <c r="C135" s="41" t="s">
        <v>351</v>
      </c>
      <c r="D135" s="42">
        <v>1365</v>
      </c>
      <c r="E135" s="43"/>
      <c r="F135" s="41"/>
      <c r="G135" s="42"/>
      <c r="H135" s="43"/>
      <c r="I135" s="41"/>
      <c r="J135" s="42"/>
      <c r="K135" s="43"/>
      <c r="L135" s="41"/>
      <c r="M135" s="42"/>
      <c r="N135" s="43"/>
      <c r="O135" s="41"/>
      <c r="P135" s="42"/>
      <c r="Q135" s="43"/>
    </row>
    <row r="136" spans="1:17" x14ac:dyDescent="0.25">
      <c r="A136" s="364"/>
      <c r="B136" s="367"/>
      <c r="C136" s="41"/>
      <c r="D136" s="42"/>
      <c r="E136" s="43"/>
      <c r="F136" s="41"/>
      <c r="G136" s="42"/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364"/>
      <c r="B137" s="367"/>
      <c r="C137" s="41"/>
      <c r="D137" s="42"/>
      <c r="E137" s="43"/>
      <c r="F137" s="41"/>
      <c r="G137" s="42"/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364"/>
      <c r="B138" s="367"/>
      <c r="C138" s="41"/>
      <c r="D138" s="42"/>
      <c r="E138" s="43"/>
      <c r="F138" s="41"/>
      <c r="G138" s="42"/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364"/>
      <c r="B139" s="367"/>
      <c r="C139" s="41"/>
      <c r="D139" s="42"/>
      <c r="E139" s="43"/>
      <c r="F139" s="41"/>
      <c r="G139" s="42"/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5">
      <c r="A140" s="364"/>
      <c r="B140" s="367"/>
      <c r="C140" s="41"/>
      <c r="D140" s="42"/>
      <c r="E140" s="43"/>
      <c r="F140" s="41"/>
      <c r="G140" s="42"/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5">
      <c r="A141" s="364"/>
      <c r="B141" s="367"/>
      <c r="C141" s="41"/>
      <c r="D141" s="42"/>
      <c r="E141" s="43"/>
      <c r="F141" s="41"/>
      <c r="G141" s="42"/>
      <c r="H141" s="43"/>
      <c r="I141" s="41"/>
      <c r="J141" s="42"/>
      <c r="K141" s="43"/>
      <c r="L141" s="41"/>
      <c r="M141" s="42"/>
      <c r="N141" s="43"/>
      <c r="O141" s="41"/>
      <c r="P141" s="42"/>
      <c r="Q141" s="43"/>
    </row>
    <row r="142" spans="1:17" x14ac:dyDescent="0.25">
      <c r="A142" s="364"/>
      <c r="B142" s="367"/>
      <c r="C142" s="41"/>
      <c r="D142" s="42"/>
      <c r="E142" s="43"/>
      <c r="F142" s="41"/>
      <c r="G142" s="42"/>
      <c r="H142" s="43"/>
      <c r="I142" s="41"/>
      <c r="J142" s="42"/>
      <c r="K142" s="43"/>
      <c r="L142" s="41"/>
      <c r="M142" s="42"/>
      <c r="N142" s="43"/>
      <c r="O142" s="41"/>
      <c r="P142" s="42"/>
      <c r="Q142" s="43"/>
    </row>
    <row r="143" spans="1:17" ht="15" x14ac:dyDescent="0.4">
      <c r="A143" s="364"/>
      <c r="B143" s="367"/>
      <c r="C143" s="219" t="s">
        <v>235</v>
      </c>
      <c r="D143" s="220"/>
      <c r="E143" s="221" t="s">
        <v>19</v>
      </c>
      <c r="F143" s="219" t="s">
        <v>235</v>
      </c>
      <c r="G143" s="220"/>
      <c r="H143" s="221" t="s">
        <v>19</v>
      </c>
      <c r="I143" s="219" t="s">
        <v>235</v>
      </c>
      <c r="J143" s="220"/>
      <c r="K143" s="221" t="s">
        <v>19</v>
      </c>
      <c r="L143" s="219" t="s">
        <v>235</v>
      </c>
      <c r="M143" s="220"/>
      <c r="N143" s="221" t="s">
        <v>19</v>
      </c>
      <c r="O143" s="219" t="s">
        <v>235</v>
      </c>
      <c r="P143" s="220"/>
      <c r="Q143" s="221" t="s">
        <v>19</v>
      </c>
    </row>
    <row r="144" spans="1:17" x14ac:dyDescent="0.25">
      <c r="A144" s="365"/>
      <c r="B144" s="368"/>
      <c r="C144" s="222">
        <v>23112</v>
      </c>
      <c r="D144" s="222">
        <f>SUM(D135:D143)</f>
        <v>1365</v>
      </c>
      <c r="E144" s="222">
        <f>IF(C144-D144&gt;0,C144-D144,)</f>
        <v>21747</v>
      </c>
      <c r="F144" s="222">
        <v>23112</v>
      </c>
      <c r="G144" s="222">
        <f>SUM(G135:G143)</f>
        <v>0</v>
      </c>
      <c r="H144" s="222">
        <f>IF(F144-G144&gt;0,F144-G144,)</f>
        <v>23112</v>
      </c>
      <c r="I144" s="222">
        <v>23112</v>
      </c>
      <c r="J144" s="222">
        <f>SUM(J135:J143)</f>
        <v>0</v>
      </c>
      <c r="K144" s="222">
        <f>IF(I144-J144&gt;0,I144-J144,)</f>
        <v>23112</v>
      </c>
      <c r="L144" s="222">
        <f>23112*1.35</f>
        <v>31201.200000000001</v>
      </c>
      <c r="M144" s="222">
        <f>SUM(M135:M143)</f>
        <v>0</v>
      </c>
      <c r="N144" s="222">
        <f>IF(L144-M144&gt;0,L144-M144,)</f>
        <v>31201.200000000001</v>
      </c>
      <c r="O144" s="222">
        <f>L144+I144+F144+C144</f>
        <v>100537.2</v>
      </c>
      <c r="P144" s="222">
        <f>M144+J144+G144+D144</f>
        <v>1365</v>
      </c>
      <c r="Q144" s="222">
        <f>IF(O144-P144&gt;0,O144-P144,)</f>
        <v>99172.2</v>
      </c>
    </row>
    <row r="145" spans="1:17" s="225" customFormat="1" ht="6.75" customHeight="1" x14ac:dyDescent="0.4">
      <c r="A145" s="223"/>
      <c r="B145" s="223"/>
      <c r="C145" s="220"/>
      <c r="D145" s="220"/>
      <c r="E145" s="224"/>
      <c r="F145" s="220"/>
      <c r="G145" s="220"/>
      <c r="H145" s="220"/>
      <c r="I145" s="224"/>
      <c r="J145" s="224"/>
      <c r="K145" s="224"/>
      <c r="L145" s="220"/>
      <c r="M145" s="220"/>
      <c r="N145" s="220"/>
      <c r="O145" s="224"/>
      <c r="P145" s="224"/>
      <c r="Q145" s="224"/>
    </row>
    <row r="146" spans="1:17" x14ac:dyDescent="0.25">
      <c r="A146" s="226"/>
      <c r="B146" s="218"/>
      <c r="C146" s="222">
        <f>C144+C133+C122+C111+C100+C89+C78+C71+C60+C49+C38+C27+C16</f>
        <v>187955</v>
      </c>
      <c r="D146" s="222">
        <f>D144+D133+D122+D111+D100+D89+D78+D71+D60+D49+D38+D27+D16</f>
        <v>11711</v>
      </c>
      <c r="E146" s="222">
        <f>IF(C146-D146&gt;0,C146-D146,)</f>
        <v>176244</v>
      </c>
      <c r="F146" s="222">
        <f>F144+F133+F122+F111+F100+F89+F78+F71+F60+F49+F38+F27+F16</f>
        <v>194070</v>
      </c>
      <c r="G146" s="222">
        <f>G144+G133+G122+G111+G100+G89+G78+G71+G60+G49+G38+G27+G16</f>
        <v>0</v>
      </c>
      <c r="H146" s="222">
        <f>IF(F146-G146&gt;0,F146-G146,)</f>
        <v>194070</v>
      </c>
      <c r="I146" s="222">
        <f>I144+I133+I122+I111+I100+I89+I78+I71+I60+I49+I38+I27+I16</f>
        <v>223144</v>
      </c>
      <c r="J146" s="222">
        <f>J144+J133+J122+J111+J100+J89+J78+J71+J60+J49+J38+J27+J16</f>
        <v>0</v>
      </c>
      <c r="K146" s="222">
        <f>IF(I146-J146&gt;0,I146-J146,)</f>
        <v>223144</v>
      </c>
      <c r="L146" s="222">
        <f>L144+L133+L122+L111+L100+L89+L78+L71+L60+L49+L38+L27+L16</f>
        <v>235208.75</v>
      </c>
      <c r="M146" s="222">
        <f>M144+M133+M122+M111+M100+M89+M78+M71+M60+M49+M38+M27+M16</f>
        <v>0</v>
      </c>
      <c r="N146" s="222">
        <f>IF(L146-M146&gt;0,L146-M146,)</f>
        <v>235208.75</v>
      </c>
      <c r="O146" s="222">
        <f>L146+I146+F146+C146</f>
        <v>840377.75</v>
      </c>
      <c r="P146" s="222">
        <f>M146+J146+G146+D146</f>
        <v>11711</v>
      </c>
      <c r="Q146" s="222">
        <f>IF(O146-P146&gt;0,O146-P146,)</f>
        <v>828666.75</v>
      </c>
    </row>
  </sheetData>
  <mergeCells count="32">
    <mergeCell ref="O5:Q5"/>
    <mergeCell ref="L3:Q3"/>
    <mergeCell ref="B72:B78"/>
    <mergeCell ref="A72:A78"/>
    <mergeCell ref="C5:E5"/>
    <mergeCell ref="F5:H5"/>
    <mergeCell ref="I5:K5"/>
    <mergeCell ref="L5:N5"/>
    <mergeCell ref="A6:A16"/>
    <mergeCell ref="B6:B16"/>
    <mergeCell ref="A39:A49"/>
    <mergeCell ref="B39:B49"/>
    <mergeCell ref="A50:A60"/>
    <mergeCell ref="B50:B60"/>
    <mergeCell ref="A17:A27"/>
    <mergeCell ref="B17:B27"/>
    <mergeCell ref="A28:A38"/>
    <mergeCell ref="B28:B38"/>
    <mergeCell ref="A61:A71"/>
    <mergeCell ref="B61:B71"/>
    <mergeCell ref="B101:B111"/>
    <mergeCell ref="A79:A89"/>
    <mergeCell ref="B79:B89"/>
    <mergeCell ref="A90:A100"/>
    <mergeCell ref="B90:B100"/>
    <mergeCell ref="A101:A111"/>
    <mergeCell ref="A134:A144"/>
    <mergeCell ref="B134:B144"/>
    <mergeCell ref="A112:A122"/>
    <mergeCell ref="B112:B122"/>
    <mergeCell ref="A123:A133"/>
    <mergeCell ref="B123:B133"/>
  </mergeCells>
  <pageMargins left="0.33" right="0.55000000000000004" top="0.48" bottom="0.5" header="0.5" footer="0.5"/>
  <pageSetup scale="66" fitToHeight="2" orientation="portrait" r:id="rId1"/>
  <headerFooter alignWithMargins="0"/>
  <rowBreaks count="1" manualBreakCount="1">
    <brk id="78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152"/>
  <sheetViews>
    <sheetView workbookViewId="0"/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4" width="10.7109375" bestFit="1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  <c r="Q2" t="s">
        <v>354</v>
      </c>
    </row>
    <row r="3" spans="1:37" ht="15" x14ac:dyDescent="0.25">
      <c r="A3" s="24">
        <v>36678</v>
      </c>
      <c r="B3" s="395" t="s">
        <v>163</v>
      </c>
      <c r="C3" s="395"/>
      <c r="D3" s="395"/>
      <c r="E3" s="395"/>
      <c r="F3" s="395"/>
      <c r="G3" s="395"/>
      <c r="H3" s="395"/>
      <c r="I3" s="395"/>
      <c r="J3" s="395"/>
      <c r="K3" s="395"/>
    </row>
    <row r="4" spans="1:37" x14ac:dyDescent="0.2">
      <c r="A4" s="23" t="s">
        <v>47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37" ht="3" customHeight="1" x14ac:dyDescent="0.2"/>
    <row r="6" spans="1:37" x14ac:dyDescent="0.2">
      <c r="A6" s="23" t="s">
        <v>125</v>
      </c>
      <c r="B6" s="6"/>
      <c r="D6" s="391" t="s">
        <v>51</v>
      </c>
      <c r="E6" s="392"/>
      <c r="F6" s="393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88" t="s">
        <v>70</v>
      </c>
      <c r="I7" s="389"/>
      <c r="J7" s="389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274</v>
      </c>
      <c r="B9" s="7" t="s">
        <v>3</v>
      </c>
      <c r="D9" s="62" t="e">
        <f ca="1">E9</f>
        <v>#NAME?</v>
      </c>
      <c r="E9" s="63" t="e">
        <f ca="1">ROUND(_xll.HPVAL($A9,$A$1,$A$2,$A$3,$A$4,$A$6)/1000,0)</f>
        <v>#NAME?</v>
      </c>
      <c r="F9" s="122" t="e">
        <f ca="1">E9-D9</f>
        <v>#NAME?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 t="e">
        <f ca="1">E10</f>
        <v>#NAME?</v>
      </c>
      <c r="E10" s="12" t="e">
        <f ca="1">ROUND(_xll.HPVAL($A10,$A$1,$A$2,$A$3,$A$4,$A$6)/1000,0)</f>
        <v>#NAME?</v>
      </c>
      <c r="F10" s="123" t="e">
        <f t="shared" ref="F10:F17" ca="1" si="0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 t="e">
        <f t="shared" ref="D11:D16" ca="1" si="1">E11</f>
        <v>#NAME?</v>
      </c>
      <c r="E11" s="12" t="e">
        <f ca="1">ROUND(_xll.HPVAL($A11,$A$1,$A$2,$A$3,$A$4,$A$6)*0.8577/1000,0)</f>
        <v>#NAME?</v>
      </c>
      <c r="F11" s="123" t="e">
        <f t="shared" ca="1" si="0"/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 t="e">
        <f t="shared" ca="1" si="1"/>
        <v>#NAME?</v>
      </c>
      <c r="E12" s="12" t="e">
        <f ca="1">ROUND(_xll.HPVAL($A12,$A$1,$A$2,$A$3,$A$4,$A$6)/1000,0)-E11</f>
        <v>#NAME?</v>
      </c>
      <c r="F12" s="123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427</v>
      </c>
      <c r="B13" s="7" t="s">
        <v>424</v>
      </c>
      <c r="C13" s="72"/>
      <c r="D13" s="20" t="e">
        <f t="shared" ca="1" si="1"/>
        <v>#NAME?</v>
      </c>
      <c r="E13" s="12" t="e">
        <f ca="1">ROUND(_xll.HPVAL($A13,$A$1,$A$2,$A$3,$A$4,$A$6)/1000,0)</f>
        <v>#NAME?</v>
      </c>
      <c r="F13" s="123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 t="e">
        <f t="shared" ca="1" si="1"/>
        <v>#NAME?</v>
      </c>
      <c r="E14" s="12" t="e">
        <f ca="1">ROUND(_xll.HPVAL($A14,$A$1,$A$2,$A$3,$A$4,$A$6)/1000,0)</f>
        <v>#NAME?</v>
      </c>
      <c r="F14" s="123" t="e">
        <f t="shared" ca="1" si="0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155</v>
      </c>
      <c r="D15" s="20" t="e">
        <f t="shared" ca="1" si="1"/>
        <v>#NAME?</v>
      </c>
      <c r="E15" s="12" t="e">
        <f ca="1">ROUND(_xll.HPVAL($A15,$A$1,$A$2,$A$3,$A$4,$A$6)/1000,0)</f>
        <v>#NAME?</v>
      </c>
      <c r="F15" s="123" t="e">
        <f t="shared" ca="1" si="0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 t="e">
        <f t="shared" ca="1" si="1"/>
        <v>#NAME?</v>
      </c>
      <c r="E16" s="12" t="e">
        <f ca="1">ROUND(_xll.HPVAL($A16,$A$1,$A$2,$A$3,$A$4,$A$6)/1000,0)</f>
        <v>#NAME?</v>
      </c>
      <c r="F16" s="12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156</v>
      </c>
      <c r="D17" s="20">
        <v>1364</v>
      </c>
      <c r="E17" s="12" t="e">
        <f ca="1">ROUND(_xll.HPVAL($A17,$A$1,$A$2,$A$3,$A$4,$A$6)/1000,0)</f>
        <v>#NAME?</v>
      </c>
      <c r="F17" s="12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 t="e">
        <f t="shared" ref="D20:D25" ca="1" si="2">E20</f>
        <v>#NAME?</v>
      </c>
      <c r="E20" s="12" t="e">
        <f ca="1">ROUND(_xll.HPVAL($A20,$A$1,$A$2,$A$3,$A$4,$A$6)/1000,0)</f>
        <v>#NAME?</v>
      </c>
      <c r="F20" s="123" t="e">
        <f t="shared" ref="F20:F25" ca="1" si="3">E20-D20</f>
        <v>#NAME?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 t="e">
        <f t="shared" ca="1" si="2"/>
        <v>#NAME?</v>
      </c>
      <c r="E21" s="12" t="e">
        <f ca="1">ROUND(_xll.HPVAL($A21,$A$1,$A$2,$A$3,$A$4,$A$6)/1000,0)</f>
        <v>#NAME?</v>
      </c>
      <c r="F21" s="123" t="e">
        <f t="shared" ca="1" si="3"/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272</v>
      </c>
      <c r="B22" s="7" t="s">
        <v>271</v>
      </c>
      <c r="D22" s="20" t="e">
        <f t="shared" ca="1" si="2"/>
        <v>#NAME?</v>
      </c>
      <c r="E22" s="12" t="e">
        <f ca="1">ROUND(_xll.HPVAL($A22,$A$1,$A$2,$A$3,$A$4,$A$6)/1000,0)</f>
        <v>#NAME?</v>
      </c>
      <c r="F22" s="123" t="e">
        <f t="shared" ca="1" si="3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103</v>
      </c>
      <c r="B23" s="7" t="s">
        <v>104</v>
      </c>
      <c r="D23" s="20" t="e">
        <f t="shared" ca="1" si="2"/>
        <v>#NAME?</v>
      </c>
      <c r="E23" s="12" t="e">
        <f ca="1">ROUND(_xll.HPVAL($A23,$A$1,$A$2,$A$3,$A$4,$A$6)/1000,0)</f>
        <v>#NAME?</v>
      </c>
      <c r="F23" s="123" t="e">
        <f t="shared" ca="1" si="3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A24" s="23" t="s">
        <v>426</v>
      </c>
      <c r="B24" s="7" t="s">
        <v>425</v>
      </c>
      <c r="D24" s="20" t="e">
        <f t="shared" ca="1" si="2"/>
        <v>#NAME?</v>
      </c>
      <c r="E24" s="12" t="e">
        <f ca="1">ROUND(_xll.HPVAL($A24,$A$1,$A$2,$A$3,$A$4,$A$6)/1000,0)</f>
        <v>#NAME?</v>
      </c>
      <c r="F24" s="123" t="e">
        <f t="shared" ca="1" si="3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36</v>
      </c>
      <c r="B25" s="7" t="s">
        <v>0</v>
      </c>
      <c r="D25" s="20" t="e">
        <f t="shared" ca="1" si="2"/>
        <v>#NAME?</v>
      </c>
      <c r="E25" s="12" t="e">
        <f ca="1">ROUND(_xll.HPVAL($A25,$A$1,$A$2,$A$3,$A$4,$A$6)/1000,0)</f>
        <v>#NAME?</v>
      </c>
      <c r="F25" s="123" t="e">
        <f t="shared" ca="1" si="3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B26" s="115" t="s">
        <v>1</v>
      </c>
      <c r="C26" s="114"/>
      <c r="D26" s="120" t="e">
        <f ca="1">SUM(D20:D25)</f>
        <v>#NAME?</v>
      </c>
      <c r="E26" s="121" t="e">
        <f ca="1">SUM(E20:E25)</f>
        <v>#NAME?</v>
      </c>
      <c r="F26" s="113" t="e">
        <f ca="1">SUM(F20:F25)</f>
        <v>#NAME?</v>
      </c>
      <c r="G26" s="116"/>
      <c r="H26" s="117"/>
      <c r="I26" s="118"/>
      <c r="J26" s="118"/>
      <c r="K26" s="1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" customHeight="1" x14ac:dyDescent="0.2">
      <c r="B27" s="7"/>
      <c r="D27" s="20"/>
      <c r="E27" s="12"/>
      <c r="F27" s="123"/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37</v>
      </c>
      <c r="B28" s="7" t="s">
        <v>67</v>
      </c>
      <c r="D28" s="20">
        <f>E28</f>
        <v>1001</v>
      </c>
      <c r="E28" s="12">
        <v>1001</v>
      </c>
      <c r="F28" s="123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334" t="s">
        <v>41</v>
      </c>
      <c r="B29" s="29" t="s">
        <v>415</v>
      </c>
      <c r="C29" s="72"/>
      <c r="D29" s="20">
        <v>4961</v>
      </c>
      <c r="E29" s="12" t="e">
        <f ca="1">ROUND(_xll.HPVAL($A29,$A$1,$A$2,$A$3,$A$4,$A$6)/1000,0)</f>
        <v>#NAME?</v>
      </c>
      <c r="F29" s="123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334" t="s">
        <v>42</v>
      </c>
      <c r="B30" s="29" t="s">
        <v>416</v>
      </c>
      <c r="C30" s="72"/>
      <c r="D30" s="20" t="e">
        <f ca="1">E30</f>
        <v>#NAME?</v>
      </c>
      <c r="E30" s="12" t="e">
        <f ca="1">ROUND(_xll.HPVAL($A30,$A$1,$A$2,$A$3,$A$4,$A$6)/1000,0)</f>
        <v>#NAME?</v>
      </c>
      <c r="F30" s="123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86</v>
      </c>
      <c r="C31" s="114"/>
      <c r="D31" s="120" t="e">
        <f ca="1">SUM(D28:D30)</f>
        <v>#NAME?</v>
      </c>
      <c r="E31" s="121" t="e">
        <f ca="1">SUM(E28:E30)</f>
        <v>#NAME?</v>
      </c>
      <c r="F31" s="113" t="e">
        <f ca="1">SUM(F28:F30)</f>
        <v>#NAME?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40</v>
      </c>
      <c r="B33" s="7" t="s">
        <v>9</v>
      </c>
      <c r="D33" s="20">
        <v>838</v>
      </c>
      <c r="E33" s="12" t="e">
        <f ca="1">ROUND(_xll.HPVAL($A33,$A$1,$A$2,$A$3,$A$4,$A$6)/1000,0)</f>
        <v>#NAME?</v>
      </c>
      <c r="F33" s="123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39</v>
      </c>
      <c r="B34" s="7" t="s">
        <v>440</v>
      </c>
      <c r="D34" s="20" t="e">
        <f ca="1">E34</f>
        <v>#NAME?</v>
      </c>
      <c r="E34" s="12" t="e">
        <f ca="1">ROUND(_xll.HPVAL($A34,$A$1,$A$2,$A$3,$A$4,$A$6)/1000,0)</f>
        <v>#NAME?</v>
      </c>
      <c r="F34" s="123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153</v>
      </c>
      <c r="B35" s="7" t="s">
        <v>180</v>
      </c>
      <c r="D35" s="20" t="e">
        <f ca="1">E35</f>
        <v>#NAME?</v>
      </c>
      <c r="E35" s="12" t="e">
        <f ca="1">ROUND(_xll.HPVAL($A35,$A$1,$A$2,$A$3,$A$4,$A$6)/1000,0)</f>
        <v>#NAME?</v>
      </c>
      <c r="F35" s="123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157</v>
      </c>
      <c r="B36" s="7" t="s">
        <v>154</v>
      </c>
      <c r="D36" s="20" t="e">
        <f ca="1">E36</f>
        <v>#NAME?</v>
      </c>
      <c r="E36" s="12" t="e">
        <f ca="1">ROUND(_xll.HPVAL($A36,$A$1,$A$2,$A$3,$A$4,$A$6)/1000,0)</f>
        <v>#NAME?</v>
      </c>
      <c r="F36" s="12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B37" s="7" t="s">
        <v>154</v>
      </c>
      <c r="D37" s="252" t="e">
        <f ca="1">SUM(D35:D36)</f>
        <v>#NAME?</v>
      </c>
      <c r="E37" s="253" t="e">
        <f ca="1">SUM(E35:E36)</f>
        <v>#NAME?</v>
      </c>
      <c r="F37" s="251" t="e">
        <f ca="1">SUM(F35:F36)</f>
        <v>#NAME?</v>
      </c>
      <c r="G37" s="250"/>
    </row>
    <row r="38" spans="1:37" ht="11.25" customHeight="1" x14ac:dyDescent="0.2">
      <c r="B38" s="115" t="s">
        <v>87</v>
      </c>
      <c r="C38" s="114"/>
      <c r="D38" s="120" t="e">
        <f ca="1">SUM(D33:D36)</f>
        <v>#NAME?</v>
      </c>
      <c r="E38" s="121" t="e">
        <f ca="1">SUM(E33:E36)</f>
        <v>#NAME?</v>
      </c>
      <c r="F38" s="113" t="e">
        <f ca="1">SUM(F33:F36)</f>
        <v>#NAME?</v>
      </c>
      <c r="G38" s="116"/>
      <c r="H38" s="117"/>
      <c r="I38" s="118"/>
      <c r="J38" s="118"/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3" customHeight="1" x14ac:dyDescent="0.2">
      <c r="B39" s="7"/>
      <c r="D39" s="20"/>
      <c r="E39" s="12"/>
      <c r="F39" s="123"/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">
      <c r="A40" s="23" t="s">
        <v>82</v>
      </c>
      <c r="B40" s="7" t="s">
        <v>8</v>
      </c>
      <c r="C40" s="72"/>
      <c r="D40" s="20">
        <v>6431</v>
      </c>
      <c r="E40" s="12" t="e">
        <f ca="1">ROUND(_xll.HPVAL($A40,$A$1,$A$2,$A$3,$A$4,$A$6)/1000,0)</f>
        <v>#NAME?</v>
      </c>
      <c r="F40" s="123" t="e">
        <f ca="1">E40-D40</f>
        <v>#NAME?</v>
      </c>
      <c r="G40" s="5"/>
      <c r="H40" s="4"/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" customHeight="1" x14ac:dyDescent="0.2">
      <c r="B41" s="7"/>
      <c r="C41" s="72"/>
      <c r="D41" s="20"/>
      <c r="E41" s="12"/>
      <c r="F41" s="123"/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1.25" customHeight="1" x14ac:dyDescent="0.2">
      <c r="A42" s="23" t="s">
        <v>44</v>
      </c>
      <c r="B42" s="7" t="s">
        <v>7</v>
      </c>
      <c r="C42" s="72"/>
      <c r="D42" s="20">
        <v>2231</v>
      </c>
      <c r="E42" s="12" t="e">
        <f ca="1">ROUND(_xll.HPVAL($A42,$A$1,$A$2,$A$3,$A$4,$A$6)/1000,0)</f>
        <v>#NAME?</v>
      </c>
      <c r="F42" s="123" t="e">
        <f ca="1">E42-D42</f>
        <v>#NAME?</v>
      </c>
      <c r="G42" s="5"/>
      <c r="H42" s="4"/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23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14" customFormat="1" ht="11.25" customHeight="1" x14ac:dyDescent="0.2">
      <c r="A44" s="23"/>
      <c r="B44" s="115" t="s">
        <v>10</v>
      </c>
      <c r="D44" s="120" t="e">
        <f ca="1">SUM(D38:D42)+D18+D26+D31</f>
        <v>#NAME?</v>
      </c>
      <c r="E44" s="121" t="e">
        <f ca="1">SUM(E38:E42)+E18+E26+E31</f>
        <v>#NAME?</v>
      </c>
      <c r="F44" s="113" t="e">
        <f ca="1">SUM(F38:F42)+F18+F26+F31</f>
        <v>#NAME?</v>
      </c>
      <c r="G44" s="116"/>
      <c r="H44" s="117"/>
      <c r="I44" s="118"/>
      <c r="J44" s="118"/>
      <c r="K44" s="119"/>
    </row>
    <row r="45" spans="1:37" ht="3" customHeight="1" x14ac:dyDescent="0.2">
      <c r="B45" s="7"/>
      <c r="D45" s="20"/>
      <c r="E45" s="12"/>
      <c r="F45" s="123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45</v>
      </c>
      <c r="B46" s="7" t="s">
        <v>48</v>
      </c>
      <c r="C46" s="72"/>
      <c r="D46" s="20">
        <v>73510</v>
      </c>
      <c r="E46" s="12" t="e">
        <f ca="1">ROUND(_xll.HPVAL($A46,$A$1,$A$2,$A$3,$A$4,$A$6)/1000,0)</f>
        <v>#NAME?</v>
      </c>
      <c r="F46" s="123" t="e">
        <f ca="1">E46-D46</f>
        <v>#NAME?</v>
      </c>
      <c r="G46" s="5"/>
      <c r="H46" s="4"/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23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1.25" customHeight="1" x14ac:dyDescent="0.2">
      <c r="A48" s="23" t="s">
        <v>46</v>
      </c>
      <c r="B48" s="7" t="s">
        <v>18</v>
      </c>
      <c r="C48" s="72"/>
      <c r="D48" s="20" t="e">
        <f ca="1">E48</f>
        <v>#NAME?</v>
      </c>
      <c r="E48" s="12" t="e">
        <f ca="1">ROUND(_xll.HPVAL($A48,$A$1,$A$2,$A$3,$A$4,$A$6)/1000,0)</f>
        <v>#NAME?</v>
      </c>
      <c r="F48" s="123" t="e">
        <f ca="1">E48-D48</f>
        <v>#NAME?</v>
      </c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3" customHeight="1" x14ac:dyDescent="0.2">
      <c r="B49" s="7"/>
      <c r="D49" s="20"/>
      <c r="E49" s="12"/>
      <c r="F49" s="123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14" customFormat="1" ht="11.25" customHeight="1" x14ac:dyDescent="0.2">
      <c r="B50" s="115" t="s">
        <v>14</v>
      </c>
      <c r="D50" s="108" t="e">
        <f ca="1">D44+D46+D48</f>
        <v>#NAME?</v>
      </c>
      <c r="E50" s="109" t="e">
        <f ca="1">E44+E46+E48</f>
        <v>#NAME?</v>
      </c>
      <c r="F50" s="110" t="e">
        <f ca="1">F44+F46+F48</f>
        <v>#NAME?</v>
      </c>
      <c r="G50" s="116"/>
      <c r="H50" s="117"/>
      <c r="I50" s="118"/>
      <c r="J50" s="118"/>
      <c r="K50" s="119"/>
    </row>
    <row r="51" spans="1:37" ht="3" customHeight="1" x14ac:dyDescent="0.2">
      <c r="B51" s="19"/>
      <c r="D51" s="13"/>
      <c r="E51" s="14"/>
      <c r="F51" s="22"/>
      <c r="G51" s="1"/>
      <c r="H51" s="13"/>
      <c r="I51" s="14"/>
      <c r="J51" s="14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86" customFormat="1" ht="3" customHeight="1" x14ac:dyDescent="0.2">
      <c r="A52" s="163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B53" s="6"/>
      <c r="D53" s="391" t="s">
        <v>131</v>
      </c>
      <c r="E53" s="392"/>
      <c r="F53" s="393"/>
      <c r="G53" s="1"/>
      <c r="H53" s="9"/>
      <c r="I53" s="10"/>
      <c r="J53" s="10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B54" s="179" t="s">
        <v>16</v>
      </c>
      <c r="D54" s="16" t="s">
        <v>13</v>
      </c>
      <c r="E54" s="17" t="s">
        <v>15</v>
      </c>
      <c r="F54" s="18" t="s">
        <v>20</v>
      </c>
      <c r="G54" s="1"/>
      <c r="H54" s="388" t="s">
        <v>70</v>
      </c>
      <c r="I54" s="389"/>
      <c r="J54" s="389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6" t="s">
        <v>33</v>
      </c>
      <c r="D55" s="182">
        <f>8218-2491</f>
        <v>5727</v>
      </c>
      <c r="E55" s="183">
        <v>8789</v>
      </c>
      <c r="F55" s="180">
        <f>E55-D55</f>
        <v>3062</v>
      </c>
      <c r="G55" s="1"/>
      <c r="H55" s="9"/>
      <c r="I55" s="10"/>
      <c r="J55" s="10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19" t="s">
        <v>92</v>
      </c>
      <c r="D56" s="21">
        <v>38570</v>
      </c>
      <c r="E56" s="15">
        <v>36647</v>
      </c>
      <c r="F56" s="181">
        <f>E56-D56</f>
        <v>-1923</v>
      </c>
      <c r="G56" s="1"/>
      <c r="H56" s="13"/>
      <c r="I56" s="14"/>
      <c r="J56" s="14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D57" s="333">
        <f>SUM(D55:D56)</f>
        <v>44297</v>
      </c>
      <c r="E57" s="333">
        <f>SUM(E55:E56)</f>
        <v>45436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</sheetData>
  <mergeCells count="7">
    <mergeCell ref="H54:K54"/>
    <mergeCell ref="D6:F6"/>
    <mergeCell ref="H7:K7"/>
    <mergeCell ref="B2:K2"/>
    <mergeCell ref="B3:K3"/>
    <mergeCell ref="B4:K4"/>
    <mergeCell ref="D53:F53"/>
  </mergeCells>
  <printOptions horizontalCentered="1"/>
  <pageMargins left="0.25" right="0.25" top="0.25" bottom="0.5" header="0.25" footer="0.25"/>
  <pageSetup scale="102" orientation="landscape" verticalDpi="300" r:id="rId1"/>
  <headerFooter alignWithMargins="0">
    <oddFooter>&amp;L&amp;8&amp;A
&amp;D &amp;T&amp;R&amp;8&amp;F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52"/>
  <sheetViews>
    <sheetView topLeftCell="B1" workbookViewId="0">
      <selection activeCell="B1" sqref="B1"/>
    </sheetView>
  </sheetViews>
  <sheetFormatPr defaultRowHeight="12.75" x14ac:dyDescent="0.2"/>
  <cols>
    <col min="1" max="1" width="16.85546875" style="23" hidden="1" customWidth="1"/>
    <col min="2" max="2" width="31.85546875" customWidth="1"/>
    <col min="3" max="3" width="1.7109375" customWidth="1"/>
    <col min="4" max="4" width="10.7109375" customWidth="1"/>
    <col min="5" max="5" width="9.7109375" customWidth="1"/>
    <col min="6" max="6" width="9.28515625" customWidth="1"/>
    <col min="7" max="7" width="1.7109375" customWidth="1"/>
    <col min="8" max="11" width="15.7109375" customWidth="1"/>
  </cols>
  <sheetData>
    <row r="1" spans="1:37" x14ac:dyDescent="0.2">
      <c r="A1" s="23" t="s">
        <v>102</v>
      </c>
    </row>
    <row r="2" spans="1:37" ht="15.75" x14ac:dyDescent="0.25">
      <c r="A2" s="23" t="s">
        <v>54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</row>
    <row r="3" spans="1:37" ht="15" x14ac:dyDescent="0.25">
      <c r="A3" s="24">
        <v>36678</v>
      </c>
      <c r="B3" s="395" t="s">
        <v>413</v>
      </c>
      <c r="C3" s="395"/>
      <c r="D3" s="395"/>
      <c r="E3" s="395"/>
      <c r="F3" s="395"/>
      <c r="G3" s="395"/>
      <c r="H3" s="395"/>
      <c r="I3" s="395"/>
      <c r="J3" s="395"/>
      <c r="K3" s="395"/>
    </row>
    <row r="4" spans="1:37" x14ac:dyDescent="0.2">
      <c r="A4" s="23" t="s">
        <v>47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</row>
    <row r="5" spans="1:37" ht="3" customHeight="1" x14ac:dyDescent="0.2"/>
    <row r="6" spans="1:37" x14ac:dyDescent="0.2">
      <c r="A6" s="23" t="s">
        <v>125</v>
      </c>
      <c r="B6" s="6"/>
      <c r="D6" s="391" t="s">
        <v>51</v>
      </c>
      <c r="E6" s="392"/>
      <c r="F6" s="393"/>
      <c r="G6" s="1"/>
      <c r="H6" s="9"/>
      <c r="I6" s="10"/>
      <c r="J6" s="10"/>
      <c r="K6" s="1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B7" s="8" t="s">
        <v>16</v>
      </c>
      <c r="D7" s="16" t="s">
        <v>13</v>
      </c>
      <c r="E7" s="17" t="s">
        <v>15</v>
      </c>
      <c r="F7" s="18" t="s">
        <v>20</v>
      </c>
      <c r="G7" s="1"/>
      <c r="H7" s="388" t="s">
        <v>70</v>
      </c>
      <c r="I7" s="389"/>
      <c r="J7" s="389"/>
      <c r="K7" s="390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3" customHeight="1" x14ac:dyDescent="0.2">
      <c r="B8" s="6"/>
      <c r="D8" s="9"/>
      <c r="E8" s="10"/>
      <c r="F8" s="11"/>
      <c r="G8" s="1"/>
      <c r="H8" s="9"/>
      <c r="I8" s="10"/>
      <c r="J8" s="10"/>
      <c r="K8" s="1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1.25" customHeight="1" x14ac:dyDescent="0.2">
      <c r="A9" s="23" t="s">
        <v>274</v>
      </c>
      <c r="B9" s="7" t="s">
        <v>3</v>
      </c>
      <c r="D9" s="62" t="e">
        <f ca="1">Expenses!D9-[2]Expenses!D9</f>
        <v>#NAME?</v>
      </c>
      <c r="E9" s="63" t="e">
        <f ca="1">Expenses!E9-[2]Expenses!E9</f>
        <v>#NAME?</v>
      </c>
      <c r="F9" s="122" t="e">
        <f ca="1">E9-D9</f>
        <v>#NAME?</v>
      </c>
      <c r="G9" s="5"/>
      <c r="H9" s="193"/>
      <c r="I9" s="2"/>
      <c r="J9" s="2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1.25" customHeight="1" x14ac:dyDescent="0.2">
      <c r="A10" s="23" t="s">
        <v>105</v>
      </c>
      <c r="B10" s="7" t="s">
        <v>106</v>
      </c>
      <c r="D10" s="20" t="e">
        <f ca="1">Expenses!D10-[2]Expenses!D10</f>
        <v>#NAME?</v>
      </c>
      <c r="E10" s="12" t="e">
        <f ca="1">Expenses!E10-[2]Expenses!E10</f>
        <v>#NAME?</v>
      </c>
      <c r="F10" s="123" t="e">
        <f t="shared" ref="F10:F17" ca="1" si="0">E10-D10</f>
        <v>#NAME?</v>
      </c>
      <c r="G10" s="5"/>
      <c r="H10" s="4"/>
      <c r="I10" s="2"/>
      <c r="J10" s="2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1.25" customHeight="1" x14ac:dyDescent="0.2">
      <c r="A11" s="23" t="s">
        <v>27</v>
      </c>
      <c r="B11" s="7" t="s">
        <v>132</v>
      </c>
      <c r="D11" s="20" t="e">
        <f ca="1">Expenses!D11-[2]Expenses!D11</f>
        <v>#NAME?</v>
      </c>
      <c r="E11" s="12" t="e">
        <f ca="1">Expenses!E11-[2]Expenses!E11</f>
        <v>#NAME?</v>
      </c>
      <c r="F11" s="123" t="e">
        <f t="shared" ca="1" si="0"/>
        <v>#NAME?</v>
      </c>
      <c r="G11" s="5"/>
      <c r="H11" s="4"/>
      <c r="I11" s="2"/>
      <c r="J11" s="2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1.25" customHeight="1" x14ac:dyDescent="0.2">
      <c r="A12" s="23" t="s">
        <v>134</v>
      </c>
      <c r="B12" s="7" t="s">
        <v>133</v>
      </c>
      <c r="D12" s="20" t="e">
        <f ca="1">Expenses!D12-[2]Expenses!D12</f>
        <v>#NAME?</v>
      </c>
      <c r="E12" s="12" t="e">
        <f ca="1">Expenses!E12-[2]Expenses!E12</f>
        <v>#NAME?</v>
      </c>
      <c r="F12" s="123" t="e">
        <f ca="1">E12-D12</f>
        <v>#NAME?</v>
      </c>
      <c r="G12" s="5"/>
      <c r="H12" s="4"/>
      <c r="I12" s="2"/>
      <c r="J12" s="2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1.25" customHeight="1" x14ac:dyDescent="0.2">
      <c r="A13" s="23" t="s">
        <v>43</v>
      </c>
      <c r="B13" s="7" t="s">
        <v>424</v>
      </c>
      <c r="C13" s="72"/>
      <c r="D13" s="20" t="e">
        <f ca="1">Expenses!D13-[2]Expenses!D13</f>
        <v>#NAME?</v>
      </c>
      <c r="E13" s="12" t="e">
        <f ca="1">Expenses!E13-[2]Expenses!E13</f>
        <v>#NAME?</v>
      </c>
      <c r="F13" s="123" t="e">
        <f ca="1">E13-D13</f>
        <v>#NAME?</v>
      </c>
      <c r="G13" s="5"/>
      <c r="H13" s="4"/>
      <c r="I13" s="2"/>
      <c r="J13" s="2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1.25" customHeight="1" x14ac:dyDescent="0.2">
      <c r="A14" s="23" t="s">
        <v>28</v>
      </c>
      <c r="B14" s="7" t="s">
        <v>5</v>
      </c>
      <c r="D14" s="20" t="e">
        <f ca="1">Expenses!D14-[2]Expenses!D14</f>
        <v>#NAME?</v>
      </c>
      <c r="E14" s="12" t="e">
        <f ca="1">Expenses!E14-[2]Expenses!E14</f>
        <v>#NAME?</v>
      </c>
      <c r="F14" s="123" t="e">
        <f t="shared" ca="1" si="0"/>
        <v>#NAME?</v>
      </c>
      <c r="G14" s="5"/>
      <c r="H14" s="4"/>
      <c r="I14" s="2"/>
      <c r="J14" s="2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1.25" customHeight="1" x14ac:dyDescent="0.2">
      <c r="A15" s="23" t="s">
        <v>30</v>
      </c>
      <c r="B15" s="7" t="s">
        <v>155</v>
      </c>
      <c r="D15" s="20" t="e">
        <f ca="1">Expenses!D15-[2]Expenses!D15</f>
        <v>#NAME?</v>
      </c>
      <c r="E15" s="12" t="e">
        <f ca="1">Expenses!E15-[2]Expenses!E15</f>
        <v>#NAME?</v>
      </c>
      <c r="F15" s="123" t="e">
        <f t="shared" ca="1" si="0"/>
        <v>#NAME?</v>
      </c>
      <c r="G15" s="5"/>
      <c r="H15" s="4"/>
      <c r="I15" s="2"/>
      <c r="J15" s="2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1.25" customHeight="1" x14ac:dyDescent="0.2">
      <c r="A16" s="23" t="s">
        <v>4</v>
      </c>
      <c r="B16" s="7" t="s">
        <v>107</v>
      </c>
      <c r="D16" s="20" t="e">
        <f ca="1">Expenses!D16-[2]Expenses!D16</f>
        <v>#NAME?</v>
      </c>
      <c r="E16" s="12" t="e">
        <f ca="1">Expenses!E16-[2]Expenses!E16</f>
        <v>#NAME?</v>
      </c>
      <c r="F16" s="123" t="e">
        <f t="shared" ca="1" si="0"/>
        <v>#NAME?</v>
      </c>
      <c r="G16" s="5"/>
      <c r="H16" s="4"/>
      <c r="I16" s="2"/>
      <c r="J16" s="2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1.25" customHeight="1" x14ac:dyDescent="0.2">
      <c r="A17" s="23" t="s">
        <v>73</v>
      </c>
      <c r="B17" s="7" t="s">
        <v>156</v>
      </c>
      <c r="D17" s="20">
        <f>Expenses!D17-[2]Expenses!D17</f>
        <v>0</v>
      </c>
      <c r="E17" s="12" t="e">
        <f ca="1">Expenses!E17-[2]Expenses!E17</f>
        <v>#NAME?</v>
      </c>
      <c r="F17" s="123" t="e">
        <f t="shared" ca="1" si="0"/>
        <v>#NAME?</v>
      </c>
      <c r="G17" s="5"/>
      <c r="H17" s="4"/>
      <c r="I17" s="2"/>
      <c r="J17" s="2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1.25" customHeight="1" x14ac:dyDescent="0.2">
      <c r="B18" s="115" t="s">
        <v>6</v>
      </c>
      <c r="C18" s="114"/>
      <c r="D18" s="120" t="e">
        <f ca="1">SUM(D9:D17)</f>
        <v>#NAME?</v>
      </c>
      <c r="E18" s="121" t="e">
        <f ca="1">SUM(E9:E17)</f>
        <v>#NAME?</v>
      </c>
      <c r="F18" s="113" t="e">
        <f ca="1">SUM(F9:F17)</f>
        <v>#NAME?</v>
      </c>
      <c r="G18" s="116"/>
      <c r="H18" s="117"/>
      <c r="I18" s="118"/>
      <c r="J18" s="118"/>
      <c r="K18" s="119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3" customHeight="1" x14ac:dyDescent="0.2">
      <c r="B19" s="7"/>
      <c r="D19" s="20"/>
      <c r="E19" s="12"/>
      <c r="F19" s="123"/>
      <c r="G19" s="5"/>
      <c r="H19" s="4"/>
      <c r="I19" s="2"/>
      <c r="J19" s="2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1.25" customHeight="1" x14ac:dyDescent="0.2">
      <c r="A20" s="23" t="s">
        <v>32</v>
      </c>
      <c r="B20" s="7" t="s">
        <v>88</v>
      </c>
      <c r="D20" s="20" t="e">
        <f ca="1">Expenses!D20-[2]Expenses!D20</f>
        <v>#NAME?</v>
      </c>
      <c r="E20" s="12" t="e">
        <f ca="1">Expenses!E20-[2]Expenses!E20</f>
        <v>#NAME?</v>
      </c>
      <c r="F20" s="123" t="e">
        <f t="shared" ref="F20:F25" ca="1" si="1">E20-D20</f>
        <v>#NAME?</v>
      </c>
      <c r="G20" s="5"/>
      <c r="H20" s="4"/>
      <c r="I20" s="2"/>
      <c r="J20" s="2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1.25" customHeight="1" x14ac:dyDescent="0.2">
      <c r="A21" s="23" t="s">
        <v>38</v>
      </c>
      <c r="B21" s="7" t="s">
        <v>89</v>
      </c>
      <c r="D21" s="20" t="e">
        <f ca="1">Expenses!D21-[2]Expenses!D21</f>
        <v>#NAME?</v>
      </c>
      <c r="E21" s="12" t="e">
        <f ca="1">Expenses!E21-[2]Expenses!E21</f>
        <v>#NAME?</v>
      </c>
      <c r="F21" s="123" t="e">
        <f t="shared" ca="1" si="1"/>
        <v>#NAME?</v>
      </c>
      <c r="G21" s="5"/>
      <c r="H21" s="4"/>
      <c r="I21" s="2"/>
      <c r="J21" s="2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1.25" customHeight="1" x14ac:dyDescent="0.2">
      <c r="A22" s="23" t="s">
        <v>272</v>
      </c>
      <c r="B22" s="7" t="s">
        <v>271</v>
      </c>
      <c r="D22" s="20" t="e">
        <f ca="1">Expenses!D22-[2]Expenses!D22</f>
        <v>#NAME?</v>
      </c>
      <c r="E22" s="12" t="e">
        <f ca="1">Expenses!E22-[2]Expenses!E22</f>
        <v>#NAME?</v>
      </c>
      <c r="F22" s="123" t="e">
        <f t="shared" ca="1" si="1"/>
        <v>#NAME?</v>
      </c>
      <c r="G22" s="5"/>
      <c r="H22" s="4"/>
      <c r="I22" s="2"/>
      <c r="J22" s="2"/>
      <c r="K22" s="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1.25" customHeight="1" x14ac:dyDescent="0.2">
      <c r="A23" s="23" t="s">
        <v>103</v>
      </c>
      <c r="B23" s="7" t="s">
        <v>104</v>
      </c>
      <c r="D23" s="20" t="e">
        <f ca="1">Expenses!D23-[2]Expenses!D23</f>
        <v>#NAME?</v>
      </c>
      <c r="E23" s="12" t="e">
        <f ca="1">Expenses!E23-[2]Expenses!E23</f>
        <v>#NAME?</v>
      </c>
      <c r="F23" s="123" t="e">
        <f t="shared" ca="1" si="1"/>
        <v>#NAME?</v>
      </c>
      <c r="G23" s="5"/>
      <c r="H23" s="4"/>
      <c r="I23" s="2"/>
      <c r="J23" s="2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1.25" customHeight="1" x14ac:dyDescent="0.2">
      <c r="B24" s="7" t="s">
        <v>425</v>
      </c>
      <c r="D24" s="20" t="e">
        <f ca="1">Expenses!D24-[2]Expenses!D24</f>
        <v>#NAME?</v>
      </c>
      <c r="E24" s="12" t="e">
        <f ca="1">Expenses!E24-[2]Expenses!E24</f>
        <v>#NAME?</v>
      </c>
      <c r="F24" s="123" t="e">
        <f t="shared" ca="1" si="1"/>
        <v>#NAME?</v>
      </c>
      <c r="G24" s="5"/>
      <c r="H24" s="4"/>
      <c r="I24" s="2"/>
      <c r="J24" s="2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1.25" customHeight="1" x14ac:dyDescent="0.2">
      <c r="A25" s="23" t="s">
        <v>36</v>
      </c>
      <c r="B25" s="7" t="s">
        <v>0</v>
      </c>
      <c r="D25" s="20" t="e">
        <f ca="1">Expenses!D25-[2]Expenses!D25</f>
        <v>#NAME?</v>
      </c>
      <c r="E25" s="12" t="e">
        <f ca="1">Expenses!E25-[2]Expenses!E25</f>
        <v>#NAME?</v>
      </c>
      <c r="F25" s="123" t="e">
        <f t="shared" ca="1" si="1"/>
        <v>#NAME?</v>
      </c>
      <c r="G25" s="5"/>
      <c r="H25" s="4"/>
      <c r="I25" s="2"/>
      <c r="J25" s="2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1.25" customHeight="1" x14ac:dyDescent="0.2">
      <c r="B26" s="115" t="s">
        <v>1</v>
      </c>
      <c r="C26" s="114"/>
      <c r="D26" s="120" t="e">
        <f ca="1">SUM(D20:D25)</f>
        <v>#NAME?</v>
      </c>
      <c r="E26" s="121" t="e">
        <f ca="1">SUM(E20:E25)</f>
        <v>#NAME?</v>
      </c>
      <c r="F26" s="113" t="e">
        <f ca="1">SUM(F20:F25)</f>
        <v>#NAME?</v>
      </c>
      <c r="G26" s="116"/>
      <c r="H26" s="117"/>
      <c r="I26" s="118"/>
      <c r="J26" s="118"/>
      <c r="K26" s="119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" customHeight="1" x14ac:dyDescent="0.2">
      <c r="B27" s="7"/>
      <c r="D27" s="20"/>
      <c r="E27" s="12"/>
      <c r="F27" s="123"/>
      <c r="G27" s="5"/>
      <c r="H27" s="4"/>
      <c r="I27" s="2"/>
      <c r="J27" s="2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1.25" customHeight="1" x14ac:dyDescent="0.2">
      <c r="A28" s="23" t="s">
        <v>37</v>
      </c>
      <c r="B28" s="7" t="s">
        <v>67</v>
      </c>
      <c r="D28" s="20">
        <f>Expenses!D28-[2]Expenses!D28</f>
        <v>0</v>
      </c>
      <c r="E28" s="12">
        <f>Expenses!E28-[2]Expenses!E28</f>
        <v>0</v>
      </c>
      <c r="F28" s="123">
        <f>E28-D28</f>
        <v>0</v>
      </c>
      <c r="G28" s="5"/>
      <c r="H28" s="4"/>
      <c r="I28" s="2"/>
      <c r="J28" s="2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1.25" customHeight="1" x14ac:dyDescent="0.25">
      <c r="A29" s="23" t="s">
        <v>41</v>
      </c>
      <c r="B29" s="29" t="s">
        <v>415</v>
      </c>
      <c r="C29" s="72"/>
      <c r="D29" s="20">
        <f>Expenses!D29-[2]Expenses!D29</f>
        <v>0</v>
      </c>
      <c r="E29" s="12" t="e">
        <f ca="1">Expenses!E29-[2]Expenses!E29</f>
        <v>#NAME?</v>
      </c>
      <c r="F29" s="123" t="e">
        <f ca="1">E29-D29</f>
        <v>#NAME?</v>
      </c>
      <c r="G29" s="5"/>
      <c r="H29" s="4"/>
      <c r="I29" s="2"/>
      <c r="J29" s="2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1.25" customHeight="1" x14ac:dyDescent="0.25">
      <c r="A30" s="23" t="s">
        <v>42</v>
      </c>
      <c r="B30" s="29" t="s">
        <v>416</v>
      </c>
      <c r="C30" s="72"/>
      <c r="D30" s="20" t="e">
        <f ca="1">Expenses!D30-[2]Expenses!D30</f>
        <v>#NAME?</v>
      </c>
      <c r="E30" s="12" t="e">
        <f ca="1">Expenses!E30-[2]Expenses!E30</f>
        <v>#NAME?</v>
      </c>
      <c r="F30" s="123" t="e">
        <f ca="1">E30-D30</f>
        <v>#NAME?</v>
      </c>
      <c r="G30" s="5"/>
      <c r="H30" s="4"/>
      <c r="I30" s="2"/>
      <c r="J30" s="2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1.25" customHeight="1" x14ac:dyDescent="0.2">
      <c r="B31" s="115" t="s">
        <v>86</v>
      </c>
      <c r="C31" s="114"/>
      <c r="D31" s="120" t="e">
        <f ca="1">SUM(D28:D30)</f>
        <v>#NAME?</v>
      </c>
      <c r="E31" s="121" t="e">
        <f ca="1">SUM(E28:E30)</f>
        <v>#NAME?</v>
      </c>
      <c r="F31" s="113" t="e">
        <f ca="1">SUM(F28:F30)</f>
        <v>#NAME?</v>
      </c>
      <c r="G31" s="116"/>
      <c r="H31" s="117"/>
      <c r="I31" s="118"/>
      <c r="J31" s="118"/>
      <c r="K31" s="119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" customHeight="1" x14ac:dyDescent="0.2">
      <c r="B32" s="7"/>
      <c r="D32" s="20"/>
      <c r="E32" s="12"/>
      <c r="F32" s="123"/>
      <c r="G32" s="5"/>
      <c r="H32" s="4"/>
      <c r="I32" s="2"/>
      <c r="J32" s="2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1.25" customHeight="1" x14ac:dyDescent="0.2">
      <c r="A33" s="23" t="s">
        <v>40</v>
      </c>
      <c r="B33" s="7" t="s">
        <v>9</v>
      </c>
      <c r="D33" s="20">
        <f>Expenses!D33-[2]Expenses!D33</f>
        <v>0</v>
      </c>
      <c r="E33" s="12" t="e">
        <f ca="1">Expenses!E33-[2]Expenses!E33</f>
        <v>#NAME?</v>
      </c>
      <c r="F33" s="123" t="e">
        <f ca="1">E33-D33</f>
        <v>#NAME?</v>
      </c>
      <c r="G33" s="5"/>
      <c r="H33" s="4"/>
      <c r="I33" s="2"/>
      <c r="J33" s="2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1.25" customHeight="1" x14ac:dyDescent="0.2">
      <c r="A34" s="23" t="s">
        <v>39</v>
      </c>
      <c r="B34" s="7" t="s">
        <v>440</v>
      </c>
      <c r="D34" s="20" t="e">
        <f ca="1">Expenses!D34-[2]Expenses!D34</f>
        <v>#NAME?</v>
      </c>
      <c r="E34" s="12" t="e">
        <f ca="1">Expenses!E34-[2]Expenses!E34</f>
        <v>#NAME?</v>
      </c>
      <c r="F34" s="123" t="e">
        <f ca="1">E34-D34</f>
        <v>#NAME?</v>
      </c>
      <c r="G34" s="5"/>
      <c r="H34" s="4"/>
      <c r="I34" s="2"/>
      <c r="J34" s="2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1.25" hidden="1" customHeight="1" x14ac:dyDescent="0.2">
      <c r="A35" s="23" t="s">
        <v>153</v>
      </c>
      <c r="B35" s="7" t="s">
        <v>180</v>
      </c>
      <c r="D35" s="20" t="e">
        <f ca="1">Expenses!D35-[2]Expenses!D35</f>
        <v>#NAME?</v>
      </c>
      <c r="E35" s="12" t="e">
        <f ca="1">Expenses!E35-[2]Expenses!E35</f>
        <v>#NAME?</v>
      </c>
      <c r="F35" s="123" t="e">
        <f ca="1">E35-D35</f>
        <v>#NAME?</v>
      </c>
      <c r="G35" s="5"/>
      <c r="H35" s="4"/>
      <c r="I35" s="2"/>
      <c r="J35" s="2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1.25" hidden="1" customHeight="1" x14ac:dyDescent="0.2">
      <c r="A36" s="23" t="s">
        <v>157</v>
      </c>
      <c r="B36" s="7" t="s">
        <v>154</v>
      </c>
      <c r="D36" s="20" t="e">
        <f ca="1">Expenses!D36-[2]Expenses!D36</f>
        <v>#NAME?</v>
      </c>
      <c r="E36" s="12" t="e">
        <f ca="1">Expenses!E36-[2]Expenses!E36</f>
        <v>#NAME?</v>
      </c>
      <c r="F36" s="123" t="e">
        <f ca="1">E36-D36</f>
        <v>#NAME?</v>
      </c>
      <c r="G36" s="5"/>
      <c r="H36" s="4"/>
      <c r="I36" s="2"/>
      <c r="J36" s="2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x14ac:dyDescent="0.2">
      <c r="B37" s="7" t="s">
        <v>154</v>
      </c>
      <c r="D37" s="20" t="e">
        <f ca="1">Expenses!D37-[2]Expenses!D37</f>
        <v>#NAME?</v>
      </c>
      <c r="E37" s="12" t="e">
        <f ca="1">Expenses!E37-[2]Expenses!E37</f>
        <v>#NAME?</v>
      </c>
      <c r="F37" s="251" t="e">
        <f ca="1">SUM(F35:F36)</f>
        <v>#NAME?</v>
      </c>
      <c r="G37" s="250"/>
      <c r="K37" s="337"/>
    </row>
    <row r="38" spans="1:37" ht="11.25" customHeight="1" x14ac:dyDescent="0.2">
      <c r="B38" s="115" t="s">
        <v>87</v>
      </c>
      <c r="C38" s="114"/>
      <c r="D38" s="120" t="e">
        <f ca="1">SUM(D33:D36)</f>
        <v>#NAME?</v>
      </c>
      <c r="E38" s="121" t="e">
        <f ca="1">SUM(E33:E36)</f>
        <v>#NAME?</v>
      </c>
      <c r="F38" s="113" t="e">
        <f ca="1">SUM(F33:F36)</f>
        <v>#NAME?</v>
      </c>
      <c r="G38" s="116"/>
      <c r="H38" s="117"/>
      <c r="I38" s="118"/>
      <c r="J38" s="118"/>
      <c r="K38" s="119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3" customHeight="1" x14ac:dyDescent="0.2">
      <c r="B39" s="7"/>
      <c r="D39" s="20"/>
      <c r="E39" s="12"/>
      <c r="F39" s="123"/>
      <c r="G39" s="5"/>
      <c r="H39" s="4"/>
      <c r="I39" s="2"/>
      <c r="J39" s="2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1.25" customHeight="1" x14ac:dyDescent="0.2">
      <c r="A40" s="23" t="s">
        <v>82</v>
      </c>
      <c r="B40" s="7" t="s">
        <v>8</v>
      </c>
      <c r="C40" s="72"/>
      <c r="D40" s="20">
        <f>Expenses!D40-[2]Expenses!D40</f>
        <v>-661</v>
      </c>
      <c r="E40" s="12" t="e">
        <f ca="1">Expenses!E40-[2]Expenses!E40</f>
        <v>#NAME?</v>
      </c>
      <c r="F40" s="123" t="e">
        <f ca="1">E40-D40</f>
        <v>#NAME?</v>
      </c>
      <c r="G40" s="5"/>
      <c r="H40" s="4" t="s">
        <v>446</v>
      </c>
      <c r="I40" s="2"/>
      <c r="J40" s="2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3" customHeight="1" x14ac:dyDescent="0.2">
      <c r="B41" s="7"/>
      <c r="C41" s="72"/>
      <c r="D41" s="20"/>
      <c r="E41" s="12"/>
      <c r="F41" s="123"/>
      <c r="G41" s="5"/>
      <c r="H41" s="4"/>
      <c r="I41" s="2"/>
      <c r="J41" s="2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1.25" customHeight="1" x14ac:dyDescent="0.2">
      <c r="A42" s="23" t="s">
        <v>44</v>
      </c>
      <c r="B42" s="7" t="s">
        <v>7</v>
      </c>
      <c r="C42" s="72"/>
      <c r="D42" s="20">
        <f>Expenses!D42-[2]Expenses!D42</f>
        <v>-699</v>
      </c>
      <c r="E42" s="12" t="e">
        <f ca="1">Expenses!E42-[2]Expenses!E42</f>
        <v>#NAME?</v>
      </c>
      <c r="F42" s="123" t="e">
        <f ca="1">E42-D42</f>
        <v>#NAME?</v>
      </c>
      <c r="G42" s="5"/>
      <c r="H42" s="4" t="str">
        <f>H40</f>
        <v>Moved Business to Business and Enron Networks Plan &amp; Actual into Group</v>
      </c>
      <c r="I42" s="2"/>
      <c r="J42" s="2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3" customHeight="1" x14ac:dyDescent="0.2">
      <c r="B43" s="7"/>
      <c r="D43" s="20"/>
      <c r="E43" s="12"/>
      <c r="F43" s="123"/>
      <c r="G43" s="5"/>
      <c r="H43" s="4"/>
      <c r="I43" s="2"/>
      <c r="J43" s="2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s="114" customFormat="1" ht="11.25" customHeight="1" x14ac:dyDescent="0.2">
      <c r="A44" s="23"/>
      <c r="B44" s="115" t="s">
        <v>10</v>
      </c>
      <c r="D44" s="120" t="e">
        <f ca="1">SUM(D38:D42)+D18+D26+D31</f>
        <v>#NAME?</v>
      </c>
      <c r="E44" s="121" t="e">
        <f ca="1">SUM(E38:E42)+E18+E26+E31</f>
        <v>#NAME?</v>
      </c>
      <c r="F44" s="113" t="e">
        <f ca="1">SUM(F38:F42)+F18+F26+F31</f>
        <v>#NAME?</v>
      </c>
      <c r="G44" s="116"/>
      <c r="H44" s="117"/>
      <c r="I44" s="118"/>
      <c r="J44" s="118"/>
      <c r="K44" s="119"/>
    </row>
    <row r="45" spans="1:37" ht="3" customHeight="1" x14ac:dyDescent="0.2">
      <c r="B45" s="7"/>
      <c r="D45" s="20"/>
      <c r="E45" s="12"/>
      <c r="F45" s="123"/>
      <c r="G45" s="5"/>
      <c r="H45" s="4"/>
      <c r="I45" s="2"/>
      <c r="J45" s="2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1.25" customHeight="1" x14ac:dyDescent="0.2">
      <c r="A46" s="23" t="s">
        <v>45</v>
      </c>
      <c r="B46" s="7" t="s">
        <v>48</v>
      </c>
      <c r="C46" s="72"/>
      <c r="D46" s="20">
        <f>Expenses!D46-[2]Expenses!D46</f>
        <v>1661</v>
      </c>
      <c r="E46" s="12" t="e">
        <f ca="1">Expenses!E46-[2]Expenses!E46</f>
        <v>#NAME?</v>
      </c>
      <c r="F46" s="123" t="e">
        <f ca="1">E46-D46</f>
        <v>#NAME?</v>
      </c>
      <c r="G46" s="5"/>
      <c r="H46" s="4" t="str">
        <f>H40</f>
        <v>Moved Business to Business and Enron Networks Plan &amp; Actual into Group</v>
      </c>
      <c r="I46" s="2"/>
      <c r="J46" s="2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3" customHeight="1" x14ac:dyDescent="0.2">
      <c r="B47" s="7"/>
      <c r="D47" s="20"/>
      <c r="E47" s="12"/>
      <c r="F47" s="123"/>
      <c r="G47" s="5"/>
      <c r="H47" s="4"/>
      <c r="I47" s="2"/>
      <c r="J47" s="2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11.25" customHeight="1" x14ac:dyDescent="0.2">
      <c r="A48" s="23" t="s">
        <v>46</v>
      </c>
      <c r="B48" s="7" t="s">
        <v>18</v>
      </c>
      <c r="C48" s="72"/>
      <c r="D48" s="20" t="e">
        <f ca="1">Expenses!D48-[2]Expenses!D48</f>
        <v>#NAME?</v>
      </c>
      <c r="E48" s="12" t="e">
        <f ca="1">Expenses!E48-[2]Expenses!E48</f>
        <v>#NAME?</v>
      </c>
      <c r="F48" s="123" t="e">
        <f ca="1">E48-D48</f>
        <v>#NAME?</v>
      </c>
      <c r="G48" s="5"/>
      <c r="H48" s="4"/>
      <c r="I48" s="2"/>
      <c r="J48" s="2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</row>
    <row r="49" spans="1:37" ht="3" customHeight="1" x14ac:dyDescent="0.2">
      <c r="B49" s="7"/>
      <c r="D49" s="20"/>
      <c r="E49" s="12"/>
      <c r="F49" s="123"/>
      <c r="G49" s="5"/>
      <c r="H49" s="4"/>
      <c r="I49" s="2"/>
      <c r="J49" s="2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</row>
    <row r="50" spans="1:37" s="114" customFormat="1" ht="11.25" customHeight="1" x14ac:dyDescent="0.2">
      <c r="B50" s="115" t="s">
        <v>14</v>
      </c>
      <c r="D50" s="108" t="e">
        <f ca="1">D44+D46+D48</f>
        <v>#NAME?</v>
      </c>
      <c r="E50" s="109" t="e">
        <f ca="1">E44+E46+E48</f>
        <v>#NAME?</v>
      </c>
      <c r="F50" s="110" t="e">
        <f ca="1">F44+F46+F48</f>
        <v>#NAME?</v>
      </c>
      <c r="G50" s="116"/>
      <c r="H50" s="117"/>
      <c r="I50" s="118"/>
      <c r="J50" s="118"/>
      <c r="K50" s="119"/>
    </row>
    <row r="51" spans="1:37" ht="3" customHeight="1" x14ac:dyDescent="0.2">
      <c r="B51" s="19"/>
      <c r="D51" s="13"/>
      <c r="E51" s="14"/>
      <c r="F51" s="22"/>
      <c r="G51" s="1"/>
      <c r="H51" s="13"/>
      <c r="I51" s="14"/>
      <c r="J51" s="14"/>
      <c r="K51" s="22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 spans="1:37" s="86" customFormat="1" ht="3" customHeight="1" x14ac:dyDescent="0.2">
      <c r="A52" s="163"/>
      <c r="B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1:37" x14ac:dyDescent="0.2">
      <c r="B53" s="6"/>
      <c r="D53" s="391" t="s">
        <v>131</v>
      </c>
      <c r="E53" s="392"/>
      <c r="F53" s="393"/>
      <c r="G53" s="1"/>
      <c r="H53" s="9"/>
      <c r="I53" s="10"/>
      <c r="J53" s="10"/>
      <c r="K53" s="1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 spans="1:37" x14ac:dyDescent="0.2">
      <c r="B54" s="179" t="s">
        <v>16</v>
      </c>
      <c r="D54" s="16" t="s">
        <v>13</v>
      </c>
      <c r="E54" s="17" t="s">
        <v>15</v>
      </c>
      <c r="F54" s="18" t="s">
        <v>20</v>
      </c>
      <c r="G54" s="1"/>
      <c r="H54" s="388" t="s">
        <v>70</v>
      </c>
      <c r="I54" s="389"/>
      <c r="J54" s="389"/>
      <c r="K54" s="390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x14ac:dyDescent="0.2">
      <c r="B55" s="6" t="s">
        <v>33</v>
      </c>
      <c r="D55" s="20">
        <f>Expenses!D55-[2]Expenses!D55</f>
        <v>0</v>
      </c>
      <c r="E55" s="12">
        <f>Expenses!E55-[2]Expenses!E55</f>
        <v>0</v>
      </c>
      <c r="F55" s="180">
        <f>E55-D55</f>
        <v>0</v>
      </c>
      <c r="G55" s="1"/>
      <c r="H55" s="9"/>
      <c r="I55" s="10"/>
      <c r="J55" s="10"/>
      <c r="K55" s="1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 spans="1:37" x14ac:dyDescent="0.2">
      <c r="B56" s="19" t="s">
        <v>92</v>
      </c>
      <c r="D56" s="21">
        <f>Expenses!D56-[2]Expenses!D56</f>
        <v>351</v>
      </c>
      <c r="E56" s="15">
        <f>Expenses!E56-[2]Expenses!E56</f>
        <v>0</v>
      </c>
      <c r="F56" s="181">
        <f>E56-D56</f>
        <v>-351</v>
      </c>
      <c r="G56" s="1"/>
      <c r="H56" s="13" t="s">
        <v>473</v>
      </c>
      <c r="I56" s="14"/>
      <c r="J56" s="14"/>
      <c r="K56" s="22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 spans="1:37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 spans="1:37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 spans="1:37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 spans="1:37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37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 spans="1:37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 spans="1:37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 spans="1:37" x14ac:dyDescent="0.2">
      <c r="D68" s="1"/>
      <c r="E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 spans="1:37" x14ac:dyDescent="0.2">
      <c r="D69" s="1"/>
      <c r="E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 spans="1:37" x14ac:dyDescent="0.2">
      <c r="D70" s="1"/>
      <c r="E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 spans="1:37" x14ac:dyDescent="0.2">
      <c r="D71" s="1"/>
      <c r="E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 spans="1:37" x14ac:dyDescent="0.2">
      <c r="D72" s="1"/>
      <c r="E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 spans="1:37" x14ac:dyDescent="0.2">
      <c r="D73" s="1"/>
      <c r="E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 spans="1:37" hidden="1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 spans="1:37" hidden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 spans="1:37" hidden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 spans="1:37" hidden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 spans="1:37" hidden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 spans="1:37" hidden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 spans="1:37" hidden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 spans="4:37" hidden="1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 spans="4:37" hidden="1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 spans="4:37" hidden="1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 spans="4:37" hidden="1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 spans="4:37" hidden="1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 spans="4:37" hidden="1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 spans="4:37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 spans="4:37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 spans="4:37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 spans="4:37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 spans="4:37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 spans="4:37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 spans="4:37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 spans="4:37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 spans="4:37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 spans="4:37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 spans="4:37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 spans="4:37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 spans="4:37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 spans="4:37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 spans="4:37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 spans="4:37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 spans="4:37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 spans="4:37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 spans="4:37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 spans="4:37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 spans="4:37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 spans="4:37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 spans="4:37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 spans="4:37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 spans="4:37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 spans="4:37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 spans="4:37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 spans="4:37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 spans="4:37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 spans="4:37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 spans="4:37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 spans="4:37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 spans="4:37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 spans="4:37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 spans="4:37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 spans="4:37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 spans="4:37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 spans="4:37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 spans="4:37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 spans="4:37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 spans="4:37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 spans="4:37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 spans="4:37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 spans="4:37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 spans="4:37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 spans="4:37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 spans="4:37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 spans="4:37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 spans="4:37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 spans="4:37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 spans="4:37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 spans="4:37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 spans="4:37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 spans="4:37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 spans="4:37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 spans="4:37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 spans="4:37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 spans="4:37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 spans="4:37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 spans="4:37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 spans="4:37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 spans="4:37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 spans="4:37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 spans="4:37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 spans="4:37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 spans="4:37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</sheetData>
  <mergeCells count="7">
    <mergeCell ref="H7:K7"/>
    <mergeCell ref="D53:F53"/>
    <mergeCell ref="H54:K54"/>
    <mergeCell ref="B2:K2"/>
    <mergeCell ref="B3:K3"/>
    <mergeCell ref="B4:K4"/>
    <mergeCell ref="D6:F6"/>
  </mergeCells>
  <pageMargins left="0.75" right="0.75" top="1" bottom="1" header="0.5" footer="0.5"/>
  <pageSetup scale="91" orientation="landscape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T221"/>
  <sheetViews>
    <sheetView zoomScaleNormal="100" workbookViewId="0">
      <pane xSplit="3" ySplit="9" topLeftCell="D10" activePane="bottomRight" state="frozen"/>
      <selection pane="topRight" activeCell="D1" sqref="D1"/>
      <selection pane="bottomLeft" activeCell="A10" sqref="A10"/>
      <selection pane="bottomRight" activeCell="D10" sqref="D10"/>
    </sheetView>
  </sheetViews>
  <sheetFormatPr defaultRowHeight="12.75" x14ac:dyDescent="0.2"/>
  <cols>
    <col min="1" max="1" width="16.85546875" style="23" customWidth="1"/>
    <col min="2" max="2" width="27.7109375" customWidth="1"/>
    <col min="3" max="3" width="1.7109375" customWidth="1"/>
    <col min="4" max="6" width="8.7109375" customWidth="1"/>
    <col min="7" max="8" width="7.7109375" customWidth="1"/>
    <col min="9" max="9" width="8.5703125" customWidth="1"/>
    <col min="10" max="10" width="1.85546875" customWidth="1"/>
    <col min="11" max="13" width="8.7109375" customWidth="1"/>
    <col min="14" max="16" width="7.7109375" customWidth="1"/>
  </cols>
  <sheetData>
    <row r="1" spans="1:20" x14ac:dyDescent="0.2">
      <c r="A1" s="23" t="s">
        <v>102</v>
      </c>
    </row>
    <row r="2" spans="1:20" ht="15.75" x14ac:dyDescent="0.25">
      <c r="A2" s="23" t="s">
        <v>55</v>
      </c>
      <c r="B2" s="394" t="s">
        <v>17</v>
      </c>
      <c r="C2" s="394"/>
      <c r="D2" s="394"/>
      <c r="E2" s="394"/>
      <c r="F2" s="394"/>
      <c r="G2" s="394"/>
      <c r="H2" s="394"/>
      <c r="I2" s="394"/>
      <c r="J2" s="394"/>
      <c r="K2" s="394"/>
      <c r="L2" s="394"/>
      <c r="M2" s="394"/>
      <c r="N2" s="394"/>
      <c r="O2" s="394"/>
      <c r="P2" s="394"/>
      <c r="Q2" t="s">
        <v>354</v>
      </c>
    </row>
    <row r="3" spans="1:20" ht="15" x14ac:dyDescent="0.25">
      <c r="A3" s="23" t="s">
        <v>56</v>
      </c>
      <c r="B3" s="395" t="s">
        <v>164</v>
      </c>
      <c r="C3" s="395"/>
      <c r="D3" s="395"/>
      <c r="E3" s="395"/>
      <c r="F3" s="395"/>
      <c r="G3" s="395"/>
      <c r="H3" s="395"/>
      <c r="I3" s="395"/>
      <c r="J3" s="395"/>
      <c r="K3" s="395"/>
      <c r="L3" s="395"/>
      <c r="M3" s="395"/>
      <c r="N3" s="395"/>
      <c r="O3" s="395"/>
      <c r="P3" s="395"/>
    </row>
    <row r="4" spans="1:20" x14ac:dyDescent="0.2">
      <c r="A4" s="24">
        <v>36678</v>
      </c>
      <c r="B4" s="396" t="str">
        <f>'Old Mgmt Summary'!A3</f>
        <v>Results based on Activity through April 28, 2000</v>
      </c>
      <c r="C4" s="396"/>
      <c r="D4" s="396"/>
      <c r="E4" s="396"/>
      <c r="F4" s="396"/>
      <c r="G4" s="396"/>
      <c r="H4" s="396"/>
      <c r="I4" s="396"/>
      <c r="J4" s="396"/>
      <c r="K4" s="396"/>
      <c r="L4" s="396"/>
      <c r="M4" s="396"/>
      <c r="N4" s="396"/>
      <c r="O4" s="396"/>
      <c r="P4" s="396"/>
    </row>
    <row r="5" spans="1:20" ht="3" customHeight="1" x14ac:dyDescent="0.2">
      <c r="A5" s="23" t="s">
        <v>47</v>
      </c>
    </row>
    <row r="6" spans="1:20" x14ac:dyDescent="0.2">
      <c r="A6" s="23" t="s">
        <v>125</v>
      </c>
      <c r="B6" s="6"/>
      <c r="D6" s="9"/>
      <c r="E6" s="10"/>
      <c r="F6" s="10"/>
      <c r="G6" s="10"/>
      <c r="H6" s="10"/>
      <c r="I6" s="11"/>
      <c r="J6" s="1"/>
      <c r="K6" s="9"/>
      <c r="L6" s="10"/>
      <c r="M6" s="10"/>
      <c r="N6" s="10"/>
      <c r="O6" s="10"/>
      <c r="P6" s="11"/>
      <c r="Q6" s="1"/>
      <c r="R6" s="1"/>
      <c r="S6" s="1"/>
      <c r="T6" s="1"/>
    </row>
    <row r="7" spans="1:20" x14ac:dyDescent="0.2">
      <c r="B7" s="7"/>
      <c r="D7" s="388" t="s">
        <v>57</v>
      </c>
      <c r="E7" s="389"/>
      <c r="F7" s="389"/>
      <c r="G7" s="389"/>
      <c r="H7" s="389"/>
      <c r="I7" s="390"/>
      <c r="J7" s="1"/>
      <c r="K7" s="388" t="s">
        <v>143</v>
      </c>
      <c r="L7" s="389"/>
      <c r="M7" s="389"/>
      <c r="N7" s="389"/>
      <c r="O7" s="389"/>
      <c r="P7" s="390"/>
      <c r="Q7" s="1"/>
      <c r="R7" s="1"/>
      <c r="S7" s="1"/>
      <c r="T7" s="1"/>
    </row>
    <row r="8" spans="1:20" x14ac:dyDescent="0.2">
      <c r="B8" s="8" t="s">
        <v>16</v>
      </c>
      <c r="D8" s="16" t="s">
        <v>13</v>
      </c>
      <c r="E8" s="17" t="s">
        <v>15</v>
      </c>
      <c r="F8" s="18" t="s">
        <v>20</v>
      </c>
      <c r="G8" s="391" t="s">
        <v>58</v>
      </c>
      <c r="H8" s="392"/>
      <c r="I8" s="393"/>
      <c r="J8" s="1"/>
      <c r="K8" s="16" t="s">
        <v>13</v>
      </c>
      <c r="L8" s="17" t="s">
        <v>15</v>
      </c>
      <c r="M8" s="18" t="s">
        <v>20</v>
      </c>
      <c r="N8" s="391" t="s">
        <v>58</v>
      </c>
      <c r="O8" s="392"/>
      <c r="P8" s="393"/>
      <c r="Q8" s="1"/>
      <c r="R8" s="1"/>
      <c r="S8" s="1"/>
      <c r="T8" s="1"/>
    </row>
    <row r="9" spans="1:20" ht="3" customHeight="1" x14ac:dyDescent="0.2">
      <c r="B9" s="6"/>
      <c r="D9" s="9"/>
      <c r="E9" s="10"/>
      <c r="F9" s="10"/>
      <c r="G9" s="10"/>
      <c r="H9" s="10"/>
      <c r="I9" s="11"/>
      <c r="J9" s="1"/>
      <c r="K9" s="9"/>
      <c r="L9" s="10"/>
      <c r="M9" s="10"/>
      <c r="N9" s="10"/>
      <c r="O9" s="10"/>
      <c r="P9" s="11"/>
      <c r="Q9" s="1"/>
      <c r="R9" s="1"/>
      <c r="S9" s="1"/>
      <c r="T9" s="1"/>
    </row>
    <row r="10" spans="1:20" ht="11.25" customHeight="1" x14ac:dyDescent="0.2">
      <c r="A10" s="23" t="s">
        <v>274</v>
      </c>
      <c r="B10" s="7" t="s">
        <v>3</v>
      </c>
      <c r="D10" s="62" t="e">
        <f ca="1">E10</f>
        <v>#NAME?</v>
      </c>
      <c r="E10" s="63" t="e">
        <f ca="1">ROUND(_xll.HPVAL($A10,$A$1,$A$2,$A$4,$A$5,$A$6)/1000,0)</f>
        <v>#NAME?</v>
      </c>
      <c r="F10" s="124" t="e">
        <f ca="1">E10-D10</f>
        <v>#NAME?</v>
      </c>
      <c r="G10" s="2"/>
      <c r="H10" s="2"/>
      <c r="I10" s="3"/>
      <c r="J10" s="1"/>
      <c r="K10" s="62" t="e">
        <f ca="1">L10</f>
        <v>#NAME?</v>
      </c>
      <c r="L10" s="63" t="e">
        <f ca="1">ROUND(_xll.HPVAL($A10,$A$1,$A$3,$A$4,$A$5,$A$6)/1000,0)</f>
        <v>#NAME?</v>
      </c>
      <c r="M10" s="124" t="e">
        <f ca="1">ROUND(L10-K10,0)</f>
        <v>#NAME?</v>
      </c>
      <c r="N10" s="2"/>
      <c r="O10" s="2"/>
      <c r="P10" s="3"/>
      <c r="Q10" s="1"/>
      <c r="R10" s="1"/>
      <c r="S10" s="1"/>
      <c r="T10" s="1"/>
    </row>
    <row r="11" spans="1:20" ht="11.25" customHeight="1" x14ac:dyDescent="0.2">
      <c r="A11" s="23" t="s">
        <v>105</v>
      </c>
      <c r="B11" s="7" t="s">
        <v>106</v>
      </c>
      <c r="D11" s="20">
        <f>7642-1779</f>
        <v>5863</v>
      </c>
      <c r="E11" s="12" t="e">
        <f ca="1">ROUND(_xll.HPVAL($A11,$A$1,$A$2,$A$4,$A$5,$A$6)/1000,0)</f>
        <v>#NAME?</v>
      </c>
      <c r="F11" s="125" t="e">
        <f t="shared" ref="F11:F18" ca="1" si="0">E11-D11</f>
        <v>#NAME?</v>
      </c>
      <c r="G11" s="2"/>
      <c r="H11" s="2"/>
      <c r="I11" s="3"/>
      <c r="J11" s="1"/>
      <c r="K11" s="20" t="e">
        <f t="shared" ref="K11:K17" ca="1" si="1">L11</f>
        <v>#NAME?</v>
      </c>
      <c r="L11" s="12" t="e">
        <f ca="1">ROUND(_xll.HPVAL($A11,$A$1,$A$3,$A$4,$A$5,$A$6)/1000,0)</f>
        <v>#NAME?</v>
      </c>
      <c r="M11" s="125" t="e">
        <f ca="1">ROUND(L11-K11,0)</f>
        <v>#NAME?</v>
      </c>
      <c r="N11" s="2"/>
      <c r="O11" s="2"/>
      <c r="P11" s="3"/>
      <c r="Q11" s="1"/>
      <c r="R11" s="1"/>
      <c r="S11" s="1"/>
      <c r="T11" s="1"/>
    </row>
    <row r="12" spans="1:20" ht="11.25" customHeight="1" x14ac:dyDescent="0.2">
      <c r="A12" s="23" t="s">
        <v>27</v>
      </c>
      <c r="B12" s="7" t="s">
        <v>132</v>
      </c>
      <c r="D12" s="20" t="e">
        <f t="shared" ref="D12:D18" ca="1" si="2">E12</f>
        <v>#NAME?</v>
      </c>
      <c r="E12" s="12" t="e">
        <f ca="1">ROUND(_xll.HPVAL($A12,$A$1,$A$2,$A$4,$A$5,$A$6)/1000,0)</f>
        <v>#NAME?</v>
      </c>
      <c r="F12" s="125" t="e">
        <f t="shared" ca="1" si="0"/>
        <v>#NAME?</v>
      </c>
      <c r="G12" s="2"/>
      <c r="H12" s="2"/>
      <c r="I12" s="3"/>
      <c r="J12" s="1"/>
      <c r="K12" s="20" t="e">
        <f t="shared" ca="1" si="1"/>
        <v>#NAME?</v>
      </c>
      <c r="L12" s="12" t="e">
        <f ca="1">ROUND(_xll.HPVAL($A12,$A$1,$A$3,$A$4,$A$5,$A$6)*0.8577/1000,0)</f>
        <v>#NAME?</v>
      </c>
      <c r="M12" s="125" t="e">
        <f t="shared" ref="M12:M18" ca="1" si="3">ROUND(L12-K12,0)</f>
        <v>#NAME?</v>
      </c>
      <c r="N12" s="2"/>
      <c r="O12" s="2"/>
      <c r="P12" s="3"/>
      <c r="Q12" s="1"/>
      <c r="R12" s="1"/>
      <c r="S12" s="1"/>
      <c r="T12" s="1"/>
    </row>
    <row r="13" spans="1:20" ht="11.25" customHeight="1" x14ac:dyDescent="0.2">
      <c r="A13" s="23" t="s">
        <v>134</v>
      </c>
      <c r="B13" s="7" t="s">
        <v>133</v>
      </c>
      <c r="D13" s="20" t="e">
        <f t="shared" ca="1" si="2"/>
        <v>#NAME?</v>
      </c>
      <c r="E13" s="12" t="e">
        <f ca="1">ROUND(_xll.HPVAL($A13,$A$1,$A$2,$A$4,$A$5,$A$6)/1000,0)</f>
        <v>#NAME?</v>
      </c>
      <c r="F13" s="125" t="e">
        <f ca="1">E13-D13</f>
        <v>#NAME?</v>
      </c>
      <c r="G13" s="2"/>
      <c r="H13" s="2"/>
      <c r="I13" s="3"/>
      <c r="J13" s="1"/>
      <c r="K13" s="20" t="e">
        <f ca="1">L13</f>
        <v>#NAME?</v>
      </c>
      <c r="L13" s="12" t="e">
        <f ca="1">ROUND(_xll.HPVAL("ECT_INV_IRFX",$A$1,$A$3,$A$4,$A$5,$A$6)/1000,0)-L12</f>
        <v>#NAME?</v>
      </c>
      <c r="M13" s="125" t="e">
        <f ca="1">ROUND(L13-K13,0)</f>
        <v>#NAME?</v>
      </c>
      <c r="N13" s="2"/>
      <c r="O13" s="2"/>
      <c r="P13" s="3"/>
      <c r="Q13" s="1"/>
      <c r="R13" s="1"/>
      <c r="S13" s="1"/>
      <c r="T13" s="1"/>
    </row>
    <row r="14" spans="1:20" ht="11.25" customHeight="1" x14ac:dyDescent="0.2">
      <c r="A14" s="23" t="s">
        <v>43</v>
      </c>
      <c r="B14" s="7" t="s">
        <v>424</v>
      </c>
      <c r="C14" s="72"/>
      <c r="D14" s="20">
        <v>0</v>
      </c>
      <c r="E14" s="12">
        <v>0</v>
      </c>
      <c r="F14" s="125">
        <f>E14-D14</f>
        <v>0</v>
      </c>
      <c r="G14" s="2"/>
      <c r="H14" s="2"/>
      <c r="I14" s="3"/>
      <c r="J14" s="1"/>
      <c r="K14" s="20" t="e">
        <f t="shared" ca="1" si="1"/>
        <v>#NAME?</v>
      </c>
      <c r="L14" s="12" t="e">
        <f ca="1">ROUND(_xll.HPVAL($A14,$A$1,$A$3,$A$4,$A$5,$A$6)/1000,0)/2</f>
        <v>#NAME?</v>
      </c>
      <c r="M14" s="125" t="e">
        <f t="shared" ca="1" si="3"/>
        <v>#NAME?</v>
      </c>
      <c r="N14" s="2"/>
      <c r="O14" s="2"/>
      <c r="P14" s="3"/>
      <c r="Q14" s="1"/>
      <c r="R14" s="1"/>
      <c r="S14" s="1"/>
      <c r="T14" s="1"/>
    </row>
    <row r="15" spans="1:20" ht="11.25" customHeight="1" x14ac:dyDescent="0.2">
      <c r="A15" s="23" t="s">
        <v>28</v>
      </c>
      <c r="B15" s="7" t="s">
        <v>5</v>
      </c>
      <c r="D15" s="20">
        <v>626</v>
      </c>
      <c r="E15" s="12" t="e">
        <f ca="1">ROUND(_xll.HPVAL($A15,$A$1,$A$2,$A$4,$A$5,$A$6)/1000,0)</f>
        <v>#NAME?</v>
      </c>
      <c r="F15" s="125" t="e">
        <f t="shared" ca="1" si="0"/>
        <v>#NAME?</v>
      </c>
      <c r="G15" s="2"/>
      <c r="H15" s="2"/>
      <c r="I15" s="3"/>
      <c r="J15" s="1"/>
      <c r="K15" s="20" t="e">
        <f t="shared" ca="1" si="1"/>
        <v>#NAME?</v>
      </c>
      <c r="L15" s="12" t="e">
        <f ca="1">ROUND(_xll.HPVAL($A15,$A$1,$A$3,$A$4,$A$5,$A$6)/1000,0)</f>
        <v>#NAME?</v>
      </c>
      <c r="M15" s="125" t="e">
        <f t="shared" ca="1" si="3"/>
        <v>#NAME?</v>
      </c>
      <c r="N15" s="2"/>
      <c r="O15" s="2"/>
      <c r="P15" s="3"/>
      <c r="Q15" s="1"/>
      <c r="R15" s="1"/>
      <c r="S15" s="1"/>
      <c r="T15" s="1"/>
    </row>
    <row r="16" spans="1:20" ht="11.25" customHeight="1" x14ac:dyDescent="0.2">
      <c r="A16" s="23" t="s">
        <v>30</v>
      </c>
      <c r="B16" s="7" t="s">
        <v>155</v>
      </c>
      <c r="D16" s="20" t="e">
        <f t="shared" ca="1" si="2"/>
        <v>#NAME?</v>
      </c>
      <c r="E16" s="12" t="e">
        <f ca="1">ROUND(_xll.HPVAL($A16,$A$1,$A$2,$A$4,$A$5,$A$6)/1000,0)</f>
        <v>#NAME?</v>
      </c>
      <c r="F16" s="125" t="e">
        <f t="shared" ca="1" si="0"/>
        <v>#NAME?</v>
      </c>
      <c r="G16" s="2"/>
      <c r="H16" s="2"/>
      <c r="I16" s="3"/>
      <c r="J16" s="1"/>
      <c r="K16" s="20" t="e">
        <f t="shared" ca="1" si="1"/>
        <v>#NAME?</v>
      </c>
      <c r="L16" s="12" t="e">
        <f ca="1">ROUND(_xll.HPVAL($A16,$A$1,$A$3,$A$4,$A$5,$A$6)/1000,0)</f>
        <v>#NAME?</v>
      </c>
      <c r="M16" s="125" t="e">
        <f t="shared" ca="1" si="3"/>
        <v>#NAME?</v>
      </c>
      <c r="N16" s="2"/>
      <c r="O16" s="2"/>
      <c r="P16" s="3"/>
      <c r="Q16" s="1"/>
      <c r="R16" s="1"/>
      <c r="S16" s="1"/>
      <c r="T16" s="1"/>
    </row>
    <row r="17" spans="1:20" ht="11.25" customHeight="1" x14ac:dyDescent="0.2">
      <c r="A17" s="23" t="s">
        <v>4</v>
      </c>
      <c r="B17" s="7" t="s">
        <v>107</v>
      </c>
      <c r="D17" s="20" t="e">
        <f t="shared" ca="1" si="2"/>
        <v>#NAME?</v>
      </c>
      <c r="E17" s="12" t="e">
        <f ca="1">ROUND(_xll.HPVAL($A17,$A$1,$A$2,$A$4,$A$5,$A$6)/1000,0)</f>
        <v>#NAME?</v>
      </c>
      <c r="F17" s="125" t="e">
        <f t="shared" ca="1" si="0"/>
        <v>#NAME?</v>
      </c>
      <c r="G17" s="2"/>
      <c r="H17" s="2"/>
      <c r="I17" s="3"/>
      <c r="J17" s="1"/>
      <c r="K17" s="20" t="e">
        <f t="shared" ca="1" si="1"/>
        <v>#NAME?</v>
      </c>
      <c r="L17" s="12" t="e">
        <f ca="1">ROUND(_xll.HPVAL($A17,$A$1,$A$3,$A$4,$A$5,$A$6)/1000,0)</f>
        <v>#NAME?</v>
      </c>
      <c r="M17" s="125" t="e">
        <f t="shared" ca="1" si="3"/>
        <v>#NAME?</v>
      </c>
      <c r="N17" s="2"/>
      <c r="O17" s="2"/>
      <c r="P17" s="3"/>
      <c r="Q17" s="1"/>
      <c r="R17" s="1"/>
      <c r="S17" s="1"/>
      <c r="T17" s="1"/>
    </row>
    <row r="18" spans="1:20" ht="11.25" customHeight="1" x14ac:dyDescent="0.2">
      <c r="A18" s="23" t="s">
        <v>73</v>
      </c>
      <c r="B18" s="7" t="s">
        <v>156</v>
      </c>
      <c r="D18" s="20" t="e">
        <f t="shared" ca="1" si="2"/>
        <v>#NAME?</v>
      </c>
      <c r="E18" s="12" t="e">
        <f ca="1">ROUND(_xll.HPVAL($A18,$A$1,$A$2,$A$4,$A$5,$A$6)/1000,0)</f>
        <v>#NAME?</v>
      </c>
      <c r="F18" s="125" t="e">
        <f t="shared" ca="1" si="0"/>
        <v>#NAME?</v>
      </c>
      <c r="G18" s="2"/>
      <c r="H18" s="2"/>
      <c r="I18" s="3"/>
      <c r="J18" s="1"/>
      <c r="K18" s="20">
        <v>448</v>
      </c>
      <c r="L18" s="12" t="e">
        <f ca="1">ROUND(_xll.HPVAL($A18,$A$1,$A$3,$A$4,$A$5,$A$6)/1000,0)</f>
        <v>#NAME?</v>
      </c>
      <c r="M18" s="125" t="e">
        <f t="shared" ca="1" si="3"/>
        <v>#NAME?</v>
      </c>
      <c r="N18" s="2"/>
      <c r="O18" s="2"/>
      <c r="P18" s="3"/>
      <c r="Q18" s="1"/>
      <c r="R18" s="1"/>
      <c r="S18" s="1"/>
      <c r="T18" s="1"/>
    </row>
    <row r="19" spans="1:20" ht="11.25" customHeight="1" x14ac:dyDescent="0.2">
      <c r="B19" s="115" t="s">
        <v>69</v>
      </c>
      <c r="C19" s="114"/>
      <c r="D19" s="120" t="e">
        <f ca="1">SUM(D10:D18)</f>
        <v>#NAME?</v>
      </c>
      <c r="E19" s="121" t="e">
        <f ca="1">SUM(E10:E18)</f>
        <v>#NAME?</v>
      </c>
      <c r="F19" s="121" t="e">
        <f ca="1">SUM(F10:F18)</f>
        <v>#NAME?</v>
      </c>
      <c r="G19" s="118"/>
      <c r="H19" s="118"/>
      <c r="I19" s="119"/>
      <c r="J19" s="114"/>
      <c r="K19" s="120" t="e">
        <f ca="1">SUM(K10:K18)</f>
        <v>#NAME?</v>
      </c>
      <c r="L19" s="121" t="e">
        <f ca="1">SUM(L10:L18)</f>
        <v>#NAME?</v>
      </c>
      <c r="M19" s="121" t="e">
        <f ca="1">SUM(M10:M18)</f>
        <v>#NAME?</v>
      </c>
      <c r="N19" s="118"/>
      <c r="O19" s="118"/>
      <c r="P19" s="119"/>
      <c r="Q19" s="1"/>
      <c r="R19" s="1"/>
      <c r="S19" s="1"/>
      <c r="T19" s="1"/>
    </row>
    <row r="20" spans="1:20" ht="3" customHeight="1" x14ac:dyDescent="0.2">
      <c r="B20" s="7"/>
      <c r="D20" s="20"/>
      <c r="E20" s="12"/>
      <c r="F20" s="125"/>
      <c r="G20" s="2"/>
      <c r="H20" s="2"/>
      <c r="I20" s="3"/>
      <c r="J20" s="1"/>
      <c r="K20" s="20"/>
      <c r="L20" s="12"/>
      <c r="M20" s="125"/>
      <c r="N20" s="2"/>
      <c r="O20" s="2"/>
      <c r="P20" s="3"/>
      <c r="Q20" s="1"/>
      <c r="R20" s="1"/>
      <c r="S20" s="1"/>
      <c r="T20" s="1"/>
    </row>
    <row r="21" spans="1:20" ht="11.25" customHeight="1" x14ac:dyDescent="0.2">
      <c r="A21" s="23" t="s">
        <v>32</v>
      </c>
      <c r="B21" s="7" t="s">
        <v>88</v>
      </c>
      <c r="D21" s="20" t="e">
        <f ca="1">E21</f>
        <v>#NAME?</v>
      </c>
      <c r="E21" s="12" t="e">
        <f ca="1">ROUND(_xll.HPVAL($A21,$A$1,$A$2,$A$4,$A$5,$A$6)/1000,0)</f>
        <v>#NAME?</v>
      </c>
      <c r="F21" s="125" t="e">
        <f t="shared" ref="F21:F26" ca="1" si="4">E21-D21</f>
        <v>#NAME?</v>
      </c>
      <c r="G21" s="2"/>
      <c r="H21" s="2"/>
      <c r="I21" s="3"/>
      <c r="J21" s="1"/>
      <c r="K21" s="20" t="e">
        <f t="shared" ref="K21:K26" ca="1" si="5">L21</f>
        <v>#NAME?</v>
      </c>
      <c r="L21" s="12" t="e">
        <f ca="1">ROUND(_xll.HPVAL($A21,$A$1,$A$3,$A$4,$A$5,$A$6)/1000,0)</f>
        <v>#NAME?</v>
      </c>
      <c r="M21" s="125" t="e">
        <f ca="1">ROUND(L21-K21,0)</f>
        <v>#NAME?</v>
      </c>
      <c r="N21" s="2"/>
      <c r="O21" s="2"/>
      <c r="P21" s="3"/>
      <c r="Q21" s="1"/>
      <c r="R21" s="1"/>
      <c r="S21" s="1"/>
      <c r="T21" s="1"/>
    </row>
    <row r="22" spans="1:20" ht="11.25" customHeight="1" x14ac:dyDescent="0.2">
      <c r="A22" s="23" t="s">
        <v>38</v>
      </c>
      <c r="B22" s="7" t="s">
        <v>89</v>
      </c>
      <c r="D22" s="20">
        <v>943</v>
      </c>
      <c r="E22" s="12" t="e">
        <f ca="1">ROUND(_xll.HPVAL($A22,$A$1,$A$2,$A$4,$A$5,$A$6)/1000,0)</f>
        <v>#NAME?</v>
      </c>
      <c r="F22" s="125" t="e">
        <f t="shared" ca="1" si="4"/>
        <v>#NAME?</v>
      </c>
      <c r="G22" s="2" t="s">
        <v>191</v>
      </c>
      <c r="H22" s="2"/>
      <c r="I22" s="3"/>
      <c r="J22" s="1"/>
      <c r="K22" s="20" t="e">
        <f t="shared" ca="1" si="5"/>
        <v>#NAME?</v>
      </c>
      <c r="L22" s="12" t="e">
        <f ca="1">ROUND(_xll.HPVAL($A22,$A$1,$A$3,$A$4,$A$5,$A$6)/1000,0)</f>
        <v>#NAME?</v>
      </c>
      <c r="M22" s="125" t="e">
        <f ca="1">ROUND(L22-K22,0)</f>
        <v>#NAME?</v>
      </c>
      <c r="N22" s="2"/>
      <c r="O22" s="2"/>
      <c r="P22" s="3"/>
      <c r="Q22" s="1"/>
      <c r="R22" s="1"/>
      <c r="S22" s="1"/>
      <c r="T22" s="1"/>
    </row>
    <row r="23" spans="1:20" ht="11.25" customHeight="1" x14ac:dyDescent="0.2">
      <c r="A23" s="23" t="s">
        <v>272</v>
      </c>
      <c r="B23" s="7" t="s">
        <v>271</v>
      </c>
      <c r="D23" s="20">
        <f>93+16</f>
        <v>109</v>
      </c>
      <c r="E23" s="12" t="e">
        <f ca="1">ROUND(_xll.HPVAL($A23,$A$1,$A$2,$A$4,$A$5,$A$6)/1000,0)</f>
        <v>#NAME?</v>
      </c>
      <c r="F23" s="125" t="e">
        <f t="shared" ca="1" si="4"/>
        <v>#NAME?</v>
      </c>
      <c r="G23" s="2" t="s">
        <v>192</v>
      </c>
      <c r="H23" s="2"/>
      <c r="I23" s="3"/>
      <c r="J23" s="1"/>
      <c r="K23" s="20" t="e">
        <f t="shared" ca="1" si="5"/>
        <v>#NAME?</v>
      </c>
      <c r="L23" s="12" t="e">
        <f ca="1">ROUND(_xll.HPVAL($A23,$A$1,$A$3,$A$4,$A$5,$A$6)/1000,0)</f>
        <v>#NAME?</v>
      </c>
      <c r="M23" s="125" t="e">
        <f ca="1">ROUND(L23-K23,0)</f>
        <v>#NAME?</v>
      </c>
      <c r="N23" s="2"/>
      <c r="O23" s="2"/>
      <c r="P23" s="3"/>
      <c r="Q23" s="1"/>
      <c r="R23" s="1"/>
      <c r="S23" s="1"/>
      <c r="T23" s="1"/>
    </row>
    <row r="24" spans="1:20" ht="11.25" customHeight="1" x14ac:dyDescent="0.2">
      <c r="A24" s="23" t="s">
        <v>103</v>
      </c>
      <c r="B24" s="7" t="s">
        <v>104</v>
      </c>
      <c r="D24" s="20" t="e">
        <f ca="1">E24</f>
        <v>#NAME?</v>
      </c>
      <c r="E24" s="12" t="e">
        <f ca="1">ROUND(_xll.HPVAL($A24,$A$1,$A$2,$A$4,$A$5,$A$6)/1000,0)</f>
        <v>#NAME?</v>
      </c>
      <c r="F24" s="125" t="e">
        <f t="shared" ca="1" si="4"/>
        <v>#NAME?</v>
      </c>
      <c r="G24" s="2"/>
      <c r="H24" s="2"/>
      <c r="I24" s="3"/>
      <c r="J24" s="1"/>
      <c r="K24" s="20" t="e">
        <f t="shared" ca="1" si="5"/>
        <v>#NAME?</v>
      </c>
      <c r="L24" s="12" t="e">
        <f ca="1">ROUND(_xll.HPVAL($A24,$A$1,$A$3,$A$4,$A$5,$A$6)/1000,0)</f>
        <v>#NAME?</v>
      </c>
      <c r="M24" s="125" t="e">
        <f ca="1">ROUND(L24-K24,0)</f>
        <v>#NAME?</v>
      </c>
      <c r="N24" s="2"/>
      <c r="O24" s="2"/>
      <c r="P24" s="3"/>
      <c r="Q24" s="1"/>
      <c r="R24" s="1"/>
      <c r="S24" s="1"/>
      <c r="T24" s="1"/>
    </row>
    <row r="25" spans="1:20" ht="11.25" customHeight="1" x14ac:dyDescent="0.2">
      <c r="B25" s="7" t="s">
        <v>425</v>
      </c>
      <c r="D25" s="20">
        <v>167</v>
      </c>
      <c r="E25" s="12">
        <v>376</v>
      </c>
      <c r="F25" s="125">
        <f t="shared" si="4"/>
        <v>209</v>
      </c>
      <c r="G25" s="2"/>
      <c r="H25" s="2"/>
      <c r="I25" s="3"/>
      <c r="J25" s="1"/>
      <c r="K25" s="20">
        <f t="shared" si="5"/>
        <v>1195</v>
      </c>
      <c r="L25" s="12">
        <v>1195</v>
      </c>
      <c r="M25" s="125"/>
      <c r="N25" s="2"/>
      <c r="O25" s="2"/>
      <c r="P25" s="3"/>
      <c r="Q25" s="1"/>
      <c r="R25" s="1"/>
      <c r="S25" s="1"/>
      <c r="T25" s="1"/>
    </row>
    <row r="26" spans="1:20" ht="11.25" customHeight="1" x14ac:dyDescent="0.2">
      <c r="A26" s="23" t="s">
        <v>36</v>
      </c>
      <c r="B26" s="7" t="s">
        <v>0</v>
      </c>
      <c r="D26" s="20" t="e">
        <f ca="1">E26</f>
        <v>#NAME?</v>
      </c>
      <c r="E26" s="12" t="e">
        <f ca="1">ROUND(_xll.HPVAL($A26,$A$1,$A$2,$A$4,$A$5,$A$6)/1000,0)</f>
        <v>#NAME?</v>
      </c>
      <c r="F26" s="125" t="e">
        <f t="shared" ca="1" si="4"/>
        <v>#NAME?</v>
      </c>
      <c r="G26" s="2"/>
      <c r="H26" s="2"/>
      <c r="I26" s="3"/>
      <c r="J26" s="1"/>
      <c r="K26" s="20" t="e">
        <f t="shared" ca="1" si="5"/>
        <v>#NAME?</v>
      </c>
      <c r="L26" s="12" t="e">
        <f ca="1">ROUND(_xll.HPVAL($A26,$A$1,$A$3,$A$4,$A$5,$A$6)/1000,0)</f>
        <v>#NAME?</v>
      </c>
      <c r="M26" s="125" t="e">
        <f ca="1">ROUND(L26-K26,0)</f>
        <v>#NAME?</v>
      </c>
      <c r="N26" s="2"/>
      <c r="O26" s="2"/>
      <c r="P26" s="3"/>
      <c r="Q26" s="1"/>
      <c r="R26" s="1"/>
      <c r="S26" s="1"/>
      <c r="T26" s="1"/>
    </row>
    <row r="27" spans="1:20" ht="11.25" customHeight="1" x14ac:dyDescent="0.2">
      <c r="B27" s="115" t="s">
        <v>1</v>
      </c>
      <c r="C27" s="114"/>
      <c r="D27" s="120" t="e">
        <f ca="1">SUM(D21:D26)</f>
        <v>#NAME?</v>
      </c>
      <c r="E27" s="121" t="e">
        <f ca="1">SUM(E21:E26)</f>
        <v>#NAME?</v>
      </c>
      <c r="F27" s="121" t="e">
        <f ca="1">SUM(F21:F26)</f>
        <v>#NAME?</v>
      </c>
      <c r="G27" s="118"/>
      <c r="H27" s="118"/>
      <c r="I27" s="119"/>
      <c r="J27" s="114"/>
      <c r="K27" s="120" t="e">
        <f ca="1">SUM(K21:K26)</f>
        <v>#NAME?</v>
      </c>
      <c r="L27" s="121" t="e">
        <f ca="1">SUM(L21:L26)</f>
        <v>#NAME?</v>
      </c>
      <c r="M27" s="121" t="e">
        <f ca="1">SUM(M21:M26)</f>
        <v>#NAME?</v>
      </c>
      <c r="N27" s="118"/>
      <c r="O27" s="118"/>
      <c r="P27" s="119"/>
      <c r="Q27" s="1"/>
      <c r="R27" s="1"/>
      <c r="S27" s="1"/>
      <c r="T27" s="1"/>
    </row>
    <row r="28" spans="1:20" ht="3" customHeight="1" x14ac:dyDescent="0.2">
      <c r="B28" s="7"/>
      <c r="D28" s="20"/>
      <c r="E28" s="12"/>
      <c r="F28" s="125"/>
      <c r="G28" s="2"/>
      <c r="H28" s="2"/>
      <c r="I28" s="3"/>
      <c r="J28" s="1"/>
      <c r="K28" s="20"/>
      <c r="L28" s="12"/>
      <c r="M28" s="125"/>
      <c r="N28" s="2"/>
      <c r="O28" s="2"/>
      <c r="P28" s="3"/>
      <c r="Q28" s="1"/>
      <c r="R28" s="1"/>
      <c r="S28" s="1"/>
      <c r="T28" s="1"/>
    </row>
    <row r="29" spans="1:20" ht="11.25" customHeight="1" x14ac:dyDescent="0.2">
      <c r="A29" s="23" t="s">
        <v>37</v>
      </c>
      <c r="B29" s="7" t="s">
        <v>67</v>
      </c>
      <c r="D29" s="20">
        <v>6037</v>
      </c>
      <c r="E29" s="12" t="e">
        <f ca="1">ROUND(_xll.HPVAL($A29,$A$1,$A$2,$A$4,$A$5,$A$6)/1000,0)</f>
        <v>#NAME?</v>
      </c>
      <c r="F29" s="125" t="e">
        <f ca="1">E29-D29</f>
        <v>#NAME?</v>
      </c>
      <c r="G29" s="2"/>
      <c r="H29" s="2"/>
      <c r="I29" s="3"/>
      <c r="J29" s="1"/>
      <c r="K29" s="20" t="e">
        <f ca="1">L29</f>
        <v>#NAME?</v>
      </c>
      <c r="L29" s="12" t="e">
        <f ca="1">ROUND(_xll.HPVAL($A29,$A$1,$A$3,$A$4,$A$5,$A$6)/1000,0)</f>
        <v>#NAME?</v>
      </c>
      <c r="M29" s="125" t="e">
        <f ca="1">ROUND(L29-K29,0)</f>
        <v>#NAME?</v>
      </c>
      <c r="N29" s="2"/>
      <c r="O29" s="2"/>
      <c r="P29" s="3"/>
      <c r="Q29" s="1"/>
      <c r="R29" s="1"/>
      <c r="S29" s="1"/>
      <c r="T29" s="1"/>
    </row>
    <row r="30" spans="1:20" ht="11.25" customHeight="1" x14ac:dyDescent="0.25">
      <c r="A30" s="23" t="s">
        <v>41</v>
      </c>
      <c r="B30" s="29" t="s">
        <v>415</v>
      </c>
      <c r="C30" s="72"/>
      <c r="D30" s="20">
        <v>12032</v>
      </c>
      <c r="E30" s="12" t="e">
        <f ca="1">ROUND(_xll.HPVAL($A30,$A$1,$A$2,$A$4,$A$5,$A$6)/1000,0)</f>
        <v>#NAME?</v>
      </c>
      <c r="F30" s="125" t="e">
        <f ca="1">E30-D30</f>
        <v>#NAME?</v>
      </c>
      <c r="G30" s="2"/>
      <c r="H30" s="2"/>
      <c r="I30" s="3"/>
      <c r="J30" s="1"/>
      <c r="K30" s="20" t="e">
        <f ca="1">L30</f>
        <v>#NAME?</v>
      </c>
      <c r="L30" s="12" t="e">
        <f ca="1">ROUND(_xll.HPVAL($A30,$A$1,$A$3,$A$4,$A$5,$A$6)/1000,0)</f>
        <v>#NAME?</v>
      </c>
      <c r="M30" s="125" t="e">
        <f ca="1">ROUND(L30-K30,0)</f>
        <v>#NAME?</v>
      </c>
      <c r="N30" s="2"/>
      <c r="O30" s="2"/>
      <c r="P30" s="3"/>
      <c r="Q30" s="1"/>
      <c r="R30" s="1"/>
      <c r="S30" s="1"/>
      <c r="T30" s="1"/>
    </row>
    <row r="31" spans="1:20" ht="11.25" customHeight="1" x14ac:dyDescent="0.25">
      <c r="A31" s="23" t="s">
        <v>42</v>
      </c>
      <c r="B31" s="29" t="s">
        <v>416</v>
      </c>
      <c r="C31" s="72"/>
      <c r="D31" s="20" t="e">
        <f ca="1">E31</f>
        <v>#NAME?</v>
      </c>
      <c r="E31" s="12" t="e">
        <f ca="1">ROUND(_xll.HPVAL($A31,$A$1,$A$2,$A$4,$A$5,$A$6)/1000,0)</f>
        <v>#NAME?</v>
      </c>
      <c r="F31" s="125" t="e">
        <f ca="1">E31-D31</f>
        <v>#NAME?</v>
      </c>
      <c r="G31" s="2"/>
      <c r="H31" s="2"/>
      <c r="I31" s="3"/>
      <c r="J31" s="1"/>
      <c r="K31" s="20" t="e">
        <f ca="1">L31</f>
        <v>#NAME?</v>
      </c>
      <c r="L31" s="12" t="e">
        <f ca="1">ROUND(_xll.HPVAL($A31,$A$1,$A$3,$A$4,$A$5,$A$6)/1000,0)</f>
        <v>#NAME?</v>
      </c>
      <c r="M31" s="125" t="e">
        <f ca="1">ROUND(L31-K31,0)</f>
        <v>#NAME?</v>
      </c>
      <c r="N31" s="2"/>
      <c r="O31" s="2"/>
      <c r="P31" s="3"/>
      <c r="Q31" s="1"/>
      <c r="R31" s="1"/>
      <c r="S31" s="1"/>
      <c r="T31" s="1"/>
    </row>
    <row r="32" spans="1:20" ht="11.25" customHeight="1" x14ac:dyDescent="0.2">
      <c r="B32" s="115" t="s">
        <v>86</v>
      </c>
      <c r="C32" s="114"/>
      <c r="D32" s="120" t="e">
        <f ca="1">SUM(D29:D31)</f>
        <v>#NAME?</v>
      </c>
      <c r="E32" s="121" t="e">
        <f ca="1">SUM(E29:E31)</f>
        <v>#NAME?</v>
      </c>
      <c r="F32" s="121" t="e">
        <f ca="1">SUM(F29:F31)</f>
        <v>#NAME?</v>
      </c>
      <c r="G32" s="118"/>
      <c r="H32" s="118"/>
      <c r="I32" s="119"/>
      <c r="J32" s="114"/>
      <c r="K32" s="120" t="e">
        <f ca="1">SUM(K29:K31)</f>
        <v>#NAME?</v>
      </c>
      <c r="L32" s="121" t="e">
        <f ca="1">SUM(L29:L31)</f>
        <v>#NAME?</v>
      </c>
      <c r="M32" s="121" t="e">
        <f ca="1">SUM(M29:M31)</f>
        <v>#NAME?</v>
      </c>
      <c r="N32" s="118"/>
      <c r="O32" s="118"/>
      <c r="P32" s="119"/>
      <c r="Q32" s="1"/>
      <c r="R32" s="1"/>
      <c r="S32" s="1"/>
      <c r="T32" s="1"/>
    </row>
    <row r="33" spans="1:20" ht="3" customHeight="1" x14ac:dyDescent="0.2">
      <c r="B33" s="7"/>
      <c r="D33" s="20"/>
      <c r="E33" s="12"/>
      <c r="F33" s="125"/>
      <c r="G33" s="2"/>
      <c r="H33" s="2"/>
      <c r="I33" s="3"/>
      <c r="J33" s="1"/>
      <c r="K33" s="20"/>
      <c r="L33" s="12"/>
      <c r="M33" s="125"/>
      <c r="N33" s="2"/>
      <c r="O33" s="2"/>
      <c r="P33" s="3"/>
      <c r="Q33" s="1"/>
      <c r="R33" s="1"/>
      <c r="S33" s="1"/>
      <c r="T33" s="1"/>
    </row>
    <row r="34" spans="1:20" ht="11.25" customHeight="1" x14ac:dyDescent="0.2">
      <c r="A34" s="23" t="s">
        <v>40</v>
      </c>
      <c r="B34" s="7" t="s">
        <v>9</v>
      </c>
      <c r="D34" s="20">
        <v>704</v>
      </c>
      <c r="E34" s="12" t="e">
        <f ca="1">ROUND(_xll.HPVAL($A34,$A$1,$A$2,$A$4,$A$5,$A$6)/1000,0)</f>
        <v>#NAME?</v>
      </c>
      <c r="F34" s="125" t="e">
        <f ca="1">E34-D34</f>
        <v>#NAME?</v>
      </c>
      <c r="G34" s="2" t="s">
        <v>193</v>
      </c>
      <c r="H34" s="2"/>
      <c r="I34" s="3"/>
      <c r="J34" s="1"/>
      <c r="K34" s="20" t="e">
        <f ca="1">L34</f>
        <v>#NAME?</v>
      </c>
      <c r="L34" s="12" t="e">
        <f ca="1">ROUND(_xll.HPVAL($A34,$A$1,$A$3,$A$4,$A$5,$A$6)/1000,0)</f>
        <v>#NAME?</v>
      </c>
      <c r="M34" s="125" t="e">
        <f ca="1">ROUND(L34-K34,0)</f>
        <v>#NAME?</v>
      </c>
      <c r="N34" s="2"/>
      <c r="O34" s="2"/>
      <c r="P34" s="3"/>
      <c r="Q34" s="1"/>
      <c r="R34" s="1"/>
      <c r="S34" s="1"/>
      <c r="T34" s="1"/>
    </row>
    <row r="35" spans="1:20" ht="11.25" customHeight="1" x14ac:dyDescent="0.2">
      <c r="A35" s="23" t="s">
        <v>39</v>
      </c>
      <c r="B35" s="7" t="s">
        <v>440</v>
      </c>
      <c r="D35" s="20">
        <v>3134</v>
      </c>
      <c r="E35" s="12" t="e">
        <f ca="1">ROUND(_xll.HPVAL($A35,$A$1,$A$2,$A$4,$A$5,$A$6)/1000,0)</f>
        <v>#NAME?</v>
      </c>
      <c r="F35" s="125" t="e">
        <f ca="1">E35-D35</f>
        <v>#NAME?</v>
      </c>
      <c r="G35" s="164" t="s">
        <v>470</v>
      </c>
      <c r="H35" s="2"/>
      <c r="I35" s="3"/>
      <c r="J35" s="1"/>
      <c r="K35" s="20" t="e">
        <f ca="1">L35</f>
        <v>#NAME?</v>
      </c>
      <c r="L35" s="12" t="e">
        <f ca="1">ROUND(_xll.HPVAL($A35,$A$1,$A$3,$A$4,$A$5,$A$6)/1000,0)</f>
        <v>#NAME?</v>
      </c>
      <c r="M35" s="125" t="e">
        <f ca="1">ROUND(L35-K35,0)</f>
        <v>#NAME?</v>
      </c>
      <c r="N35" s="2"/>
      <c r="O35" s="2"/>
      <c r="P35" s="3"/>
      <c r="Q35" s="1"/>
      <c r="R35" s="1"/>
      <c r="S35" s="1"/>
      <c r="T35" s="1"/>
    </row>
    <row r="36" spans="1:20" ht="11.25" hidden="1" customHeight="1" x14ac:dyDescent="0.2">
      <c r="A36" s="23" t="s">
        <v>153</v>
      </c>
      <c r="B36" s="7" t="s">
        <v>180</v>
      </c>
      <c r="D36" s="20">
        <f>2049+1805</f>
        <v>3854</v>
      </c>
      <c r="E36" s="12" t="e">
        <f ca="1">ROUND(_xll.HPVAL($A36,$A$1,$A$2,$A$4,$A$5,$A$6)/1000,0)</f>
        <v>#NAME?</v>
      </c>
      <c r="F36" s="125" t="e">
        <f ca="1">E36-D36</f>
        <v>#NAME?</v>
      </c>
      <c r="G36" s="163"/>
      <c r="H36" s="2"/>
      <c r="I36" s="3"/>
      <c r="J36" s="1"/>
      <c r="K36" s="20" t="e">
        <f ca="1">L36</f>
        <v>#NAME?</v>
      </c>
      <c r="L36" s="12" t="e">
        <f ca="1">ROUND(_xll.HPVAL($A36,$A$1,$A$3,$A$4,$A$5,$A$6)/1000,0)</f>
        <v>#NAME?</v>
      </c>
      <c r="M36" s="125" t="e">
        <f ca="1">ROUND(L36-K36,0)</f>
        <v>#NAME?</v>
      </c>
      <c r="N36" s="2"/>
      <c r="O36" s="2"/>
      <c r="P36" s="3"/>
      <c r="Q36" s="1"/>
      <c r="R36" s="1"/>
      <c r="S36" s="1"/>
      <c r="T36" s="1"/>
    </row>
    <row r="37" spans="1:20" ht="11.25" hidden="1" customHeight="1" x14ac:dyDescent="0.2">
      <c r="A37" s="23" t="s">
        <v>157</v>
      </c>
      <c r="B37" s="7" t="s">
        <v>154</v>
      </c>
      <c r="D37" s="20">
        <v>3797</v>
      </c>
      <c r="E37" s="12" t="e">
        <f ca="1">ROUND(_xll.HPVAL($A37,$A$1,$A$2,$A$4,$A$5,$A$6)/1000,0)</f>
        <v>#NAME?</v>
      </c>
      <c r="F37" s="125" t="e">
        <f ca="1">E37-D37</f>
        <v>#NAME?</v>
      </c>
      <c r="G37" s="2"/>
      <c r="H37" s="2"/>
      <c r="I37" s="3"/>
      <c r="J37" s="1"/>
      <c r="K37" s="20" t="e">
        <f ca="1">L37</f>
        <v>#NAME?</v>
      </c>
      <c r="L37" s="12" t="e">
        <f ca="1">ROUND(_xll.HPVAL($A37,$A$1,$A$3,$A$4,$A$5,$A$6)/1000,0)</f>
        <v>#NAME?</v>
      </c>
      <c r="M37" s="125" t="e">
        <f ca="1">ROUND(L37-K37,0)</f>
        <v>#NAME?</v>
      </c>
      <c r="N37" s="2"/>
      <c r="O37" s="2"/>
      <c r="P37" s="3"/>
      <c r="Q37" s="1"/>
      <c r="R37" s="1"/>
      <c r="S37" s="1"/>
      <c r="T37" s="1"/>
    </row>
    <row r="38" spans="1:20" ht="11.25" customHeight="1" x14ac:dyDescent="0.2">
      <c r="B38" s="7" t="s">
        <v>154</v>
      </c>
      <c r="D38" s="20">
        <f>SUM(D36:D37)</f>
        <v>7651</v>
      </c>
      <c r="E38" s="12" t="e">
        <f ca="1">SUM(E36:E37)</f>
        <v>#NAME?</v>
      </c>
      <c r="F38" s="125" t="e">
        <f ca="1">SUM(F36:F37)</f>
        <v>#NAME?</v>
      </c>
      <c r="G38" s="2"/>
      <c r="H38" s="2"/>
      <c r="I38" s="3"/>
      <c r="J38" s="1"/>
      <c r="K38" s="20" t="e">
        <f ca="1">SUM(K36:K37)</f>
        <v>#NAME?</v>
      </c>
      <c r="L38" s="12" t="e">
        <f ca="1">SUM(L36:L37)</f>
        <v>#NAME?</v>
      </c>
      <c r="M38" s="125" t="e">
        <f ca="1">ROUND(L38-K38,0)</f>
        <v>#NAME?</v>
      </c>
      <c r="N38" s="2"/>
      <c r="O38" s="2"/>
      <c r="P38" s="3"/>
      <c r="Q38" s="1"/>
      <c r="R38" s="1"/>
      <c r="S38" s="1"/>
      <c r="T38" s="1"/>
    </row>
    <row r="39" spans="1:20" ht="11.25" customHeight="1" x14ac:dyDescent="0.2">
      <c r="B39" s="115" t="s">
        <v>87</v>
      </c>
      <c r="C39" s="114"/>
      <c r="D39" s="120">
        <f>SUM(D34:D37)</f>
        <v>11489</v>
      </c>
      <c r="E39" s="121" t="e">
        <f ca="1">SUM(E34:E37)</f>
        <v>#NAME?</v>
      </c>
      <c r="F39" s="121" t="e">
        <f ca="1">SUM(F34:F37)</f>
        <v>#NAME?</v>
      </c>
      <c r="G39" s="118"/>
      <c r="H39" s="118"/>
      <c r="I39" s="119"/>
      <c r="J39" s="114"/>
      <c r="K39" s="120" t="e">
        <f ca="1">SUM(K34:K37)</f>
        <v>#NAME?</v>
      </c>
      <c r="L39" s="121" t="e">
        <f ca="1">SUM(L34:L37)</f>
        <v>#NAME?</v>
      </c>
      <c r="M39" s="121" t="e">
        <f ca="1">SUM(M34:M38)</f>
        <v>#NAME?</v>
      </c>
      <c r="N39" s="118"/>
      <c r="O39" s="118"/>
      <c r="P39" s="119"/>
      <c r="Q39" s="1"/>
      <c r="R39" s="1"/>
      <c r="S39" s="1"/>
      <c r="T39" s="1"/>
    </row>
    <row r="40" spans="1:20" ht="3" customHeight="1" x14ac:dyDescent="0.2">
      <c r="B40" s="7"/>
      <c r="D40" s="20"/>
      <c r="E40" s="12"/>
      <c r="F40" s="125"/>
      <c r="G40" s="2"/>
      <c r="H40" s="2"/>
      <c r="I40" s="3"/>
      <c r="J40" s="1"/>
      <c r="K40" s="20"/>
      <c r="L40" s="12"/>
      <c r="M40" s="125"/>
      <c r="N40" s="2"/>
      <c r="O40" s="2"/>
      <c r="P40" s="3"/>
      <c r="Q40" s="1"/>
      <c r="R40" s="1"/>
      <c r="S40" s="1"/>
      <c r="T40" s="1"/>
    </row>
    <row r="41" spans="1:20" ht="11.25" customHeight="1" x14ac:dyDescent="0.2">
      <c r="A41" s="23" t="s">
        <v>82</v>
      </c>
      <c r="B41" s="7" t="s">
        <v>8</v>
      </c>
      <c r="C41" s="72"/>
      <c r="D41" s="20" t="e">
        <f ca="1">E41</f>
        <v>#NAME?</v>
      </c>
      <c r="E41" s="12" t="e">
        <f ca="1">ROUND(_xll.HPVAL($A41,$A$1,$A$2,$A$4,$A$5,$A$6)/1000,0)</f>
        <v>#NAME?</v>
      </c>
      <c r="F41" s="125" t="e">
        <f ca="1">E41-D41</f>
        <v>#NAME?</v>
      </c>
      <c r="G41" s="2"/>
      <c r="H41" s="2"/>
      <c r="I41" s="3"/>
      <c r="J41" s="1"/>
      <c r="K41" s="20" t="e">
        <f ca="1">L41</f>
        <v>#NAME?</v>
      </c>
      <c r="L41" s="12" t="e">
        <f ca="1">ROUND(_xll.HPVAL($A41,$A$1,$A$3,$A$4,$A$5,$A$6)/1000,0)</f>
        <v>#NAME?</v>
      </c>
      <c r="M41" s="125" t="e">
        <f ca="1">ROUND(L41-K41,0)</f>
        <v>#NAME?</v>
      </c>
      <c r="N41" s="2"/>
      <c r="O41" s="2"/>
      <c r="P41" s="3"/>
      <c r="Q41" s="1"/>
      <c r="R41" s="1"/>
      <c r="S41" s="1"/>
      <c r="T41" s="1"/>
    </row>
    <row r="42" spans="1:20" ht="3" customHeight="1" x14ac:dyDescent="0.2">
      <c r="B42" s="7"/>
      <c r="C42" s="72"/>
      <c r="D42" s="20"/>
      <c r="E42" s="12"/>
      <c r="F42" s="125"/>
      <c r="G42" s="2"/>
      <c r="H42" s="2"/>
      <c r="I42" s="3"/>
      <c r="J42" s="1"/>
      <c r="K42" s="20"/>
      <c r="L42" s="12"/>
      <c r="M42" s="125"/>
      <c r="N42" s="2"/>
      <c r="O42" s="2"/>
      <c r="P42" s="3"/>
      <c r="Q42" s="1"/>
      <c r="R42" s="1"/>
      <c r="S42" s="1"/>
      <c r="T42" s="1"/>
    </row>
    <row r="43" spans="1:20" ht="11.25" customHeight="1" x14ac:dyDescent="0.2">
      <c r="A43" s="23" t="s">
        <v>44</v>
      </c>
      <c r="B43" s="7" t="s">
        <v>7</v>
      </c>
      <c r="C43" s="72"/>
      <c r="D43" s="20" t="e">
        <f ca="1">E43</f>
        <v>#NAME?</v>
      </c>
      <c r="E43" s="12" t="e">
        <f ca="1">ROUND(_xll.HPVAL($A43,$A$1,$A$2,$A$4,$A$5,$A$6)/1000,0)</f>
        <v>#NAME?</v>
      </c>
      <c r="F43" s="125" t="e">
        <f ca="1">E43-D43</f>
        <v>#NAME?</v>
      </c>
      <c r="G43" s="2"/>
      <c r="H43" s="2"/>
      <c r="I43" s="3"/>
      <c r="J43" s="1"/>
      <c r="K43" s="20">
        <v>4086</v>
      </c>
      <c r="L43" s="12" t="e">
        <f ca="1">ROUND(_xll.HPVAL($A43,$A$1,$A$3,$A$4,$A$5,$A$6)/1000,0)</f>
        <v>#NAME?</v>
      </c>
      <c r="M43" s="125" t="e">
        <f ca="1">ROUND(L43-K43,0)</f>
        <v>#NAME?</v>
      </c>
      <c r="N43" s="2"/>
      <c r="O43" s="2"/>
      <c r="P43" s="3"/>
      <c r="Q43" s="1"/>
      <c r="R43" s="1"/>
      <c r="S43" s="1"/>
      <c r="T43" s="1"/>
    </row>
    <row r="44" spans="1:20" ht="3" customHeight="1" x14ac:dyDescent="0.2">
      <c r="B44" s="7"/>
      <c r="C44" s="72"/>
      <c r="D44" s="20"/>
      <c r="E44" s="12"/>
      <c r="F44" s="125"/>
      <c r="G44" s="2"/>
      <c r="H44" s="2"/>
      <c r="I44" s="3"/>
      <c r="J44" s="1"/>
      <c r="K44" s="20"/>
      <c r="L44" s="12"/>
      <c r="M44" s="125"/>
      <c r="N44" s="2"/>
      <c r="O44" s="2"/>
      <c r="P44" s="3"/>
      <c r="Q44" s="1"/>
      <c r="R44" s="1"/>
      <c r="S44" s="1"/>
      <c r="T44" s="1"/>
    </row>
    <row r="45" spans="1:20" ht="11.25" customHeight="1" x14ac:dyDescent="0.2">
      <c r="B45" s="7" t="s">
        <v>60</v>
      </c>
      <c r="C45" s="72"/>
      <c r="D45" s="20" t="e">
        <f ca="1">-SUM(D39:D43,D19,D27,D32)</f>
        <v>#NAME?</v>
      </c>
      <c r="E45" s="12" t="e">
        <f ca="1">-SUM(E39:E43,E19,E27,E32)</f>
        <v>#NAME?</v>
      </c>
      <c r="F45" s="125" t="e">
        <f ca="1">E45-D45</f>
        <v>#NAME?</v>
      </c>
      <c r="G45" s="2"/>
      <c r="H45" s="2"/>
      <c r="I45" s="3"/>
      <c r="J45" s="1"/>
      <c r="K45" s="20">
        <f>L45</f>
        <v>0</v>
      </c>
      <c r="L45" s="12"/>
      <c r="M45" s="125"/>
      <c r="N45" s="2"/>
      <c r="O45" s="2"/>
      <c r="P45" s="3"/>
      <c r="Q45" s="1"/>
      <c r="R45" s="1"/>
      <c r="S45" s="1"/>
      <c r="T45" s="1"/>
    </row>
    <row r="46" spans="1:20" ht="3" customHeight="1" x14ac:dyDescent="0.2">
      <c r="B46" s="7"/>
      <c r="D46" s="20"/>
      <c r="E46" s="12"/>
      <c r="F46" s="125"/>
      <c r="G46" s="2"/>
      <c r="H46" s="2"/>
      <c r="I46" s="3"/>
      <c r="J46" s="1"/>
      <c r="K46" s="20"/>
      <c r="L46" s="12"/>
      <c r="M46" s="125"/>
      <c r="N46" s="2"/>
      <c r="O46" s="2"/>
      <c r="P46" s="3"/>
      <c r="Q46" s="1"/>
      <c r="R46" s="1"/>
      <c r="S46" s="1"/>
      <c r="T46" s="1"/>
    </row>
    <row r="47" spans="1:20" s="114" customFormat="1" ht="11.25" customHeight="1" x14ac:dyDescent="0.2">
      <c r="B47" s="115" t="s">
        <v>10</v>
      </c>
      <c r="D47" s="120" t="e">
        <f ca="1">SUM(D39:D45)+D32+D27+D19</f>
        <v>#NAME?</v>
      </c>
      <c r="E47" s="121" t="e">
        <f ca="1">SUM(E39:E45)+E32+E27+E19</f>
        <v>#NAME?</v>
      </c>
      <c r="F47" s="121" t="e">
        <f ca="1">SUM(F39:F45)+F32+F27+F19</f>
        <v>#NAME?</v>
      </c>
      <c r="G47" s="118"/>
      <c r="H47" s="118"/>
      <c r="I47" s="119"/>
      <c r="K47" s="120" t="e">
        <f ca="1">SUM(K39:K45)+K32+K27+K19</f>
        <v>#NAME?</v>
      </c>
      <c r="L47" s="121" t="e">
        <f ca="1">SUM(L39:L45)+L32+L27+L19</f>
        <v>#NAME?</v>
      </c>
      <c r="M47" s="121" t="e">
        <f ca="1">SUM(M39:M45)+M32+M27+M19</f>
        <v>#NAME?</v>
      </c>
      <c r="N47" s="118"/>
      <c r="O47" s="118"/>
      <c r="P47" s="119"/>
    </row>
    <row r="48" spans="1:20" ht="3" customHeight="1" x14ac:dyDescent="0.2">
      <c r="B48" s="7"/>
      <c r="D48" s="20"/>
      <c r="E48" s="12"/>
      <c r="F48" s="125"/>
      <c r="G48" s="2"/>
      <c r="H48" s="2"/>
      <c r="I48" s="3"/>
      <c r="J48" s="1"/>
      <c r="K48" s="20"/>
      <c r="L48" s="12"/>
      <c r="M48" s="125"/>
      <c r="N48" s="2"/>
      <c r="O48" s="2"/>
      <c r="P48" s="3"/>
      <c r="Q48" s="1"/>
      <c r="R48" s="1"/>
      <c r="S48" s="1"/>
      <c r="T48" s="1"/>
    </row>
    <row r="49" spans="1:20" ht="11.25" customHeight="1" x14ac:dyDescent="0.2">
      <c r="A49" s="23" t="s">
        <v>45</v>
      </c>
      <c r="B49" s="7" t="s">
        <v>48</v>
      </c>
      <c r="C49" s="72"/>
      <c r="D49" s="20" t="e">
        <f ca="1">E49</f>
        <v>#NAME?</v>
      </c>
      <c r="E49" s="12" t="e">
        <f ca="1">_xll.HPVAL($A49,$A$1,$A$2,$A$4,$A$5,$A$6)/1000</f>
        <v>#NAME?</v>
      </c>
      <c r="F49" s="125" t="e">
        <f ca="1">E49-D49</f>
        <v>#NAME?</v>
      </c>
      <c r="G49" s="2"/>
      <c r="H49" s="2"/>
      <c r="I49" s="3"/>
      <c r="J49" s="1"/>
      <c r="K49" s="20" t="e">
        <f ca="1">-K47</f>
        <v>#NAME?</v>
      </c>
      <c r="L49" s="12" t="e">
        <f ca="1">-L47</f>
        <v>#NAME?</v>
      </c>
      <c r="M49" s="125" t="e">
        <f ca="1">ROUND(L49-K49,0)</f>
        <v>#NAME?</v>
      </c>
      <c r="N49" s="2"/>
      <c r="O49" s="2"/>
      <c r="P49" s="3"/>
      <c r="Q49" s="1"/>
      <c r="R49" s="1"/>
      <c r="S49" s="1"/>
      <c r="T49" s="1"/>
    </row>
    <row r="50" spans="1:20" ht="3" customHeight="1" x14ac:dyDescent="0.2">
      <c r="B50" s="7"/>
      <c r="D50" s="20"/>
      <c r="E50" s="12"/>
      <c r="F50" s="125"/>
      <c r="G50" s="2"/>
      <c r="H50" s="2"/>
      <c r="I50" s="3"/>
      <c r="J50" s="1"/>
      <c r="K50" s="20"/>
      <c r="L50" s="12"/>
      <c r="M50" s="125"/>
      <c r="N50" s="2"/>
      <c r="O50" s="2"/>
      <c r="P50" s="3"/>
      <c r="Q50" s="1"/>
      <c r="R50" s="1"/>
      <c r="S50" s="1"/>
      <c r="T50" s="1"/>
    </row>
    <row r="51" spans="1:20" s="114" customFormat="1" ht="11.25" customHeight="1" x14ac:dyDescent="0.2">
      <c r="B51" s="115" t="s">
        <v>14</v>
      </c>
      <c r="D51" s="108" t="e">
        <f ca="1">D49+D47</f>
        <v>#NAME?</v>
      </c>
      <c r="E51" s="109" t="e">
        <f ca="1">E49+E47</f>
        <v>#NAME?</v>
      </c>
      <c r="F51" s="109" t="e">
        <f ca="1">F49+F47</f>
        <v>#NAME?</v>
      </c>
      <c r="G51" s="118"/>
      <c r="H51" s="118"/>
      <c r="I51" s="119"/>
      <c r="K51" s="108" t="e">
        <f ca="1">K49+K47</f>
        <v>#NAME?</v>
      </c>
      <c r="L51" s="109" t="e">
        <f ca="1">L49+L47</f>
        <v>#NAME?</v>
      </c>
      <c r="M51" s="109" t="e">
        <f ca="1">M49+M47</f>
        <v>#NAME?</v>
      </c>
      <c r="N51" s="118"/>
      <c r="O51" s="118"/>
      <c r="P51" s="119"/>
    </row>
    <row r="52" spans="1:20" ht="3" customHeight="1" x14ac:dyDescent="0.2">
      <c r="B52" s="19"/>
      <c r="D52" s="21"/>
      <c r="E52" s="15"/>
      <c r="F52" s="15"/>
      <c r="G52" s="14"/>
      <c r="H52" s="14"/>
      <c r="I52" s="22"/>
      <c r="J52" s="1"/>
      <c r="K52" s="21"/>
      <c r="L52" s="15"/>
      <c r="M52" s="15"/>
      <c r="N52" s="14"/>
      <c r="O52" s="14"/>
      <c r="P52" s="22"/>
      <c r="Q52" s="1"/>
      <c r="R52" s="1"/>
      <c r="S52" s="1"/>
      <c r="T52" s="1"/>
    </row>
    <row r="53" spans="1:20" x14ac:dyDescent="0.2">
      <c r="D53" s="5"/>
      <c r="E53" s="5"/>
      <c r="F53" s="5"/>
      <c r="G53" s="1"/>
      <c r="H53" s="1"/>
      <c r="I53" s="1"/>
      <c r="J53" s="1"/>
      <c r="K53" s="5"/>
      <c r="L53" s="5"/>
      <c r="M53" s="5"/>
      <c r="N53" s="1"/>
      <c r="O53" s="1"/>
      <c r="P53" s="1"/>
      <c r="Q53" s="1"/>
      <c r="R53" s="1"/>
      <c r="S53" s="1"/>
      <c r="T53" s="1"/>
    </row>
    <row r="54" spans="1:20" x14ac:dyDescent="0.2">
      <c r="D54" s="5"/>
      <c r="E54" s="5"/>
      <c r="F54" s="5"/>
      <c r="G54" s="1"/>
      <c r="H54" s="1"/>
      <c r="I54" s="1"/>
      <c r="J54" s="1"/>
      <c r="K54" s="5"/>
      <c r="L54" s="5"/>
      <c r="M54" s="5"/>
      <c r="N54" s="1"/>
      <c r="O54" s="1"/>
      <c r="P54" s="1"/>
      <c r="Q54" s="1"/>
      <c r="R54" s="1"/>
      <c r="S54" s="1"/>
      <c r="T54" s="1"/>
    </row>
    <row r="55" spans="1:20" x14ac:dyDescent="0.2">
      <c r="D55" s="5"/>
      <c r="E55" s="5"/>
      <c r="F55" s="5"/>
      <c r="G55" s="1"/>
      <c r="H55" s="1"/>
      <c r="I55" s="1"/>
      <c r="J55" s="1"/>
      <c r="K55" s="5"/>
      <c r="L55" s="5"/>
      <c r="M55" s="5"/>
      <c r="N55" s="1"/>
      <c r="O55" s="1"/>
      <c r="P55" s="1"/>
      <c r="Q55" s="1"/>
      <c r="R55" s="1"/>
      <c r="S55" s="1"/>
      <c r="T55" s="1"/>
    </row>
    <row r="56" spans="1:20" x14ac:dyDescent="0.2">
      <c r="D56" s="5"/>
      <c r="E56" s="5"/>
      <c r="F56" s="5"/>
      <c r="G56" s="1"/>
      <c r="H56" s="1"/>
      <c r="I56" s="1"/>
      <c r="J56" s="1"/>
      <c r="K56" s="5"/>
      <c r="L56" s="5"/>
      <c r="M56" s="5"/>
      <c r="N56" s="1"/>
      <c r="O56" s="1"/>
      <c r="P56" s="1"/>
      <c r="Q56" s="1"/>
      <c r="R56" s="1"/>
      <c r="S56" s="1"/>
      <c r="T56" s="1"/>
    </row>
    <row r="57" spans="1:20" x14ac:dyDescent="0.2">
      <c r="D57" s="5"/>
      <c r="E57" s="5"/>
      <c r="F57" s="5"/>
      <c r="G57" s="1"/>
      <c r="H57" s="1"/>
      <c r="I57" s="1"/>
      <c r="J57" s="1"/>
      <c r="K57" s="5"/>
      <c r="L57" s="5"/>
      <c r="M57" s="5"/>
      <c r="N57" s="1"/>
      <c r="O57" s="1"/>
      <c r="P57" s="1"/>
      <c r="Q57" s="1"/>
      <c r="R57" s="1"/>
      <c r="S57" s="1"/>
      <c r="T57" s="1"/>
    </row>
    <row r="58" spans="1:20" x14ac:dyDescent="0.2">
      <c r="D58" s="5"/>
      <c r="E58" s="5"/>
      <c r="F58" s="5"/>
      <c r="G58" s="1"/>
      <c r="H58" s="1"/>
      <c r="I58" s="1"/>
      <c r="J58" s="1"/>
      <c r="K58" s="5"/>
      <c r="L58" s="5"/>
      <c r="M58" s="5"/>
      <c r="N58" s="1"/>
      <c r="O58" s="1"/>
      <c r="P58" s="1"/>
      <c r="Q58" s="1"/>
      <c r="R58" s="1"/>
      <c r="S58" s="1"/>
      <c r="T58" s="1"/>
    </row>
    <row r="59" spans="1:20" x14ac:dyDescent="0.2">
      <c r="D59" s="5"/>
      <c r="E59" s="5"/>
      <c r="F59" s="5"/>
      <c r="G59" s="1"/>
      <c r="H59" s="1"/>
      <c r="I59" s="1"/>
      <c r="J59" s="1"/>
      <c r="K59" s="5"/>
      <c r="L59" s="5"/>
      <c r="M59" s="5"/>
      <c r="N59" s="1"/>
      <c r="O59" s="1"/>
      <c r="P59" s="1"/>
      <c r="Q59" s="1"/>
      <c r="R59" s="1"/>
      <c r="S59" s="1"/>
      <c r="T59" s="1"/>
    </row>
    <row r="60" spans="1:20" x14ac:dyDescent="0.2">
      <c r="D60" s="5"/>
      <c r="E60" s="5"/>
      <c r="F60" s="5"/>
      <c r="G60" s="1"/>
      <c r="H60" s="1"/>
      <c r="I60" s="1"/>
      <c r="J60" s="1"/>
      <c r="K60" s="5"/>
      <c r="L60" s="5"/>
      <c r="M60" s="5"/>
      <c r="N60" s="1"/>
      <c r="O60" s="1"/>
      <c r="P60" s="1"/>
      <c r="Q60" s="1"/>
      <c r="R60" s="1"/>
      <c r="S60" s="1"/>
      <c r="T60" s="1"/>
    </row>
    <row r="61" spans="1:20" x14ac:dyDescent="0.2">
      <c r="D61" s="5"/>
      <c r="E61" s="5"/>
      <c r="F61" s="5"/>
      <c r="G61" s="1"/>
      <c r="H61" s="1"/>
      <c r="I61" s="1"/>
      <c r="J61" s="1"/>
      <c r="K61" s="5"/>
      <c r="L61" s="5"/>
      <c r="M61" s="5"/>
      <c r="N61" s="1"/>
      <c r="O61" s="1"/>
      <c r="P61" s="1"/>
      <c r="Q61" s="1"/>
      <c r="R61" s="1"/>
      <c r="S61" s="1"/>
      <c r="T61" s="1"/>
    </row>
    <row r="62" spans="1:20" x14ac:dyDescent="0.2">
      <c r="D62" s="5"/>
      <c r="E62" s="5"/>
      <c r="F62" s="5"/>
      <c r="G62" s="1"/>
      <c r="H62" s="1"/>
      <c r="I62" s="1"/>
      <c r="J62" s="1"/>
      <c r="K62" s="5"/>
      <c r="L62" s="5"/>
      <c r="M62" s="5"/>
      <c r="N62" s="1"/>
      <c r="O62" s="1"/>
      <c r="P62" s="1"/>
      <c r="Q62" s="1"/>
      <c r="R62" s="1"/>
      <c r="S62" s="1"/>
      <c r="T62" s="1"/>
    </row>
    <row r="63" spans="1:20" x14ac:dyDescent="0.2">
      <c r="D63" s="5"/>
      <c r="E63" s="5"/>
      <c r="F63" s="5"/>
      <c r="G63" s="1"/>
      <c r="H63" s="1"/>
      <c r="I63" s="1"/>
      <c r="J63" s="1"/>
      <c r="K63" s="5"/>
      <c r="L63" s="5"/>
      <c r="M63" s="5"/>
      <c r="N63" s="1"/>
      <c r="O63" s="1"/>
      <c r="P63" s="1"/>
      <c r="Q63" s="1"/>
      <c r="R63" s="1"/>
      <c r="S63" s="1"/>
      <c r="T63" s="1"/>
    </row>
    <row r="64" spans="1:20" x14ac:dyDescent="0.2">
      <c r="D64" s="5"/>
      <c r="E64" s="5"/>
      <c r="F64" s="5"/>
      <c r="G64" s="1"/>
      <c r="H64" s="1"/>
      <c r="I64" s="1"/>
      <c r="J64" s="1"/>
      <c r="K64" s="5"/>
      <c r="L64" s="5"/>
      <c r="M64" s="5"/>
      <c r="N64" s="1"/>
      <c r="O64" s="1"/>
      <c r="P64" s="1"/>
      <c r="Q64" s="1"/>
      <c r="R64" s="1"/>
      <c r="S64" s="1"/>
      <c r="T64" s="1"/>
    </row>
    <row r="65" spans="1:20" x14ac:dyDescent="0.2">
      <c r="D65" s="5"/>
      <c r="E65" s="5"/>
      <c r="F65" s="5"/>
      <c r="G65" s="1"/>
      <c r="H65" s="1"/>
      <c r="I65" s="1"/>
      <c r="J65" s="1"/>
      <c r="K65" s="5"/>
      <c r="L65" s="5"/>
      <c r="M65" s="5"/>
      <c r="N65" s="1"/>
      <c r="O65" s="1"/>
      <c r="P65" s="1"/>
      <c r="Q65" s="1"/>
      <c r="R65" s="1"/>
      <c r="S65" s="1"/>
      <c r="T65" s="1"/>
    </row>
    <row r="66" spans="1:20" x14ac:dyDescent="0.2">
      <c r="D66" s="5"/>
      <c r="E66" s="5"/>
      <c r="F66" s="5"/>
      <c r="G66" s="1"/>
      <c r="H66" s="1"/>
      <c r="I66" s="1"/>
      <c r="J66" s="1"/>
      <c r="K66" s="5"/>
      <c r="L66" s="5"/>
      <c r="M66" s="5"/>
      <c r="N66" s="1"/>
      <c r="O66" s="1"/>
      <c r="P66" s="1"/>
      <c r="Q66" s="1"/>
      <c r="R66" s="1"/>
      <c r="S66" s="1"/>
      <c r="T66" s="1"/>
    </row>
    <row r="67" spans="1:20" x14ac:dyDescent="0.2">
      <c r="D67" s="5"/>
      <c r="E67" s="5"/>
      <c r="F67" s="5"/>
      <c r="G67" s="1"/>
      <c r="H67" s="1"/>
      <c r="I67" s="1"/>
      <c r="J67" s="1"/>
      <c r="K67" s="5"/>
      <c r="L67" s="5"/>
      <c r="M67" s="5"/>
      <c r="N67" s="1"/>
      <c r="O67" s="1"/>
      <c r="P67" s="1"/>
      <c r="Q67" s="1"/>
      <c r="R67" s="1"/>
      <c r="S67" s="1"/>
      <c r="T67" s="1"/>
    </row>
    <row r="68" spans="1:20" x14ac:dyDescent="0.2">
      <c r="D68" s="5"/>
      <c r="E68" s="5"/>
      <c r="L68" s="5"/>
      <c r="M68" s="5"/>
      <c r="N68" s="1"/>
      <c r="O68" s="1"/>
      <c r="P68" s="1"/>
      <c r="Q68" s="1"/>
      <c r="R68" s="1"/>
      <c r="S68" s="1"/>
      <c r="T68" s="1"/>
    </row>
    <row r="69" spans="1:20" x14ac:dyDescent="0.2">
      <c r="D69" s="5"/>
      <c r="E69" s="5"/>
      <c r="L69" s="5"/>
      <c r="M69" s="5"/>
      <c r="N69" s="1"/>
      <c r="O69" s="1"/>
      <c r="P69" s="1"/>
      <c r="Q69" s="1"/>
      <c r="R69" s="1"/>
      <c r="S69" s="1"/>
      <c r="T69" s="1"/>
    </row>
    <row r="70" spans="1:20" x14ac:dyDescent="0.2">
      <c r="D70" s="5"/>
      <c r="E70" s="5"/>
      <c r="L70" s="5"/>
      <c r="M70" s="5"/>
      <c r="N70" s="1"/>
      <c r="O70" s="1"/>
      <c r="P70" s="1"/>
      <c r="Q70" s="1"/>
      <c r="R70" s="1"/>
      <c r="S70" s="1"/>
      <c r="T70" s="1"/>
    </row>
    <row r="71" spans="1:20" x14ac:dyDescent="0.2">
      <c r="D71" s="5"/>
      <c r="E71" s="5"/>
      <c r="L71" s="5"/>
      <c r="M71" s="5"/>
      <c r="N71" s="1"/>
      <c r="O71" s="1"/>
      <c r="P71" s="1"/>
      <c r="Q71" s="1"/>
      <c r="R71" s="1"/>
      <c r="S71" s="1"/>
      <c r="T71" s="1"/>
    </row>
    <row r="72" spans="1:20" x14ac:dyDescent="0.2">
      <c r="D72" s="5"/>
      <c r="E72" s="5"/>
      <c r="L72" s="5"/>
      <c r="M72" s="5"/>
      <c r="N72" s="1"/>
      <c r="O72" s="1"/>
      <c r="P72" s="1"/>
      <c r="Q72" s="1"/>
      <c r="R72" s="1"/>
      <c r="S72" s="1"/>
      <c r="T72" s="1"/>
    </row>
    <row r="73" spans="1:20" x14ac:dyDescent="0.2">
      <c r="D73" s="5"/>
      <c r="E73" s="5"/>
      <c r="L73" s="5"/>
      <c r="M73" s="5"/>
      <c r="N73" s="1"/>
      <c r="O73" s="1"/>
      <c r="P73" s="1"/>
      <c r="Q73" s="1"/>
      <c r="R73" s="1"/>
      <c r="S73" s="1"/>
      <c r="T73" s="1"/>
    </row>
    <row r="74" spans="1:20" hidden="1" x14ac:dyDescent="0.2">
      <c r="D74" s="5"/>
      <c r="E74" s="5"/>
      <c r="F74" s="5"/>
      <c r="G74" s="1"/>
      <c r="H74" s="1"/>
      <c r="I74" s="1"/>
      <c r="J74" s="1"/>
      <c r="K74" s="5"/>
      <c r="L74" s="5"/>
      <c r="M74" s="5"/>
      <c r="N74" s="1"/>
      <c r="O74" s="1"/>
      <c r="P74" s="1"/>
      <c r="Q74" s="1"/>
      <c r="R74" s="1"/>
      <c r="S74" s="1"/>
      <c r="T74" s="1"/>
    </row>
    <row r="75" spans="1:20" hidden="1" x14ac:dyDescent="0.2">
      <c r="A75" s="5"/>
      <c r="B75" s="1"/>
      <c r="C75" s="1"/>
      <c r="D75" s="1"/>
      <c r="E75" s="1"/>
      <c r="F75" s="5"/>
      <c r="G75" s="1"/>
      <c r="H75" s="1"/>
      <c r="I75" s="1"/>
      <c r="J75" s="1"/>
      <c r="K75" s="5"/>
      <c r="L75" s="5"/>
      <c r="M75" s="5"/>
      <c r="N75" s="1"/>
      <c r="O75" s="1"/>
      <c r="P75" s="1"/>
      <c r="Q75" s="1"/>
      <c r="R75" s="1"/>
      <c r="S75" s="1"/>
      <c r="T75" s="1"/>
    </row>
    <row r="76" spans="1:20" hidden="1" x14ac:dyDescent="0.2">
      <c r="A76" s="5"/>
      <c r="B76" s="1"/>
      <c r="C76" s="1"/>
      <c r="D76" s="1"/>
      <c r="E76" s="1"/>
      <c r="F76" s="5"/>
      <c r="G76" s="1"/>
      <c r="H76" s="1"/>
      <c r="I76" s="1"/>
      <c r="J76" s="1"/>
      <c r="K76" s="5"/>
      <c r="L76" s="5"/>
      <c r="M76" s="5"/>
      <c r="N76" s="1"/>
      <c r="O76" s="1"/>
      <c r="P76" s="1"/>
      <c r="Q76" s="1"/>
      <c r="R76" s="1"/>
      <c r="S76" s="1"/>
      <c r="T76" s="1"/>
    </row>
    <row r="77" spans="1:20" hidden="1" x14ac:dyDescent="0.2">
      <c r="A77" s="5"/>
      <c r="B77" s="1"/>
      <c r="C77" s="1"/>
      <c r="D77" s="1"/>
      <c r="E77" s="1"/>
      <c r="F77" s="5"/>
      <c r="G77" s="1"/>
      <c r="H77" s="1"/>
      <c r="I77" s="1"/>
      <c r="J77" s="1"/>
      <c r="K77" s="5"/>
      <c r="L77" s="5"/>
      <c r="M77" s="5"/>
      <c r="N77" s="1"/>
      <c r="O77" s="1"/>
      <c r="P77" s="1"/>
      <c r="Q77" s="1"/>
      <c r="R77" s="1"/>
      <c r="S77" s="1"/>
      <c r="T77" s="1"/>
    </row>
    <row r="78" spans="1:20" hidden="1" x14ac:dyDescent="0.2">
      <c r="A78" s="5"/>
      <c r="B78" s="1"/>
      <c r="C78" s="1"/>
      <c r="D78" s="1"/>
      <c r="E78" s="1"/>
      <c r="F78" s="5"/>
      <c r="G78" s="1"/>
      <c r="H78" s="1"/>
      <c r="I78" s="1"/>
      <c r="J78" s="1"/>
      <c r="K78" s="5"/>
      <c r="L78" s="5"/>
      <c r="M78" s="5"/>
      <c r="N78" s="1"/>
      <c r="O78" s="1"/>
      <c r="P78" s="1"/>
      <c r="Q78" s="1"/>
      <c r="R78" s="1"/>
      <c r="S78" s="1"/>
      <c r="T78" s="1"/>
    </row>
    <row r="79" spans="1:20" hidden="1" x14ac:dyDescent="0.2">
      <c r="A79" s="5"/>
      <c r="B79" s="1"/>
      <c r="C79" s="1"/>
      <c r="D79" s="1"/>
      <c r="E79" s="1"/>
      <c r="F79" s="5"/>
      <c r="G79" s="1"/>
      <c r="H79" s="1"/>
      <c r="I79" s="1"/>
      <c r="J79" s="1"/>
      <c r="K79" s="5"/>
      <c r="L79" s="5"/>
      <c r="M79" s="5"/>
      <c r="N79" s="1"/>
      <c r="O79" s="1"/>
      <c r="P79" s="1"/>
      <c r="Q79" s="1"/>
      <c r="R79" s="1"/>
      <c r="S79" s="1"/>
      <c r="T79" s="1"/>
    </row>
    <row r="80" spans="1:20" hidden="1" x14ac:dyDescent="0.2">
      <c r="A80" s="5"/>
      <c r="B80" s="1"/>
      <c r="C80" s="1"/>
      <c r="D80" s="1"/>
      <c r="E80" s="1"/>
      <c r="F80" s="5"/>
      <c r="G80" s="1"/>
      <c r="H80" s="1"/>
      <c r="I80" s="1"/>
      <c r="J80" s="1"/>
      <c r="K80" s="5"/>
      <c r="L80" s="5"/>
      <c r="M80" s="5"/>
      <c r="N80" s="1"/>
      <c r="O80" s="1"/>
      <c r="P80" s="1"/>
      <c r="Q80" s="1"/>
      <c r="R80" s="1"/>
      <c r="S80" s="1"/>
      <c r="T80" s="1"/>
    </row>
    <row r="81" spans="4:20" hidden="1" x14ac:dyDescent="0.2">
      <c r="D81" s="1"/>
      <c r="E81" s="1"/>
      <c r="F81" s="1"/>
      <c r="G81" s="1"/>
      <c r="H81" s="1"/>
      <c r="I81" s="1"/>
      <c r="J81" s="1"/>
      <c r="K81" s="5"/>
      <c r="L81" s="5"/>
      <c r="M81" s="5"/>
      <c r="N81" s="1"/>
      <c r="O81" s="1"/>
      <c r="P81" s="1"/>
      <c r="Q81" s="1"/>
      <c r="R81" s="1"/>
      <c r="S81" s="1"/>
      <c r="T81" s="1"/>
    </row>
    <row r="82" spans="4:20" hidden="1" x14ac:dyDescent="0.2">
      <c r="D82" s="1"/>
      <c r="E82" s="1"/>
      <c r="F82" s="1"/>
      <c r="G82" s="1"/>
      <c r="H82" s="1"/>
      <c r="I82" s="1"/>
      <c r="J82" s="1"/>
      <c r="K82" s="5"/>
      <c r="L82" s="5"/>
      <c r="M82" s="5"/>
      <c r="N82" s="1"/>
      <c r="O82" s="1"/>
      <c r="P82" s="1"/>
      <c r="Q82" s="1"/>
      <c r="R82" s="1"/>
      <c r="S82" s="1"/>
      <c r="T82" s="1"/>
    </row>
    <row r="83" spans="4:20" hidden="1" x14ac:dyDescent="0.2">
      <c r="D83" s="1"/>
      <c r="E83" s="1"/>
      <c r="F83" s="1"/>
      <c r="G83" s="1"/>
      <c r="H83" s="1"/>
      <c r="I83" s="1"/>
      <c r="J83" s="1"/>
      <c r="K83" s="5"/>
      <c r="L83" s="5"/>
      <c r="M83" s="5"/>
      <c r="N83" s="1"/>
      <c r="O83" s="1"/>
      <c r="P83" s="1"/>
      <c r="Q83" s="1"/>
      <c r="R83" s="1"/>
      <c r="S83" s="1"/>
      <c r="T83" s="1"/>
    </row>
    <row r="84" spans="4:20" hidden="1" x14ac:dyDescent="0.2">
      <c r="D84" s="1"/>
      <c r="E84" s="1"/>
      <c r="F84" s="1"/>
      <c r="G84" s="1"/>
      <c r="H84" s="1"/>
      <c r="I84" s="1"/>
      <c r="J84" s="1"/>
      <c r="K84" s="5"/>
      <c r="L84" s="5"/>
      <c r="M84" s="5"/>
      <c r="N84" s="1"/>
      <c r="O84" s="1"/>
      <c r="P84" s="1"/>
      <c r="Q84" s="1"/>
      <c r="R84" s="1"/>
      <c r="S84" s="1"/>
      <c r="T84" s="1"/>
    </row>
    <row r="85" spans="4:20" hidden="1" x14ac:dyDescent="0.2">
      <c r="D85" s="1"/>
      <c r="E85" s="1"/>
      <c r="F85" s="1"/>
      <c r="G85" s="1"/>
      <c r="H85" s="1"/>
      <c r="I85" s="1"/>
      <c r="J85" s="1"/>
      <c r="K85" s="5"/>
      <c r="L85" s="5"/>
      <c r="M85" s="5"/>
      <c r="N85" s="1"/>
      <c r="O85" s="1"/>
      <c r="P85" s="1"/>
      <c r="Q85" s="1"/>
      <c r="R85" s="1"/>
      <c r="S85" s="1"/>
      <c r="T85" s="1"/>
    </row>
    <row r="86" spans="4:20" hidden="1" x14ac:dyDescent="0.2">
      <c r="D86" s="1"/>
      <c r="E86" s="1"/>
      <c r="F86" s="1"/>
      <c r="G86" s="1"/>
      <c r="H86" s="1"/>
      <c r="I86" s="1"/>
      <c r="J86" s="1"/>
      <c r="K86" s="5"/>
      <c r="L86" s="5"/>
      <c r="M86" s="5"/>
      <c r="N86" s="1"/>
      <c r="O86" s="1"/>
      <c r="P86" s="1"/>
      <c r="Q86" s="1"/>
      <c r="R86" s="1"/>
      <c r="S86" s="1"/>
      <c r="T86" s="1"/>
    </row>
    <row r="87" spans="4:20" x14ac:dyDescent="0.2">
      <c r="D87" s="1"/>
      <c r="E87" s="1"/>
      <c r="F87" s="1"/>
      <c r="G87" s="1"/>
      <c r="H87" s="1"/>
      <c r="I87" s="1"/>
      <c r="J87" s="1"/>
      <c r="K87" s="5"/>
      <c r="L87" s="5"/>
      <c r="M87" s="5"/>
      <c r="N87" s="1"/>
      <c r="O87" s="1"/>
      <c r="P87" s="1"/>
      <c r="Q87" s="1"/>
      <c r="R87" s="1"/>
      <c r="S87" s="1"/>
      <c r="T87" s="1"/>
    </row>
    <row r="88" spans="4:20" x14ac:dyDescent="0.2">
      <c r="D88" s="1"/>
      <c r="E88" s="1"/>
      <c r="F88" s="1"/>
      <c r="G88" s="1"/>
      <c r="H88" s="1"/>
      <c r="I88" s="1"/>
      <c r="J88" s="1"/>
      <c r="K88" s="5"/>
      <c r="L88" s="5"/>
      <c r="M88" s="5"/>
      <c r="N88" s="1"/>
      <c r="O88" s="1"/>
      <c r="P88" s="1"/>
      <c r="Q88" s="1"/>
      <c r="R88" s="1"/>
      <c r="S88" s="1"/>
      <c r="T88" s="1"/>
    </row>
    <row r="89" spans="4:20" x14ac:dyDescent="0.2">
      <c r="D89" s="1"/>
      <c r="E89" s="1"/>
      <c r="F89" s="1"/>
      <c r="G89" s="1"/>
      <c r="H89" s="1"/>
      <c r="I89" s="1"/>
      <c r="J89" s="1"/>
      <c r="K89" s="5"/>
      <c r="L89" s="5"/>
      <c r="M89" s="5"/>
      <c r="N89" s="1"/>
      <c r="O89" s="1"/>
      <c r="P89" s="1"/>
      <c r="Q89" s="1"/>
      <c r="R89" s="1"/>
      <c r="S89" s="1"/>
      <c r="T89" s="1"/>
    </row>
    <row r="90" spans="4:20" x14ac:dyDescent="0.2">
      <c r="D90" s="1"/>
      <c r="E90" s="1"/>
      <c r="F90" s="1"/>
      <c r="G90" s="1"/>
      <c r="H90" s="1"/>
      <c r="I90" s="1"/>
      <c r="J90" s="1"/>
      <c r="K90" s="5"/>
      <c r="L90" s="5"/>
      <c r="M90" s="5"/>
      <c r="N90" s="1"/>
      <c r="O90" s="1"/>
      <c r="P90" s="1"/>
      <c r="Q90" s="1"/>
      <c r="R90" s="1"/>
      <c r="S90" s="1"/>
      <c r="T90" s="1"/>
    </row>
    <row r="91" spans="4:20" x14ac:dyDescent="0.2">
      <c r="D91" s="1"/>
      <c r="E91" s="1"/>
      <c r="F91" s="1"/>
      <c r="G91" s="1"/>
      <c r="H91" s="1"/>
      <c r="I91" s="1"/>
      <c r="J91" s="1"/>
      <c r="K91" s="5"/>
      <c r="L91" s="5"/>
      <c r="M91" s="5"/>
      <c r="N91" s="1"/>
      <c r="O91" s="1"/>
      <c r="P91" s="1"/>
      <c r="Q91" s="1"/>
      <c r="R91" s="1"/>
      <c r="S91" s="1"/>
      <c r="T91" s="1"/>
    </row>
    <row r="92" spans="4:20" x14ac:dyDescent="0.2">
      <c r="D92" s="1"/>
      <c r="E92" s="1"/>
      <c r="F92" s="1"/>
      <c r="G92" s="1"/>
      <c r="H92" s="1"/>
      <c r="I92" s="1"/>
      <c r="J92" s="1"/>
      <c r="K92" s="5"/>
      <c r="L92" s="5"/>
      <c r="M92" s="5"/>
      <c r="N92" s="1"/>
      <c r="O92" s="1"/>
      <c r="P92" s="1"/>
      <c r="Q92" s="1"/>
      <c r="R92" s="1"/>
      <c r="S92" s="1"/>
      <c r="T92" s="1"/>
    </row>
    <row r="93" spans="4:20" x14ac:dyDescent="0.2">
      <c r="D93" s="1"/>
      <c r="E93" s="1"/>
      <c r="F93" s="1"/>
      <c r="G93" s="1"/>
      <c r="H93" s="1"/>
      <c r="I93" s="1"/>
      <c r="J93" s="1"/>
      <c r="K93" s="5"/>
      <c r="L93" s="5"/>
      <c r="M93" s="5"/>
      <c r="N93" s="1"/>
      <c r="O93" s="1"/>
      <c r="P93" s="1"/>
      <c r="Q93" s="1"/>
      <c r="R93" s="1"/>
      <c r="S93" s="1"/>
      <c r="T93" s="1"/>
    </row>
    <row r="94" spans="4:20" x14ac:dyDescent="0.2">
      <c r="D94" s="1"/>
      <c r="E94" s="1"/>
      <c r="F94" s="1"/>
      <c r="G94" s="1"/>
      <c r="H94" s="1"/>
      <c r="I94" s="1"/>
      <c r="J94" s="1"/>
      <c r="K94" s="5"/>
      <c r="L94" s="5"/>
      <c r="M94" s="5"/>
      <c r="N94" s="1"/>
      <c r="O94" s="1"/>
      <c r="P94" s="1"/>
      <c r="Q94" s="1"/>
      <c r="R94" s="1"/>
      <c r="S94" s="1"/>
      <c r="T94" s="1"/>
    </row>
    <row r="95" spans="4:20" x14ac:dyDescent="0.2">
      <c r="D95" s="1"/>
      <c r="E95" s="1"/>
      <c r="F95" s="1"/>
      <c r="G95" s="1"/>
      <c r="H95" s="1"/>
      <c r="I95" s="1"/>
      <c r="J95" s="1"/>
      <c r="K95" s="5"/>
      <c r="L95" s="5"/>
      <c r="M95" s="5"/>
      <c r="N95" s="1"/>
      <c r="O95" s="1"/>
      <c r="P95" s="1"/>
      <c r="Q95" s="1"/>
      <c r="R95" s="1"/>
      <c r="S95" s="1"/>
      <c r="T95" s="1"/>
    </row>
    <row r="96" spans="4:20" x14ac:dyDescent="0.2">
      <c r="D96" s="1"/>
      <c r="E96" s="1"/>
      <c r="F96" s="1"/>
      <c r="G96" s="1"/>
      <c r="H96" s="1"/>
      <c r="I96" s="1"/>
      <c r="J96" s="1"/>
      <c r="K96" s="5"/>
      <c r="L96" s="5"/>
      <c r="M96" s="5"/>
      <c r="N96" s="1"/>
      <c r="O96" s="1"/>
      <c r="P96" s="1"/>
      <c r="Q96" s="1"/>
      <c r="R96" s="1"/>
      <c r="S96" s="1"/>
      <c r="T96" s="1"/>
    </row>
    <row r="97" spans="4:20" x14ac:dyDescent="0.2">
      <c r="D97" s="1"/>
      <c r="E97" s="1"/>
      <c r="F97" s="1"/>
      <c r="G97" s="1"/>
      <c r="H97" s="1"/>
      <c r="I97" s="1"/>
      <c r="J97" s="1"/>
      <c r="K97" s="5"/>
      <c r="L97" s="5"/>
      <c r="M97" s="5"/>
      <c r="N97" s="1"/>
      <c r="O97" s="1"/>
      <c r="P97" s="1"/>
      <c r="Q97" s="1"/>
      <c r="R97" s="1"/>
      <c r="S97" s="1"/>
      <c r="T97" s="1"/>
    </row>
    <row r="98" spans="4:20" x14ac:dyDescent="0.2">
      <c r="D98" s="1"/>
      <c r="E98" s="1"/>
      <c r="F98" s="1"/>
      <c r="G98" s="1"/>
      <c r="H98" s="1"/>
      <c r="I98" s="1"/>
      <c r="J98" s="1"/>
      <c r="K98" s="5"/>
      <c r="L98" s="5"/>
      <c r="M98" s="5"/>
      <c r="N98" s="1"/>
      <c r="O98" s="1"/>
      <c r="P98" s="1"/>
      <c r="Q98" s="1"/>
      <c r="R98" s="1"/>
      <c r="S98" s="1"/>
      <c r="T98" s="1"/>
    </row>
    <row r="99" spans="4:20" x14ac:dyDescent="0.2">
      <c r="D99" s="1"/>
      <c r="E99" s="1"/>
      <c r="F99" s="1"/>
      <c r="G99" s="1"/>
      <c r="H99" s="1"/>
      <c r="I99" s="1"/>
      <c r="J99" s="1"/>
      <c r="K99" s="5"/>
      <c r="L99" s="5"/>
      <c r="M99" s="5"/>
      <c r="N99" s="1"/>
      <c r="O99" s="1"/>
      <c r="P99" s="1"/>
      <c r="Q99" s="1"/>
      <c r="R99" s="1"/>
      <c r="S99" s="1"/>
      <c r="T99" s="1"/>
    </row>
    <row r="100" spans="4:20" x14ac:dyDescent="0.2">
      <c r="D100" s="1"/>
      <c r="E100" s="1"/>
      <c r="F100" s="1"/>
      <c r="G100" s="1"/>
      <c r="H100" s="1"/>
      <c r="I100" s="1"/>
      <c r="J100" s="1"/>
      <c r="K100" s="5"/>
      <c r="L100" s="5"/>
      <c r="M100" s="5"/>
      <c r="N100" s="1"/>
      <c r="O100" s="1"/>
      <c r="P100" s="1"/>
      <c r="Q100" s="1"/>
      <c r="R100" s="1"/>
      <c r="S100" s="1"/>
      <c r="T100" s="1"/>
    </row>
    <row r="101" spans="4:20" x14ac:dyDescent="0.2">
      <c r="D101" s="1"/>
      <c r="E101" s="1"/>
      <c r="F101" s="1"/>
      <c r="G101" s="1"/>
      <c r="H101" s="1"/>
      <c r="I101" s="1"/>
      <c r="J101" s="1"/>
      <c r="K101" s="5"/>
      <c r="L101" s="5"/>
      <c r="M101" s="5"/>
      <c r="N101" s="1"/>
      <c r="O101" s="1"/>
      <c r="P101" s="1"/>
      <c r="Q101" s="1"/>
      <c r="R101" s="1"/>
      <c r="S101" s="1"/>
      <c r="T101" s="1"/>
    </row>
    <row r="102" spans="4:20" x14ac:dyDescent="0.2">
      <c r="D102" s="1"/>
      <c r="E102" s="1"/>
      <c r="F102" s="1"/>
      <c r="G102" s="1"/>
      <c r="H102" s="1"/>
      <c r="I102" s="1"/>
      <c r="J102" s="1"/>
      <c r="K102" s="5"/>
      <c r="L102" s="5"/>
      <c r="M102" s="5"/>
      <c r="N102" s="1"/>
      <c r="O102" s="1"/>
      <c r="P102" s="1"/>
      <c r="Q102" s="1"/>
      <c r="R102" s="1"/>
      <c r="S102" s="1"/>
      <c r="T102" s="1"/>
    </row>
    <row r="103" spans="4:20" x14ac:dyDescent="0.2">
      <c r="D103" s="1"/>
      <c r="E103" s="1"/>
      <c r="F103" s="1"/>
      <c r="G103" s="1"/>
      <c r="H103" s="1"/>
      <c r="I103" s="1"/>
      <c r="J103" s="1"/>
      <c r="K103" s="5"/>
      <c r="L103" s="5"/>
      <c r="M103" s="5"/>
      <c r="N103" s="1"/>
      <c r="O103" s="1"/>
      <c r="P103" s="1"/>
      <c r="Q103" s="1"/>
      <c r="R103" s="1"/>
      <c r="S103" s="1"/>
      <c r="T103" s="1"/>
    </row>
    <row r="104" spans="4:20" x14ac:dyDescent="0.2">
      <c r="D104" s="1"/>
      <c r="E104" s="1"/>
      <c r="F104" s="1"/>
      <c r="G104" s="1"/>
      <c r="H104" s="1"/>
      <c r="I104" s="1"/>
      <c r="J104" s="1"/>
      <c r="K104" s="5"/>
      <c r="L104" s="5"/>
      <c r="M104" s="5"/>
      <c r="N104" s="1"/>
      <c r="O104" s="1"/>
      <c r="P104" s="1"/>
      <c r="Q104" s="1"/>
      <c r="R104" s="1"/>
      <c r="S104" s="1"/>
      <c r="T104" s="1"/>
    </row>
    <row r="105" spans="4:20" x14ac:dyDescent="0.2">
      <c r="D105" s="1"/>
      <c r="E105" s="1"/>
      <c r="F105" s="1"/>
      <c r="G105" s="1"/>
      <c r="H105" s="1"/>
      <c r="I105" s="1"/>
      <c r="J105" s="1"/>
      <c r="K105" s="5"/>
      <c r="L105" s="5"/>
      <c r="M105" s="5"/>
      <c r="N105" s="1"/>
      <c r="O105" s="1"/>
      <c r="P105" s="1"/>
      <c r="Q105" s="1"/>
      <c r="R105" s="1"/>
      <c r="S105" s="1"/>
      <c r="T105" s="1"/>
    </row>
    <row r="106" spans="4:20" x14ac:dyDescent="0.2">
      <c r="D106" s="1"/>
      <c r="E106" s="1"/>
      <c r="F106" s="1"/>
      <c r="G106" s="1"/>
      <c r="H106" s="1"/>
      <c r="I106" s="1"/>
      <c r="J106" s="1"/>
      <c r="K106" s="5"/>
      <c r="L106" s="5"/>
      <c r="M106" s="5"/>
      <c r="N106" s="1"/>
      <c r="O106" s="1"/>
      <c r="P106" s="1"/>
      <c r="Q106" s="1"/>
      <c r="R106" s="1"/>
      <c r="S106" s="1"/>
      <c r="T106" s="1"/>
    </row>
    <row r="107" spans="4:20" x14ac:dyDescent="0.2">
      <c r="D107" s="1"/>
      <c r="E107" s="1"/>
      <c r="F107" s="1"/>
      <c r="G107" s="1"/>
      <c r="H107" s="1"/>
      <c r="I107" s="1"/>
      <c r="J107" s="1"/>
      <c r="K107" s="5"/>
      <c r="L107" s="5"/>
      <c r="M107" s="5"/>
      <c r="N107" s="1"/>
      <c r="O107" s="1"/>
      <c r="P107" s="1"/>
      <c r="Q107" s="1"/>
      <c r="R107" s="1"/>
      <c r="S107" s="1"/>
      <c r="T107" s="1"/>
    </row>
    <row r="108" spans="4:20" x14ac:dyDescent="0.2">
      <c r="D108" s="1"/>
      <c r="E108" s="1"/>
      <c r="F108" s="1"/>
      <c r="G108" s="1"/>
      <c r="H108" s="1"/>
      <c r="I108" s="1"/>
      <c r="J108" s="1"/>
      <c r="K108" s="5"/>
      <c r="L108" s="5"/>
      <c r="M108" s="5"/>
      <c r="N108" s="1"/>
      <c r="O108" s="1"/>
      <c r="P108" s="1"/>
      <c r="Q108" s="1"/>
      <c r="R108" s="1"/>
      <c r="S108" s="1"/>
      <c r="T108" s="1"/>
    </row>
    <row r="109" spans="4:20" x14ac:dyDescent="0.2">
      <c r="D109" s="1"/>
      <c r="E109" s="1"/>
      <c r="F109" s="1"/>
      <c r="G109" s="1"/>
      <c r="H109" s="1"/>
      <c r="I109" s="1"/>
      <c r="J109" s="1"/>
      <c r="K109" s="5"/>
      <c r="L109" s="5"/>
      <c r="M109" s="5"/>
      <c r="N109" s="1"/>
      <c r="O109" s="1"/>
      <c r="P109" s="1"/>
      <c r="Q109" s="1"/>
      <c r="R109" s="1"/>
      <c r="S109" s="1"/>
      <c r="T109" s="1"/>
    </row>
    <row r="110" spans="4:20" x14ac:dyDescent="0.2">
      <c r="D110" s="1"/>
      <c r="E110" s="1"/>
      <c r="F110" s="1"/>
      <c r="G110" s="1"/>
      <c r="H110" s="1"/>
      <c r="I110" s="1"/>
      <c r="J110" s="1"/>
      <c r="K110" s="5"/>
      <c r="L110" s="5"/>
      <c r="M110" s="5"/>
      <c r="N110" s="1"/>
      <c r="O110" s="1"/>
      <c r="P110" s="1"/>
      <c r="Q110" s="1"/>
      <c r="R110" s="1"/>
      <c r="S110" s="1"/>
      <c r="T110" s="1"/>
    </row>
    <row r="111" spans="4:20" x14ac:dyDescent="0.2">
      <c r="D111" s="1"/>
      <c r="E111" s="1"/>
      <c r="F111" s="1"/>
      <c r="G111" s="1"/>
      <c r="H111" s="1"/>
      <c r="I111" s="1"/>
      <c r="J111" s="1"/>
      <c r="K111" s="5"/>
      <c r="L111" s="5"/>
      <c r="M111" s="5"/>
      <c r="N111" s="1"/>
      <c r="O111" s="1"/>
      <c r="P111" s="1"/>
      <c r="Q111" s="1"/>
      <c r="R111" s="1"/>
      <c r="S111" s="1"/>
      <c r="T111" s="1"/>
    </row>
    <row r="112" spans="4:20" x14ac:dyDescent="0.2">
      <c r="D112" s="1"/>
      <c r="E112" s="1"/>
      <c r="F112" s="1"/>
      <c r="G112" s="1"/>
      <c r="H112" s="1"/>
      <c r="I112" s="1"/>
      <c r="J112" s="1"/>
      <c r="K112" s="5"/>
      <c r="L112" s="5"/>
      <c r="M112" s="5"/>
      <c r="N112" s="1"/>
      <c r="O112" s="1"/>
      <c r="P112" s="1"/>
      <c r="Q112" s="1"/>
      <c r="R112" s="1"/>
      <c r="S112" s="1"/>
      <c r="T112" s="1"/>
    </row>
    <row r="113" spans="4:20" x14ac:dyDescent="0.2">
      <c r="D113" s="1"/>
      <c r="E113" s="1"/>
      <c r="F113" s="1"/>
      <c r="G113" s="1"/>
      <c r="H113" s="1"/>
      <c r="I113" s="1"/>
      <c r="J113" s="1"/>
      <c r="K113" s="5"/>
      <c r="L113" s="5"/>
      <c r="M113" s="5"/>
      <c r="N113" s="1"/>
      <c r="O113" s="1"/>
      <c r="P113" s="1"/>
      <c r="Q113" s="1"/>
      <c r="R113" s="1"/>
      <c r="S113" s="1"/>
      <c r="T113" s="1"/>
    </row>
    <row r="114" spans="4:20" x14ac:dyDescent="0.2">
      <c r="D114" s="1"/>
      <c r="E114" s="1"/>
      <c r="F114" s="1"/>
      <c r="G114" s="1"/>
      <c r="H114" s="1"/>
      <c r="I114" s="1"/>
      <c r="J114" s="1"/>
      <c r="K114" s="5"/>
      <c r="L114" s="5"/>
      <c r="M114" s="5"/>
      <c r="N114" s="1"/>
      <c r="O114" s="1"/>
      <c r="P114" s="1"/>
      <c r="Q114" s="1"/>
      <c r="R114" s="1"/>
      <c r="S114" s="1"/>
      <c r="T114" s="1"/>
    </row>
    <row r="115" spans="4:20" x14ac:dyDescent="0.2">
      <c r="D115" s="1"/>
      <c r="E115" s="1"/>
      <c r="F115" s="1"/>
      <c r="G115" s="1"/>
      <c r="H115" s="1"/>
      <c r="I115" s="1"/>
      <c r="J115" s="1"/>
      <c r="K115" s="5"/>
      <c r="L115" s="5"/>
      <c r="M115" s="5"/>
      <c r="N115" s="1"/>
      <c r="O115" s="1"/>
      <c r="P115" s="1"/>
      <c r="Q115" s="1"/>
      <c r="R115" s="1"/>
      <c r="S115" s="1"/>
      <c r="T115" s="1"/>
    </row>
    <row r="116" spans="4:20" x14ac:dyDescent="0.2">
      <c r="D116" s="1"/>
      <c r="E116" s="1"/>
      <c r="F116" s="1"/>
      <c r="G116" s="1"/>
      <c r="H116" s="1"/>
      <c r="I116" s="1"/>
      <c r="J116" s="1"/>
      <c r="K116" s="5"/>
      <c r="L116" s="5"/>
      <c r="M116" s="5"/>
      <c r="N116" s="1"/>
      <c r="O116" s="1"/>
      <c r="P116" s="1"/>
      <c r="Q116" s="1"/>
      <c r="R116" s="1"/>
      <c r="S116" s="1"/>
      <c r="T116" s="1"/>
    </row>
    <row r="117" spans="4:20" x14ac:dyDescent="0.2">
      <c r="D117" s="1"/>
      <c r="E117" s="1"/>
      <c r="F117" s="1"/>
      <c r="G117" s="1"/>
      <c r="H117" s="1"/>
      <c r="I117" s="1"/>
      <c r="J117" s="1"/>
      <c r="K117" s="5"/>
      <c r="L117" s="5"/>
      <c r="M117" s="5"/>
      <c r="N117" s="1"/>
      <c r="O117" s="1"/>
      <c r="P117" s="1"/>
      <c r="Q117" s="1"/>
      <c r="R117" s="1"/>
      <c r="S117" s="1"/>
      <c r="T117" s="1"/>
    </row>
    <row r="118" spans="4:20" x14ac:dyDescent="0.2">
      <c r="D118" s="1"/>
      <c r="E118" s="1"/>
      <c r="F118" s="1"/>
      <c r="G118" s="1"/>
      <c r="H118" s="1"/>
      <c r="I118" s="1"/>
      <c r="J118" s="1"/>
      <c r="K118" s="5"/>
      <c r="L118" s="5"/>
      <c r="M118" s="5"/>
      <c r="N118" s="1"/>
      <c r="O118" s="1"/>
      <c r="P118" s="1"/>
      <c r="Q118" s="1"/>
      <c r="R118" s="1"/>
      <c r="S118" s="1"/>
      <c r="T118" s="1"/>
    </row>
    <row r="119" spans="4:20" x14ac:dyDescent="0.2">
      <c r="D119" s="1"/>
      <c r="E119" s="1"/>
      <c r="F119" s="1"/>
      <c r="G119" s="1"/>
      <c r="H119" s="1"/>
      <c r="I119" s="1"/>
      <c r="J119" s="1"/>
      <c r="K119" s="5"/>
      <c r="L119" s="5"/>
      <c r="M119" s="5"/>
      <c r="N119" s="1"/>
      <c r="O119" s="1"/>
      <c r="P119" s="1"/>
      <c r="Q119" s="1"/>
      <c r="R119" s="1"/>
      <c r="S119" s="1"/>
      <c r="T119" s="1"/>
    </row>
    <row r="120" spans="4:20" x14ac:dyDescent="0.2">
      <c r="D120" s="1"/>
      <c r="E120" s="1"/>
      <c r="F120" s="1"/>
      <c r="G120" s="1"/>
      <c r="H120" s="1"/>
      <c r="I120" s="1"/>
      <c r="J120" s="1"/>
      <c r="K120" s="5"/>
      <c r="L120" s="5"/>
      <c r="M120" s="5"/>
      <c r="N120" s="1"/>
      <c r="O120" s="1"/>
      <c r="P120" s="1"/>
      <c r="Q120" s="1"/>
      <c r="R120" s="1"/>
      <c r="S120" s="1"/>
      <c r="T120" s="1"/>
    </row>
    <row r="121" spans="4:20" x14ac:dyDescent="0.2">
      <c r="D121" s="1"/>
      <c r="E121" s="1"/>
      <c r="F121" s="1"/>
      <c r="G121" s="1"/>
      <c r="H121" s="1"/>
      <c r="I121" s="1"/>
      <c r="J121" s="1"/>
      <c r="K121" s="5"/>
      <c r="L121" s="5"/>
      <c r="M121" s="5"/>
      <c r="N121" s="1"/>
      <c r="O121" s="1"/>
      <c r="P121" s="1"/>
      <c r="Q121" s="1"/>
      <c r="R121" s="1"/>
      <c r="S121" s="1"/>
      <c r="T121" s="1"/>
    </row>
    <row r="122" spans="4:20" x14ac:dyDescent="0.2">
      <c r="D122" s="1"/>
      <c r="E122" s="1"/>
      <c r="F122" s="1"/>
      <c r="G122" s="1"/>
      <c r="H122" s="1"/>
      <c r="I122" s="1"/>
      <c r="J122" s="1"/>
      <c r="K122" s="5"/>
      <c r="L122" s="5"/>
      <c r="M122" s="5"/>
      <c r="N122" s="1"/>
      <c r="O122" s="1"/>
      <c r="P122" s="1"/>
      <c r="Q122" s="1"/>
      <c r="R122" s="1"/>
      <c r="S122" s="1"/>
      <c r="T122" s="1"/>
    </row>
    <row r="123" spans="4:20" x14ac:dyDescent="0.2">
      <c r="D123" s="1"/>
      <c r="E123" s="1"/>
      <c r="F123" s="1"/>
      <c r="G123" s="1"/>
      <c r="H123" s="1"/>
      <c r="I123" s="1"/>
      <c r="J123" s="1"/>
      <c r="K123" s="5"/>
      <c r="L123" s="5"/>
      <c r="M123" s="5"/>
      <c r="N123" s="1"/>
      <c r="O123" s="1"/>
      <c r="P123" s="1"/>
      <c r="Q123" s="1"/>
      <c r="R123" s="1"/>
      <c r="S123" s="1"/>
      <c r="T123" s="1"/>
    </row>
    <row r="124" spans="4:20" x14ac:dyDescent="0.2">
      <c r="D124" s="1"/>
      <c r="E124" s="1"/>
      <c r="F124" s="1"/>
      <c r="G124" s="1"/>
      <c r="H124" s="1"/>
      <c r="I124" s="1"/>
      <c r="J124" s="1"/>
      <c r="K124" s="5"/>
      <c r="L124" s="5"/>
      <c r="M124" s="5"/>
      <c r="N124" s="1"/>
      <c r="O124" s="1"/>
      <c r="P124" s="1"/>
      <c r="Q124" s="1"/>
      <c r="R124" s="1"/>
      <c r="S124" s="1"/>
      <c r="T124" s="1"/>
    </row>
    <row r="125" spans="4:20" x14ac:dyDescent="0.2">
      <c r="D125" s="1"/>
      <c r="E125" s="1"/>
      <c r="F125" s="1"/>
      <c r="G125" s="1"/>
      <c r="H125" s="1"/>
      <c r="I125" s="1"/>
      <c r="J125" s="1"/>
      <c r="K125" s="5"/>
      <c r="L125" s="5"/>
      <c r="M125" s="5"/>
      <c r="N125" s="1"/>
      <c r="O125" s="1"/>
      <c r="P125" s="1"/>
      <c r="Q125" s="1"/>
      <c r="R125" s="1"/>
      <c r="S125" s="1"/>
      <c r="T125" s="1"/>
    </row>
    <row r="126" spans="4:20" x14ac:dyDescent="0.2">
      <c r="D126" s="1"/>
      <c r="E126" s="1"/>
      <c r="F126" s="1"/>
      <c r="G126" s="1"/>
      <c r="H126" s="1"/>
      <c r="I126" s="1"/>
      <c r="J126" s="1"/>
      <c r="K126" s="5"/>
      <c r="L126" s="5"/>
      <c r="M126" s="5"/>
      <c r="N126" s="1"/>
      <c r="O126" s="1"/>
      <c r="P126" s="1"/>
      <c r="Q126" s="1"/>
      <c r="R126" s="1"/>
      <c r="S126" s="1"/>
      <c r="T126" s="1"/>
    </row>
    <row r="127" spans="4:20" x14ac:dyDescent="0.2">
      <c r="D127" s="1"/>
      <c r="E127" s="1"/>
      <c r="F127" s="1"/>
      <c r="G127" s="1"/>
      <c r="H127" s="1"/>
      <c r="I127" s="1"/>
      <c r="J127" s="1"/>
      <c r="K127" s="5"/>
      <c r="L127" s="5"/>
      <c r="M127" s="5"/>
      <c r="N127" s="1"/>
      <c r="O127" s="1"/>
      <c r="P127" s="1"/>
      <c r="Q127" s="1"/>
      <c r="R127" s="1"/>
      <c r="S127" s="1"/>
      <c r="T127" s="1"/>
    </row>
    <row r="128" spans="4:20" x14ac:dyDescent="0.2">
      <c r="D128" s="1"/>
      <c r="E128" s="1"/>
      <c r="F128" s="1"/>
      <c r="G128" s="1"/>
      <c r="H128" s="1"/>
      <c r="I128" s="1"/>
      <c r="J128" s="1"/>
      <c r="K128" s="5"/>
      <c r="L128" s="5"/>
      <c r="M128" s="5"/>
      <c r="N128" s="1"/>
      <c r="O128" s="1"/>
      <c r="P128" s="1"/>
      <c r="Q128" s="1"/>
      <c r="R128" s="1"/>
      <c r="S128" s="1"/>
      <c r="T128" s="1"/>
    </row>
    <row r="129" spans="4:20" x14ac:dyDescent="0.2">
      <c r="D129" s="1"/>
      <c r="E129" s="1"/>
      <c r="F129" s="1"/>
      <c r="G129" s="1"/>
      <c r="H129" s="1"/>
      <c r="I129" s="1"/>
      <c r="J129" s="1"/>
      <c r="K129" s="5"/>
      <c r="L129" s="5"/>
      <c r="M129" s="5"/>
      <c r="N129" s="1"/>
      <c r="O129" s="1"/>
      <c r="P129" s="1"/>
      <c r="Q129" s="1"/>
      <c r="R129" s="1"/>
      <c r="S129" s="1"/>
      <c r="T129" s="1"/>
    </row>
    <row r="130" spans="4:20" x14ac:dyDescent="0.2">
      <c r="D130" s="1"/>
      <c r="E130" s="1"/>
      <c r="F130" s="1"/>
      <c r="G130" s="1"/>
      <c r="H130" s="1"/>
      <c r="I130" s="1"/>
      <c r="J130" s="1"/>
      <c r="K130" s="5"/>
      <c r="L130" s="5"/>
      <c r="M130" s="5"/>
      <c r="N130" s="1"/>
      <c r="O130" s="1"/>
      <c r="P130" s="1"/>
      <c r="Q130" s="1"/>
      <c r="R130" s="1"/>
      <c r="S130" s="1"/>
      <c r="T130" s="1"/>
    </row>
    <row r="131" spans="4:20" x14ac:dyDescent="0.2">
      <c r="D131" s="1"/>
      <c r="E131" s="1"/>
      <c r="F131" s="1"/>
      <c r="G131" s="1"/>
      <c r="H131" s="1"/>
      <c r="I131" s="1"/>
      <c r="J131" s="1"/>
      <c r="K131" s="5"/>
      <c r="L131" s="5"/>
      <c r="M131" s="5"/>
      <c r="N131" s="1"/>
      <c r="O131" s="1"/>
      <c r="P131" s="1"/>
      <c r="Q131" s="1"/>
      <c r="R131" s="1"/>
      <c r="S131" s="1"/>
      <c r="T131" s="1"/>
    </row>
    <row r="132" spans="4:20" x14ac:dyDescent="0.2">
      <c r="D132" s="1"/>
      <c r="E132" s="1"/>
      <c r="F132" s="1"/>
      <c r="G132" s="1"/>
      <c r="H132" s="1"/>
      <c r="I132" s="1"/>
      <c r="J132" s="1"/>
      <c r="K132" s="5"/>
      <c r="L132" s="5"/>
      <c r="M132" s="5"/>
      <c r="N132" s="1"/>
      <c r="O132" s="1"/>
      <c r="P132" s="1"/>
      <c r="Q132" s="1"/>
      <c r="R132" s="1"/>
      <c r="S132" s="1"/>
      <c r="T132" s="1"/>
    </row>
    <row r="133" spans="4:20" x14ac:dyDescent="0.2">
      <c r="D133" s="1"/>
      <c r="E133" s="1"/>
      <c r="F133" s="1"/>
      <c r="G133" s="1"/>
      <c r="H133" s="1"/>
      <c r="I133" s="1"/>
      <c r="J133" s="1"/>
      <c r="K133" s="5"/>
      <c r="L133" s="5"/>
      <c r="M133" s="5"/>
      <c r="N133" s="1"/>
      <c r="O133" s="1"/>
      <c r="P133" s="1"/>
      <c r="Q133" s="1"/>
      <c r="R133" s="1"/>
      <c r="S133" s="1"/>
      <c r="T133" s="1"/>
    </row>
    <row r="134" spans="4:20" x14ac:dyDescent="0.2">
      <c r="D134" s="1"/>
      <c r="E134" s="1"/>
      <c r="F134" s="1"/>
      <c r="G134" s="1"/>
      <c r="H134" s="1"/>
      <c r="I134" s="1"/>
      <c r="J134" s="1"/>
      <c r="K134" s="5"/>
      <c r="L134" s="5"/>
      <c r="M134" s="5"/>
      <c r="N134" s="1"/>
      <c r="O134" s="1"/>
      <c r="P134" s="1"/>
      <c r="Q134" s="1"/>
      <c r="R134" s="1"/>
      <c r="S134" s="1"/>
      <c r="T134" s="1"/>
    </row>
    <row r="135" spans="4:20" x14ac:dyDescent="0.2">
      <c r="D135" s="1"/>
      <c r="E135" s="1"/>
      <c r="F135" s="1"/>
      <c r="G135" s="1"/>
      <c r="H135" s="1"/>
      <c r="I135" s="1"/>
      <c r="J135" s="1"/>
      <c r="K135" s="5"/>
      <c r="L135" s="5"/>
      <c r="M135" s="5"/>
      <c r="N135" s="1"/>
      <c r="O135" s="1"/>
      <c r="P135" s="1"/>
      <c r="Q135" s="1"/>
      <c r="R135" s="1"/>
      <c r="S135" s="1"/>
      <c r="T135" s="1"/>
    </row>
    <row r="136" spans="4:20" x14ac:dyDescent="0.2">
      <c r="D136" s="1"/>
      <c r="E136" s="1"/>
      <c r="F136" s="1"/>
      <c r="G136" s="1"/>
      <c r="H136" s="1"/>
      <c r="I136" s="1"/>
      <c r="J136" s="1"/>
      <c r="K136" s="5"/>
      <c r="L136" s="5"/>
      <c r="M136" s="5"/>
      <c r="N136" s="1"/>
      <c r="O136" s="1"/>
      <c r="P136" s="1"/>
      <c r="Q136" s="1"/>
      <c r="R136" s="1"/>
      <c r="S136" s="1"/>
      <c r="T136" s="1"/>
    </row>
    <row r="137" spans="4:20" x14ac:dyDescent="0.2">
      <c r="D137" s="1"/>
      <c r="E137" s="1"/>
      <c r="F137" s="1"/>
      <c r="G137" s="1"/>
      <c r="H137" s="1"/>
      <c r="I137" s="1"/>
      <c r="J137" s="1"/>
      <c r="K137" s="5"/>
      <c r="L137" s="5"/>
      <c r="M137" s="5"/>
      <c r="N137" s="1"/>
      <c r="O137" s="1"/>
      <c r="P137" s="1"/>
      <c r="Q137" s="1"/>
      <c r="R137" s="1"/>
      <c r="S137" s="1"/>
      <c r="T137" s="1"/>
    </row>
    <row r="138" spans="4:20" x14ac:dyDescent="0.2">
      <c r="D138" s="1"/>
      <c r="E138" s="1"/>
      <c r="F138" s="1"/>
      <c r="G138" s="1"/>
      <c r="H138" s="1"/>
      <c r="I138" s="1"/>
      <c r="J138" s="1"/>
      <c r="K138" s="5"/>
      <c r="L138" s="5"/>
      <c r="M138" s="5"/>
      <c r="N138" s="1"/>
      <c r="O138" s="1"/>
      <c r="P138" s="1"/>
      <c r="Q138" s="1"/>
      <c r="R138" s="1"/>
      <c r="S138" s="1"/>
      <c r="T138" s="1"/>
    </row>
    <row r="139" spans="4:20" x14ac:dyDescent="0.2">
      <c r="D139" s="1"/>
      <c r="E139" s="1"/>
      <c r="F139" s="1"/>
      <c r="G139" s="1"/>
      <c r="H139" s="1"/>
      <c r="I139" s="1"/>
      <c r="J139" s="1"/>
      <c r="K139" s="5"/>
      <c r="L139" s="5"/>
      <c r="M139" s="5"/>
      <c r="N139" s="1"/>
      <c r="O139" s="1"/>
      <c r="P139" s="1"/>
      <c r="Q139" s="1"/>
      <c r="R139" s="1"/>
      <c r="S139" s="1"/>
      <c r="T139" s="1"/>
    </row>
    <row r="140" spans="4:2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4:2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4:2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4:2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4:2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4:2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4:2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4:2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4:2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4:2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4:20" x14ac:dyDescent="0.2"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4:20" x14ac:dyDescent="0.2"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4:20" x14ac:dyDescent="0.2"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4:20" x14ac:dyDescent="0.2"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4:20" x14ac:dyDescent="0.2"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4:20" x14ac:dyDescent="0.2"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4:20" x14ac:dyDescent="0.2"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4:20" x14ac:dyDescent="0.2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4:20" x14ac:dyDescent="0.2"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4:20" x14ac:dyDescent="0.2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4:20" x14ac:dyDescent="0.2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4:20" x14ac:dyDescent="0.2"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4:20" x14ac:dyDescent="0.2"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4:20" x14ac:dyDescent="0.2"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4:20" x14ac:dyDescent="0.2"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4:20" x14ac:dyDescent="0.2"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4:20" x14ac:dyDescent="0.2"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4:20" x14ac:dyDescent="0.2"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4:20" x14ac:dyDescent="0.2"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4:20" x14ac:dyDescent="0.2"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4:20" x14ac:dyDescent="0.2"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4:20" x14ac:dyDescent="0.2"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4:20" x14ac:dyDescent="0.2"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4:20" x14ac:dyDescent="0.2"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4:20" x14ac:dyDescent="0.2"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4:20" x14ac:dyDescent="0.2"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4:20" x14ac:dyDescent="0.2"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  <row r="177" spans="4:20" x14ac:dyDescent="0.2"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</row>
    <row r="178" spans="4:20" x14ac:dyDescent="0.2"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</row>
    <row r="179" spans="4:20" x14ac:dyDescent="0.2"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</row>
    <row r="180" spans="4:20" x14ac:dyDescent="0.2"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</row>
    <row r="181" spans="4:20" x14ac:dyDescent="0.2"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</row>
    <row r="182" spans="4:20" x14ac:dyDescent="0.2"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</row>
    <row r="183" spans="4:20" x14ac:dyDescent="0.2"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</row>
    <row r="184" spans="4:20" x14ac:dyDescent="0.2"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</row>
    <row r="185" spans="4:20" x14ac:dyDescent="0.2"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</row>
    <row r="186" spans="4:20" x14ac:dyDescent="0.2"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</row>
    <row r="187" spans="4:20" x14ac:dyDescent="0.2"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</row>
    <row r="188" spans="4:20" x14ac:dyDescent="0.2"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</row>
    <row r="189" spans="4:20" x14ac:dyDescent="0.2"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</row>
    <row r="190" spans="4:20" x14ac:dyDescent="0.2"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</row>
    <row r="191" spans="4:20" x14ac:dyDescent="0.2"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</row>
    <row r="192" spans="4:20" x14ac:dyDescent="0.2"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</row>
    <row r="193" spans="4:20" x14ac:dyDescent="0.2"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</row>
    <row r="194" spans="4:20" x14ac:dyDescent="0.2"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</row>
    <row r="195" spans="4:20" x14ac:dyDescent="0.2"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</row>
    <row r="196" spans="4:20" x14ac:dyDescent="0.2"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</row>
    <row r="197" spans="4:20" x14ac:dyDescent="0.2"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</row>
    <row r="198" spans="4:20" x14ac:dyDescent="0.2"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</row>
    <row r="199" spans="4:20" x14ac:dyDescent="0.2"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</row>
    <row r="200" spans="4:20" x14ac:dyDescent="0.2"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</row>
    <row r="201" spans="4:20" x14ac:dyDescent="0.2"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</row>
    <row r="202" spans="4:20" x14ac:dyDescent="0.2"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</row>
    <row r="203" spans="4:20" x14ac:dyDescent="0.2"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</row>
    <row r="204" spans="4:20" x14ac:dyDescent="0.2"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</row>
    <row r="205" spans="4:20" x14ac:dyDescent="0.2"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</row>
    <row r="206" spans="4:20" x14ac:dyDescent="0.2"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</row>
    <row r="207" spans="4:20" x14ac:dyDescent="0.2"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</row>
    <row r="208" spans="4:20" x14ac:dyDescent="0.2"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</row>
    <row r="209" spans="4:20" x14ac:dyDescent="0.2"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</row>
    <row r="210" spans="4:20" x14ac:dyDescent="0.2"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</row>
    <row r="211" spans="4:20" x14ac:dyDescent="0.2"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</row>
    <row r="212" spans="4:20" x14ac:dyDescent="0.2"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</row>
    <row r="213" spans="4:20" x14ac:dyDescent="0.2"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</row>
    <row r="214" spans="4:20" x14ac:dyDescent="0.2"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</row>
    <row r="215" spans="4:20" x14ac:dyDescent="0.2"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</row>
    <row r="216" spans="4:20" x14ac:dyDescent="0.2"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</row>
    <row r="217" spans="4:20" x14ac:dyDescent="0.2"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</row>
    <row r="218" spans="4:20" x14ac:dyDescent="0.2"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</row>
    <row r="219" spans="4:20" x14ac:dyDescent="0.2"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</row>
    <row r="220" spans="4:20" x14ac:dyDescent="0.2"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</row>
    <row r="221" spans="4:20" x14ac:dyDescent="0.2"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</row>
  </sheetData>
  <mergeCells count="7">
    <mergeCell ref="B2:P2"/>
    <mergeCell ref="B3:P3"/>
    <mergeCell ref="B4:P4"/>
    <mergeCell ref="G8:I8"/>
    <mergeCell ref="D7:I7"/>
    <mergeCell ref="K7:P7"/>
    <mergeCell ref="N8:P8"/>
  </mergeCells>
  <printOptions horizontalCentered="1"/>
  <pageMargins left="0.1" right="0.1" top="0.5" bottom="0.5" header="0.5" footer="0.25"/>
  <pageSetup scale="104" orientation="landscape" verticalDpi="300" r:id="rId1"/>
  <headerFooter alignWithMargins="0">
    <oddFooter>&amp;L&amp;8Capital Charge / Allocated Expenses
&amp;D &amp;T&amp;R&amp;8&amp;F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N149"/>
  <sheetViews>
    <sheetView workbookViewId="0"/>
  </sheetViews>
  <sheetFormatPr defaultRowHeight="12.75" x14ac:dyDescent="0.2"/>
  <cols>
    <col min="1" max="1" width="16.85546875" style="23" customWidth="1"/>
    <col min="2" max="2" width="31.85546875" bestFit="1" customWidth="1"/>
    <col min="3" max="3" width="1.7109375" customWidth="1"/>
    <col min="4" max="6" width="10.7109375" customWidth="1"/>
    <col min="7" max="7" width="1.7109375" customWidth="1"/>
    <col min="8" max="10" width="10.7109375" customWidth="1"/>
    <col min="11" max="11" width="1.7109375" customWidth="1"/>
    <col min="12" max="14" width="10.7109375" customWidth="1"/>
  </cols>
  <sheetData>
    <row r="1" spans="1:40" ht="15.75" x14ac:dyDescent="0.25">
      <c r="A1" s="23" t="s">
        <v>102</v>
      </c>
      <c r="B1" s="394" t="s">
        <v>17</v>
      </c>
      <c r="C1" s="394"/>
      <c r="D1" s="394"/>
      <c r="E1" s="394"/>
      <c r="F1" s="394"/>
      <c r="G1" s="394"/>
      <c r="H1" s="394"/>
      <c r="I1" s="394"/>
      <c r="J1" s="394"/>
      <c r="K1" s="394"/>
      <c r="L1" s="394"/>
      <c r="M1" s="394"/>
      <c r="N1" s="394"/>
    </row>
    <row r="2" spans="1:40" ht="15" x14ac:dyDescent="0.25">
      <c r="A2" s="23" t="s">
        <v>108</v>
      </c>
      <c r="B2" s="395" t="s">
        <v>165</v>
      </c>
      <c r="C2" s="395"/>
      <c r="D2" s="395"/>
      <c r="E2" s="395"/>
      <c r="F2" s="395"/>
      <c r="G2" s="395"/>
      <c r="H2" s="395"/>
      <c r="I2" s="395"/>
      <c r="J2" s="395"/>
      <c r="K2" s="395"/>
      <c r="L2" s="395"/>
      <c r="M2" s="395"/>
      <c r="N2" s="395"/>
    </row>
    <row r="3" spans="1:40" x14ac:dyDescent="0.2">
      <c r="A3" s="23" t="s">
        <v>109</v>
      </c>
      <c r="B3" s="396"/>
      <c r="C3" s="396"/>
      <c r="D3" s="396"/>
      <c r="E3" s="396"/>
      <c r="F3" s="396"/>
      <c r="G3" s="396"/>
      <c r="H3" s="396"/>
      <c r="I3" s="396"/>
      <c r="J3" s="396"/>
      <c r="K3" s="396"/>
      <c r="L3" s="396"/>
      <c r="M3" s="396"/>
      <c r="N3" s="396"/>
    </row>
    <row r="4" spans="1:40" ht="3" customHeight="1" x14ac:dyDescent="0.2">
      <c r="A4" s="24">
        <v>36586</v>
      </c>
    </row>
    <row r="5" spans="1:40" x14ac:dyDescent="0.2">
      <c r="A5" s="24">
        <v>36617</v>
      </c>
      <c r="B5" s="6"/>
      <c r="D5" s="9"/>
      <c r="E5" s="10"/>
      <c r="F5" s="11"/>
      <c r="G5" s="1"/>
      <c r="H5" s="9"/>
      <c r="I5" s="10"/>
      <c r="J5" s="11"/>
      <c r="K5" s="1"/>
      <c r="L5" s="9"/>
      <c r="M5" s="10"/>
      <c r="N5" s="1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">
      <c r="A6" s="23" t="s">
        <v>47</v>
      </c>
      <c r="B6" s="7"/>
      <c r="D6" s="388" t="s">
        <v>166</v>
      </c>
      <c r="E6" s="389"/>
      <c r="F6" s="390"/>
      <c r="G6" s="1"/>
      <c r="H6" s="388" t="s">
        <v>167</v>
      </c>
      <c r="I6" s="389"/>
      <c r="J6" s="390"/>
      <c r="K6" s="1"/>
      <c r="L6" s="388" t="s">
        <v>68</v>
      </c>
      <c r="M6" s="389"/>
      <c r="N6" s="390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">
      <c r="A7" s="23" t="s">
        <v>125</v>
      </c>
      <c r="B7" s="8" t="s">
        <v>16</v>
      </c>
      <c r="D7" s="129" t="s">
        <v>52</v>
      </c>
      <c r="E7" s="129" t="s">
        <v>53</v>
      </c>
      <c r="F7" s="129" t="s">
        <v>14</v>
      </c>
      <c r="G7" s="1"/>
      <c r="H7" s="129" t="s">
        <v>52</v>
      </c>
      <c r="I7" s="129" t="s">
        <v>53</v>
      </c>
      <c r="J7" s="129" t="s">
        <v>14</v>
      </c>
      <c r="K7" s="1"/>
      <c r="L7" s="129" t="s">
        <v>52</v>
      </c>
      <c r="M7" s="129" t="s">
        <v>53</v>
      </c>
      <c r="N7" s="129" t="s">
        <v>14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ht="3" customHeight="1" x14ac:dyDescent="0.2">
      <c r="B8" s="6"/>
      <c r="D8" s="9"/>
      <c r="E8" s="10"/>
      <c r="F8" s="11"/>
      <c r="G8" s="1"/>
      <c r="H8" s="9"/>
      <c r="I8" s="10"/>
      <c r="J8" s="11"/>
      <c r="K8" s="1"/>
      <c r="L8" s="9"/>
      <c r="M8" s="10"/>
      <c r="N8" s="1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ht="11.25" customHeight="1" x14ac:dyDescent="0.2">
      <c r="A9" s="23" t="s">
        <v>274</v>
      </c>
      <c r="B9" s="7" t="s">
        <v>3</v>
      </c>
      <c r="D9" s="87" t="e">
        <f ca="1">_xll.HPVAL($A9,$A$48,$A$2,$A$5,$A$6,$A$7)</f>
        <v>#NAME?</v>
      </c>
      <c r="E9" s="88" t="e">
        <f ca="1">_xll.HPVAL($A9,$A$48,$A$3,$A$5,$A$6,$A$7)</f>
        <v>#NAME?</v>
      </c>
      <c r="F9" s="89" t="e">
        <f ca="1">+D9+E9</f>
        <v>#NAME?</v>
      </c>
      <c r="G9" s="5"/>
      <c r="H9" s="87" t="e">
        <f ca="1">_xll.HPVAL($A9,$A$1,$A$2,$A$5,$A$6,$A$7)</f>
        <v>#NAME?</v>
      </c>
      <c r="I9" s="88" t="e">
        <f ca="1">_xll.HPVAL($A9,$A$1,$A$3,$A$5,$A$6,$A$7)</f>
        <v>#NAME?</v>
      </c>
      <c r="J9" s="89" t="e">
        <f ca="1">+H9+I9</f>
        <v>#NAME?</v>
      </c>
      <c r="K9" s="1"/>
      <c r="L9" s="87" t="e">
        <f ca="1">+D9-H9</f>
        <v>#NAME?</v>
      </c>
      <c r="M9" s="88" t="e">
        <f ca="1">+E9-I9</f>
        <v>#NAME?</v>
      </c>
      <c r="N9" s="89" t="e">
        <f ca="1">+L9+M9</f>
        <v>#NAME?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ht="11.25" customHeight="1" x14ac:dyDescent="0.2">
      <c r="A10" s="23" t="s">
        <v>105</v>
      </c>
      <c r="B10" s="7" t="s">
        <v>106</v>
      </c>
      <c r="D10" s="87" t="e">
        <f ca="1">_xll.HPVAL($A10,$A$48,$A$2,$A$5,$A$6,$A$7)</f>
        <v>#NAME?</v>
      </c>
      <c r="E10" s="88" t="e">
        <f ca="1">_xll.HPVAL($A10,$A$48,$A$3,$A$5,$A$6,$A$7)</f>
        <v>#NAME?</v>
      </c>
      <c r="F10" s="89" t="e">
        <f t="shared" ref="F10:F17" ca="1" si="0">+D10+E10</f>
        <v>#NAME?</v>
      </c>
      <c r="G10" s="5"/>
      <c r="H10" s="87" t="e">
        <f ca="1">_xll.HPVAL($A10,$A$1,$A$2,$A$5,$A$6,$A$7)</f>
        <v>#NAME?</v>
      </c>
      <c r="I10" s="88" t="e">
        <f ca="1">_xll.HPVAL($A10,$A$1,$A$3,$A$5,$A$6,$A$7)</f>
        <v>#NAME?</v>
      </c>
      <c r="J10" s="89" t="e">
        <f t="shared" ref="J10:J17" ca="1" si="1">+H10+I10</f>
        <v>#NAME?</v>
      </c>
      <c r="K10" s="1"/>
      <c r="L10" s="87" t="e">
        <f t="shared" ref="L10:L17" ca="1" si="2">+D10-H10</f>
        <v>#NAME?</v>
      </c>
      <c r="M10" s="88" t="e">
        <f t="shared" ref="M10:M17" ca="1" si="3">+E10-I10</f>
        <v>#NAME?</v>
      </c>
      <c r="N10" s="89" t="e">
        <f t="shared" ref="N10:N17" ca="1" si="4">+L10+M10</f>
        <v>#NAME?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ht="11.25" customHeight="1" x14ac:dyDescent="0.2">
      <c r="A11" s="23" t="s">
        <v>27</v>
      </c>
      <c r="B11" s="7" t="s">
        <v>132</v>
      </c>
      <c r="D11" s="87" t="e">
        <f ca="1">_xll.HPVAL($A11,$A$48,$A$2,$A$5,$A$6,$A$7)</f>
        <v>#NAME?</v>
      </c>
      <c r="E11" s="88" t="e">
        <f ca="1">_xll.HPVAL($A11,$A$48,$A$3,$A$5,$A$6,$A$7)</f>
        <v>#NAME?</v>
      </c>
      <c r="F11" s="89" t="e">
        <f t="shared" ca="1" si="0"/>
        <v>#NAME?</v>
      </c>
      <c r="G11" s="5"/>
      <c r="H11" s="87" t="e">
        <f ca="1">_xll.HPVAL($A11,$A$1,$A$2,$A$5,$A$6,$A$7)</f>
        <v>#NAME?</v>
      </c>
      <c r="I11" s="88" t="e">
        <f ca="1">_xll.HPVAL($A11,$A$1,$A$3,$A$5,$A$6,$A$7)</f>
        <v>#NAME?</v>
      </c>
      <c r="J11" s="89" t="e">
        <f t="shared" ca="1" si="1"/>
        <v>#NAME?</v>
      </c>
      <c r="K11" s="1"/>
      <c r="L11" s="87" t="e">
        <f t="shared" ca="1" si="2"/>
        <v>#NAME?</v>
      </c>
      <c r="M11" s="88" t="e">
        <f t="shared" ca="1" si="3"/>
        <v>#NAME?</v>
      </c>
      <c r="N11" s="89" t="e">
        <f t="shared" ca="1" si="4"/>
        <v>#NAME?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ht="11.25" customHeight="1" x14ac:dyDescent="0.2">
      <c r="A12" s="23" t="s">
        <v>29</v>
      </c>
      <c r="B12" s="7" t="s">
        <v>133</v>
      </c>
      <c r="D12" s="87" t="e">
        <f ca="1">_xll.HPVAL($A12,$A$48,$A$2,$A$5,$A$6,$A$7)</f>
        <v>#NAME?</v>
      </c>
      <c r="E12" s="88" t="e">
        <f ca="1">_xll.HPVAL($A12,$A$48,$A$3,$A$5,$A$6,$A$7)</f>
        <v>#NAME?</v>
      </c>
      <c r="F12" s="89" t="e">
        <f ca="1">+D12+E12</f>
        <v>#NAME?</v>
      </c>
      <c r="G12" s="5"/>
      <c r="H12" s="87" t="e">
        <f ca="1">_xll.HPVAL($A12,$A$1,$A$2,$A$5,$A$6,$A$7)</f>
        <v>#NAME?</v>
      </c>
      <c r="I12" s="88" t="e">
        <f ca="1">_xll.HPVAL($A12,$A$1,$A$3,$A$5,$A$6,$A$7)</f>
        <v>#NAME?</v>
      </c>
      <c r="J12" s="89" t="e">
        <f ca="1">+H12+I12</f>
        <v>#NAME?</v>
      </c>
      <c r="K12" s="1"/>
      <c r="L12" s="87" t="e">
        <f ca="1">+D12-H12</f>
        <v>#NAME?</v>
      </c>
      <c r="M12" s="88" t="e">
        <f ca="1">+E12-I12</f>
        <v>#NAME?</v>
      </c>
      <c r="N12" s="89" t="e">
        <f ca="1">+L12+M12</f>
        <v>#NAME?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ht="11.25" customHeight="1" x14ac:dyDescent="0.2">
      <c r="A13" s="25" t="s">
        <v>43</v>
      </c>
      <c r="B13" s="7" t="s">
        <v>424</v>
      </c>
      <c r="C13" s="72"/>
      <c r="D13" s="87" t="e">
        <f ca="1">_xll.HPVAL($A13,$A$48,$A$2,$A$5,$A$6,$A$7)</f>
        <v>#NAME?</v>
      </c>
      <c r="E13" s="88" t="e">
        <f ca="1">_xll.HPVAL($A13,$A$48,$A$3,$A$5,$A$6,$A$7)</f>
        <v>#NAME?</v>
      </c>
      <c r="F13" s="89" t="e">
        <f t="shared" ca="1" si="0"/>
        <v>#NAME?</v>
      </c>
      <c r="G13" s="5"/>
      <c r="H13" s="87" t="e">
        <f ca="1">_xll.HPVAL($A13,$A$1,$A$2,$A$5,$A$6,$A$7)</f>
        <v>#NAME?</v>
      </c>
      <c r="I13" s="88" t="e">
        <f ca="1">_xll.HPVAL($A13,$A$1,$A$3,$A$5,$A$6,$A$7)</f>
        <v>#NAME?</v>
      </c>
      <c r="J13" s="89" t="e">
        <f t="shared" ca="1" si="1"/>
        <v>#NAME?</v>
      </c>
      <c r="K13" s="1"/>
      <c r="L13" s="87" t="e">
        <f t="shared" ca="1" si="2"/>
        <v>#NAME?</v>
      </c>
      <c r="M13" s="88" t="e">
        <f t="shared" ca="1" si="3"/>
        <v>#NAME?</v>
      </c>
      <c r="N13" s="89" t="e">
        <f t="shared" ca="1" si="4"/>
        <v>#NAME?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ht="11.25" customHeight="1" x14ac:dyDescent="0.2">
      <c r="A14" s="23" t="s">
        <v>28</v>
      </c>
      <c r="B14" s="7" t="s">
        <v>5</v>
      </c>
      <c r="D14" s="87" t="e">
        <f ca="1">_xll.HPVAL($A14,$A$48,$A$2,$A$5,$A$6,$A$7)</f>
        <v>#NAME?</v>
      </c>
      <c r="E14" s="88" t="e">
        <f ca="1">_xll.HPVAL($A14,$A$48,$A$3,$A$5,$A$6,$A$7)</f>
        <v>#NAME?</v>
      </c>
      <c r="F14" s="89" t="e">
        <f t="shared" ca="1" si="0"/>
        <v>#NAME?</v>
      </c>
      <c r="G14" s="5"/>
      <c r="H14" s="87" t="e">
        <f ca="1">_xll.HPVAL($A14,$A$1,$A$2,$A$5,$A$6,$A$7)</f>
        <v>#NAME?</v>
      </c>
      <c r="I14" s="88" t="e">
        <f ca="1">_xll.HPVAL($A14,$A$1,$A$3,$A$5,$A$6,$A$7)</f>
        <v>#NAME?</v>
      </c>
      <c r="J14" s="89" t="e">
        <f t="shared" ca="1" si="1"/>
        <v>#NAME?</v>
      </c>
      <c r="K14" s="1"/>
      <c r="L14" s="87" t="e">
        <f t="shared" ca="1" si="2"/>
        <v>#NAME?</v>
      </c>
      <c r="M14" s="88" t="e">
        <f t="shared" ca="1" si="3"/>
        <v>#NAME?</v>
      </c>
      <c r="N14" s="89" t="e">
        <f t="shared" ca="1" si="4"/>
        <v>#NAME?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ht="11.25" customHeight="1" x14ac:dyDescent="0.2">
      <c r="A15" s="23" t="s">
        <v>30</v>
      </c>
      <c r="B15" s="7" t="s">
        <v>155</v>
      </c>
      <c r="D15" s="87" t="e">
        <f ca="1">_xll.HPVAL($A15,$A$48,$A$2,$A$5,$A$6,$A$7)</f>
        <v>#NAME?</v>
      </c>
      <c r="E15" s="88" t="e">
        <f ca="1">_xll.HPVAL($A15,$A$48,$A$3,$A$5,$A$6,$A$7)</f>
        <v>#NAME?</v>
      </c>
      <c r="F15" s="89" t="e">
        <f t="shared" ca="1" si="0"/>
        <v>#NAME?</v>
      </c>
      <c r="G15" s="5"/>
      <c r="H15" s="87" t="e">
        <f ca="1">_xll.HPVAL($A15,$A$1,$A$2,$A$5,$A$6,$A$7)</f>
        <v>#NAME?</v>
      </c>
      <c r="I15" s="88" t="e">
        <f ca="1">_xll.HPVAL($A15,$A$1,$A$3,$A$5,$A$6,$A$7)</f>
        <v>#NAME?</v>
      </c>
      <c r="J15" s="89" t="e">
        <f t="shared" ca="1" si="1"/>
        <v>#NAME?</v>
      </c>
      <c r="K15" s="1"/>
      <c r="L15" s="87" t="e">
        <f t="shared" ca="1" si="2"/>
        <v>#NAME?</v>
      </c>
      <c r="M15" s="88" t="e">
        <f t="shared" ca="1" si="3"/>
        <v>#NAME?</v>
      </c>
      <c r="N15" s="89" t="e">
        <f t="shared" ca="1" si="4"/>
        <v>#NAME?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ht="11.25" customHeight="1" x14ac:dyDescent="0.2">
      <c r="A16" s="23" t="s">
        <v>4</v>
      </c>
      <c r="B16" s="7" t="s">
        <v>107</v>
      </c>
      <c r="D16" s="87" t="e">
        <f ca="1">_xll.HPVAL($A16,$A$48,$A$2,$A$5,$A$6,$A$7)</f>
        <v>#NAME?</v>
      </c>
      <c r="E16" s="88" t="e">
        <f ca="1">_xll.HPVAL($A16,$A$48,$A$3,$A$5,$A$6,$A$7)</f>
        <v>#NAME?</v>
      </c>
      <c r="F16" s="89" t="e">
        <f t="shared" ca="1" si="0"/>
        <v>#NAME?</v>
      </c>
      <c r="G16" s="5"/>
      <c r="H16" s="87" t="e">
        <f ca="1">_xll.HPVAL($A16,$A$1,$A$2,$A$5,$A$6,$A$7)</f>
        <v>#NAME?</v>
      </c>
      <c r="I16" s="88" t="e">
        <f ca="1">_xll.HPVAL($A16,$A$1,$A$3,$A$5,$A$6,$A$7)</f>
        <v>#NAME?</v>
      </c>
      <c r="J16" s="89" t="e">
        <f t="shared" ca="1" si="1"/>
        <v>#NAME?</v>
      </c>
      <c r="K16" s="1"/>
      <c r="L16" s="87" t="e">
        <f t="shared" ca="1" si="2"/>
        <v>#NAME?</v>
      </c>
      <c r="M16" s="88" t="e">
        <f t="shared" ca="1" si="3"/>
        <v>#NAME?</v>
      </c>
      <c r="N16" s="89" t="e">
        <f t="shared" ca="1" si="4"/>
        <v>#NAME?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ht="11.25" customHeight="1" x14ac:dyDescent="0.2">
      <c r="A17" s="23" t="s">
        <v>73</v>
      </c>
      <c r="B17" s="7" t="s">
        <v>156</v>
      </c>
      <c r="D17" s="87" t="e">
        <f ca="1">_xll.HPVAL($A17,$A$48,$A$2,$A$5,$A$6,$A$7)</f>
        <v>#NAME?</v>
      </c>
      <c r="E17" s="88" t="e">
        <f ca="1">_xll.HPVAL($A17,$A$48,$A$3,$A$5,$A$6,$A$7)</f>
        <v>#NAME?</v>
      </c>
      <c r="F17" s="89" t="e">
        <f t="shared" ca="1" si="0"/>
        <v>#NAME?</v>
      </c>
      <c r="G17" s="5"/>
      <c r="H17" s="87" t="e">
        <f ca="1">_xll.HPVAL($A17,$A$1,$A$2,$A$5,$A$6,$A$7)</f>
        <v>#NAME?</v>
      </c>
      <c r="I17" s="88" t="e">
        <f ca="1">_xll.HPVAL($A17,$A$1,$A$3,$A$5,$A$6,$A$7)</f>
        <v>#NAME?</v>
      </c>
      <c r="J17" s="89" t="e">
        <f t="shared" ca="1" si="1"/>
        <v>#NAME?</v>
      </c>
      <c r="K17" s="1"/>
      <c r="L17" s="87" t="e">
        <f t="shared" ca="1" si="2"/>
        <v>#NAME?</v>
      </c>
      <c r="M17" s="88" t="e">
        <f t="shared" ca="1" si="3"/>
        <v>#NAME?</v>
      </c>
      <c r="N17" s="89" t="e">
        <f t="shared" ca="1" si="4"/>
        <v>#NAME?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ht="11.25" customHeight="1" x14ac:dyDescent="0.2">
      <c r="B18" s="115" t="s">
        <v>6</v>
      </c>
      <c r="C18" s="114"/>
      <c r="D18" s="111" t="e">
        <f ca="1">SUM(D9:D17)</f>
        <v>#NAME?</v>
      </c>
      <c r="E18" s="112" t="e">
        <f ca="1">SUM(E9:E17)</f>
        <v>#NAME?</v>
      </c>
      <c r="F18" s="130" t="e">
        <f ca="1">SUM(F9:F17)</f>
        <v>#NAME?</v>
      </c>
      <c r="G18" s="116"/>
      <c r="H18" s="111" t="e">
        <f ca="1">SUM(H9:H17)</f>
        <v>#NAME?</v>
      </c>
      <c r="I18" s="112" t="e">
        <f ca="1">SUM(I9:I17)</f>
        <v>#NAME?</v>
      </c>
      <c r="J18" s="130" t="e">
        <f ca="1">SUM(J9:J17)</f>
        <v>#NAME?</v>
      </c>
      <c r="K18" s="114"/>
      <c r="L18" s="111" t="e">
        <f ca="1">SUM(L9:L17)</f>
        <v>#NAME?</v>
      </c>
      <c r="M18" s="112" t="e">
        <f ca="1">SUM(M9:M17)</f>
        <v>#NAME?</v>
      </c>
      <c r="N18" s="130" t="e">
        <f ca="1">SUM(N9:N17)</f>
        <v>#NAME?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ht="3" customHeight="1" x14ac:dyDescent="0.2">
      <c r="B19" s="7"/>
      <c r="D19" s="87"/>
      <c r="E19" s="88"/>
      <c r="F19" s="89"/>
      <c r="G19" s="5"/>
      <c r="H19" s="87"/>
      <c r="I19" s="88"/>
      <c r="J19" s="89"/>
      <c r="K19" s="1"/>
      <c r="L19" s="87"/>
      <c r="M19" s="88"/>
      <c r="N19" s="89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ht="11.25" customHeight="1" x14ac:dyDescent="0.2">
      <c r="A20" s="23" t="s">
        <v>32</v>
      </c>
      <c r="B20" s="7" t="s">
        <v>88</v>
      </c>
      <c r="D20" s="87" t="e">
        <f ca="1">_xll.HPVAL($A20,$A$48,$A$2,$A$5,$A$6,$A$7)</f>
        <v>#NAME?</v>
      </c>
      <c r="E20" s="88" t="e">
        <f ca="1">_xll.HPVAL($A20,$A$48,$A$3,$A$5,$A$6,$A$7)</f>
        <v>#NAME?</v>
      </c>
      <c r="F20" s="89" t="e">
        <f ca="1">+D20+E20</f>
        <v>#NAME?</v>
      </c>
      <c r="G20" s="5"/>
      <c r="H20" s="87" t="e">
        <f ca="1">_xll.HPVAL($A20,$A$1,$A$2,$A$5,$A$6,$A$7)</f>
        <v>#NAME?</v>
      </c>
      <c r="I20" s="88" t="e">
        <f ca="1">_xll.HPVAL($A20,$A$1,$A$3,$A$5,$A$6,$A$7)</f>
        <v>#NAME?</v>
      </c>
      <c r="J20" s="89" t="e">
        <f ca="1">+H20+I20</f>
        <v>#NAME?</v>
      </c>
      <c r="K20" s="1"/>
      <c r="L20" s="87" t="e">
        <f t="shared" ref="L20:M25" ca="1" si="5">+D20-H20</f>
        <v>#NAME?</v>
      </c>
      <c r="M20" s="88" t="e">
        <f t="shared" ca="1" si="5"/>
        <v>#NAME?</v>
      </c>
      <c r="N20" s="89" t="e">
        <f ca="1">+L20+M20</f>
        <v>#NAME?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ht="11.25" customHeight="1" x14ac:dyDescent="0.2">
      <c r="A21" s="23" t="s">
        <v>38</v>
      </c>
      <c r="B21" s="7" t="s">
        <v>89</v>
      </c>
      <c r="D21" s="87" t="e">
        <f ca="1">_xll.HPVAL($A21,$A$48,$A$2,$A$5,$A$6,$A$7)</f>
        <v>#NAME?</v>
      </c>
      <c r="E21" s="88" t="e">
        <f ca="1">_xll.HPVAL($A21,$A$48,$A$3,$A$5,$A$6,$A$7)</f>
        <v>#NAME?</v>
      </c>
      <c r="F21" s="89" t="e">
        <f ca="1">+D21+E21</f>
        <v>#NAME?</v>
      </c>
      <c r="G21" s="5"/>
      <c r="H21" s="87" t="e">
        <f ca="1">_xll.HPVAL($A21,$A$1,$A$2,$A$5,$A$6,$A$7)</f>
        <v>#NAME?</v>
      </c>
      <c r="I21" s="88" t="e">
        <f ca="1">_xll.HPVAL($A21,$A$1,$A$3,$A$5,$A$6,$A$7)</f>
        <v>#NAME?</v>
      </c>
      <c r="J21" s="89" t="e">
        <f ca="1">+H21+I21</f>
        <v>#NAME?</v>
      </c>
      <c r="K21" s="1"/>
      <c r="L21" s="87" t="e">
        <f t="shared" ca="1" si="5"/>
        <v>#NAME?</v>
      </c>
      <c r="M21" s="88" t="e">
        <f t="shared" ca="1" si="5"/>
        <v>#NAME?</v>
      </c>
      <c r="N21" s="89" t="e">
        <f ca="1">+L21+M21</f>
        <v>#NAME?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ht="11.25" customHeight="1" x14ac:dyDescent="0.2">
      <c r="A22" s="23" t="s">
        <v>272</v>
      </c>
      <c r="B22" s="7" t="s">
        <v>90</v>
      </c>
      <c r="D22" s="87" t="e">
        <f ca="1">_xll.HPVAL($A22,$A$48,$A$2,$A$5,$A$6,$A$7)</f>
        <v>#NAME?</v>
      </c>
      <c r="E22" s="88" t="e">
        <f ca="1">_xll.HPVAL($A22,$A$48,$A$3,$A$5,$A$6,$A$7)</f>
        <v>#NAME?</v>
      </c>
      <c r="F22" s="89" t="e">
        <f ca="1">+D22+E22</f>
        <v>#NAME?</v>
      </c>
      <c r="G22" s="5"/>
      <c r="H22" s="87" t="e">
        <f ca="1">_xll.HPVAL($A22,$A$1,$A$2,$A$5,$A$6,$A$7)</f>
        <v>#NAME?</v>
      </c>
      <c r="I22" s="88" t="e">
        <f ca="1">_xll.HPVAL($A22,$A$1,$A$3,$A$5,$A$6,$A$7)</f>
        <v>#NAME?</v>
      </c>
      <c r="J22" s="89" t="e">
        <f ca="1">+H22+I22</f>
        <v>#NAME?</v>
      </c>
      <c r="K22" s="1"/>
      <c r="L22" s="87" t="e">
        <f t="shared" ca="1" si="5"/>
        <v>#NAME?</v>
      </c>
      <c r="M22" s="88" t="e">
        <f t="shared" ca="1" si="5"/>
        <v>#NAME?</v>
      </c>
      <c r="N22" s="89" t="e">
        <f ca="1">+L22+M22</f>
        <v>#NAME?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ht="11.25" customHeight="1" x14ac:dyDescent="0.2">
      <c r="A23" s="23" t="s">
        <v>103</v>
      </c>
      <c r="B23" s="7" t="s">
        <v>104</v>
      </c>
      <c r="D23" s="87" t="e">
        <f ca="1">_xll.HPVAL($A23,$A$48,$A$2,$A$5,$A$6,$A$7)</f>
        <v>#NAME?</v>
      </c>
      <c r="E23" s="88" t="e">
        <f ca="1">_xll.HPVAL($A23,$A$48,$A$3,$A$5,$A$6,$A$7)</f>
        <v>#NAME?</v>
      </c>
      <c r="F23" s="89" t="e">
        <f ca="1">+D23+E23</f>
        <v>#NAME?</v>
      </c>
      <c r="G23" s="5"/>
      <c r="H23" s="87" t="e">
        <f ca="1">_xll.HPVAL($A23,$A$1,$A$2,$A$5,$A$6,$A$7)</f>
        <v>#NAME?</v>
      </c>
      <c r="I23" s="88" t="e">
        <f ca="1">_xll.HPVAL($A23,$A$1,$A$3,$A$5,$A$6,$A$7)</f>
        <v>#NAME?</v>
      </c>
      <c r="J23" s="89" t="e">
        <f ca="1">+H23+I23</f>
        <v>#NAME?</v>
      </c>
      <c r="K23" s="1"/>
      <c r="L23" s="87" t="e">
        <f t="shared" ca="1" si="5"/>
        <v>#NAME?</v>
      </c>
      <c r="M23" s="88" t="e">
        <f t="shared" ca="1" si="5"/>
        <v>#NAME?</v>
      </c>
      <c r="N23" s="89" t="e">
        <f ca="1">+L23+M23</f>
        <v>#NAME?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ht="11.25" customHeight="1" x14ac:dyDescent="0.2">
      <c r="B24" s="7" t="s">
        <v>425</v>
      </c>
      <c r="D24" s="87"/>
      <c r="E24" s="88"/>
      <c r="F24" s="89"/>
      <c r="G24" s="5"/>
      <c r="H24" s="87">
        <v>0</v>
      </c>
      <c r="I24" s="88">
        <v>0</v>
      </c>
      <c r="J24" s="89">
        <v>0</v>
      </c>
      <c r="K24" s="1"/>
      <c r="L24" s="87">
        <v>0</v>
      </c>
      <c r="M24" s="88">
        <v>0</v>
      </c>
      <c r="N24" s="89">
        <v>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ht="11.25" customHeight="1" x14ac:dyDescent="0.2">
      <c r="A25" s="23" t="s">
        <v>36</v>
      </c>
      <c r="B25" s="7" t="s">
        <v>0</v>
      </c>
      <c r="D25" s="87" t="e">
        <f ca="1">_xll.HPVAL($A25,$A$48,$A$2,$A$5,$A$6,$A$7)</f>
        <v>#NAME?</v>
      </c>
      <c r="E25" s="88" t="e">
        <f ca="1">_xll.HPVAL($A25,$A$48,$A$3,$A$5,$A$6,$A$7)</f>
        <v>#NAME?</v>
      </c>
      <c r="F25" s="89" t="e">
        <f ca="1">+D25+E25</f>
        <v>#NAME?</v>
      </c>
      <c r="G25" s="5"/>
      <c r="H25" s="87" t="e">
        <f ca="1">_xll.HPVAL($A25,$A$1,$A$2,$A$5,$A$6,$A$7)</f>
        <v>#NAME?</v>
      </c>
      <c r="I25" s="88" t="e">
        <f ca="1">_xll.HPVAL($A25,$A$1,$A$3,$A$5,$A$6,$A$7)</f>
        <v>#NAME?</v>
      </c>
      <c r="J25" s="89" t="e">
        <f ca="1">+H25+I25</f>
        <v>#NAME?</v>
      </c>
      <c r="K25" s="1"/>
      <c r="L25" s="87" t="e">
        <f t="shared" ca="1" si="5"/>
        <v>#NAME?</v>
      </c>
      <c r="M25" s="88" t="e">
        <f t="shared" ca="1" si="5"/>
        <v>#NAME?</v>
      </c>
      <c r="N25" s="89" t="e">
        <f ca="1">+L25+M25</f>
        <v>#NAME?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ht="11.25" customHeight="1" x14ac:dyDescent="0.2">
      <c r="B26" s="115" t="s">
        <v>1</v>
      </c>
      <c r="C26" s="114"/>
      <c r="D26" s="111" t="e">
        <f ca="1">SUM(D20:D25)</f>
        <v>#NAME?</v>
      </c>
      <c r="E26" s="112" t="e">
        <f ca="1">SUM(E20:E25)</f>
        <v>#NAME?</v>
      </c>
      <c r="F26" s="130" t="e">
        <f ca="1">SUM(F20:F25)</f>
        <v>#NAME?</v>
      </c>
      <c r="G26" s="116"/>
      <c r="H26" s="111" t="e">
        <f ca="1">SUM(H20:H25)</f>
        <v>#NAME?</v>
      </c>
      <c r="I26" s="112" t="e">
        <f ca="1">SUM(I20:I25)</f>
        <v>#NAME?</v>
      </c>
      <c r="J26" s="130" t="e">
        <f ca="1">SUM(J20:J25)</f>
        <v>#NAME?</v>
      </c>
      <c r="K26" s="114"/>
      <c r="L26" s="111" t="e">
        <f ca="1">SUM(L20:L25)</f>
        <v>#NAME?</v>
      </c>
      <c r="M26" s="112" t="e">
        <f ca="1">SUM(M20:M25)</f>
        <v>#NAME?</v>
      </c>
      <c r="N26" s="130" t="e">
        <f ca="1">SUM(N20:N25)</f>
        <v>#NAME?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ht="3" customHeight="1" x14ac:dyDescent="0.2">
      <c r="B27" s="7"/>
      <c r="D27" s="87"/>
      <c r="E27" s="88"/>
      <c r="F27" s="89"/>
      <c r="G27" s="5"/>
      <c r="H27" s="87"/>
      <c r="I27" s="88"/>
      <c r="J27" s="89"/>
      <c r="K27" s="1"/>
      <c r="L27" s="87"/>
      <c r="M27" s="88"/>
      <c r="N27" s="89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ht="11.25" customHeight="1" x14ac:dyDescent="0.2">
      <c r="A28" s="23" t="s">
        <v>37</v>
      </c>
      <c r="B28" s="7" t="s">
        <v>67</v>
      </c>
      <c r="D28" s="87" t="e">
        <f ca="1">_xll.HPVAL($A28,$A$48,$A$2,$A$5,$A$6,$A$7)</f>
        <v>#NAME?</v>
      </c>
      <c r="E28" s="88" t="e">
        <f ca="1">_xll.HPVAL($A28,$A$48,$A$3,$A$5,$A$6,$A$7)</f>
        <v>#NAME?</v>
      </c>
      <c r="F28" s="89" t="e">
        <f ca="1">+D28+E28</f>
        <v>#NAME?</v>
      </c>
      <c r="G28" s="5"/>
      <c r="H28" s="87" t="e">
        <f ca="1">_xll.HPVAL($A28,$A$1,$A$2,$A$5,$A$6,$A$7)</f>
        <v>#NAME?</v>
      </c>
      <c r="I28" s="88" t="e">
        <f ca="1">_xll.HPVAL($A28,$A$1,$A$3,$A$5,$A$6,$A$7)</f>
        <v>#NAME?</v>
      </c>
      <c r="J28" s="89" t="e">
        <f ca="1">+H28+I28</f>
        <v>#NAME?</v>
      </c>
      <c r="K28" s="1"/>
      <c r="L28" s="87" t="e">
        <f t="shared" ref="L28:M30" ca="1" si="6">+D28-H28</f>
        <v>#NAME?</v>
      </c>
      <c r="M28" s="88" t="e">
        <f t="shared" ca="1" si="6"/>
        <v>#NAME?</v>
      </c>
      <c r="N28" s="89" t="e">
        <f ca="1">+L28+M28</f>
        <v>#NAME?</v>
      </c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ht="11.25" customHeight="1" x14ac:dyDescent="0.25">
      <c r="A29" s="23" t="s">
        <v>41</v>
      </c>
      <c r="B29" s="230" t="s">
        <v>415</v>
      </c>
      <c r="C29" s="72"/>
      <c r="D29" s="87" t="e">
        <f ca="1">_xll.HPVAL($A29,$A$48,$A$2,$A$5,$A$6,$A$7)</f>
        <v>#NAME?</v>
      </c>
      <c r="E29" s="88" t="e">
        <f ca="1">_xll.HPVAL($A29,$A$48,$A$3,$A$5,$A$6,$A$7)</f>
        <v>#NAME?</v>
      </c>
      <c r="F29" s="89" t="e">
        <f ca="1">+D29+E29</f>
        <v>#NAME?</v>
      </c>
      <c r="G29" s="5"/>
      <c r="H29" s="87" t="e">
        <f ca="1">_xll.HPVAL($A29,$A$1,$A$2,$A$5,$A$6,$A$7)</f>
        <v>#NAME?</v>
      </c>
      <c r="I29" s="88" t="e">
        <f ca="1">_xll.HPVAL($A29,$A$1,$A$3,$A$5,$A$6,$A$7)</f>
        <v>#NAME?</v>
      </c>
      <c r="J29" s="89" t="e">
        <f ca="1">+H29+I29</f>
        <v>#NAME?</v>
      </c>
      <c r="K29" s="1"/>
      <c r="L29" s="87" t="e">
        <f t="shared" ca="1" si="6"/>
        <v>#NAME?</v>
      </c>
      <c r="M29" s="88" t="e">
        <f t="shared" ca="1" si="6"/>
        <v>#NAME?</v>
      </c>
      <c r="N29" s="89" t="e">
        <f ca="1">+L29+M29</f>
        <v>#NAME?</v>
      </c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ht="11.25" customHeight="1" x14ac:dyDescent="0.25">
      <c r="A30" s="23" t="s">
        <v>42</v>
      </c>
      <c r="B30" s="230" t="s">
        <v>416</v>
      </c>
      <c r="C30" s="72"/>
      <c r="D30" s="87" t="e">
        <f ca="1">_xll.HPVAL($A30,$A$48,$A$2,$A$5,$A$6,$A$7)</f>
        <v>#NAME?</v>
      </c>
      <c r="E30" s="88" t="e">
        <f ca="1">_xll.HPVAL($A30,$A$48,$A$3,$A$5,$A$6,$A$7)</f>
        <v>#NAME?</v>
      </c>
      <c r="F30" s="89" t="e">
        <f ca="1">+D30+E30</f>
        <v>#NAME?</v>
      </c>
      <c r="G30" s="5"/>
      <c r="H30" s="87" t="e">
        <f ca="1">_xll.HPVAL($A30,$A$1,$A$2,$A$5,$A$6,$A$7)</f>
        <v>#NAME?</v>
      </c>
      <c r="I30" s="88" t="e">
        <f ca="1">_xll.HPVAL($A30,$A$1,$A$3,$A$5,$A$6,$A$7)</f>
        <v>#NAME?</v>
      </c>
      <c r="J30" s="89" t="e">
        <f ca="1">+H30+I30</f>
        <v>#NAME?</v>
      </c>
      <c r="K30" s="1"/>
      <c r="L30" s="87" t="e">
        <f t="shared" ca="1" si="6"/>
        <v>#NAME?</v>
      </c>
      <c r="M30" s="88" t="e">
        <f t="shared" ca="1" si="6"/>
        <v>#NAME?</v>
      </c>
      <c r="N30" s="89" t="e">
        <f ca="1">+L30+M30</f>
        <v>#NAME?</v>
      </c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</row>
    <row r="31" spans="1:40" ht="11.25" customHeight="1" x14ac:dyDescent="0.2">
      <c r="B31" s="115" t="s">
        <v>86</v>
      </c>
      <c r="C31" s="114"/>
      <c r="D31" s="111" t="e">
        <f ca="1">SUM(D28:D30)</f>
        <v>#NAME?</v>
      </c>
      <c r="E31" s="112" t="e">
        <f ca="1">SUM(E28:E30)</f>
        <v>#NAME?</v>
      </c>
      <c r="F31" s="130" t="e">
        <f ca="1">SUM(F28:F30)</f>
        <v>#NAME?</v>
      </c>
      <c r="G31" s="116"/>
      <c r="H31" s="111" t="e">
        <f ca="1">SUM(H28:H30)</f>
        <v>#NAME?</v>
      </c>
      <c r="I31" s="112" t="e">
        <f ca="1">SUM(I28:I30)</f>
        <v>#NAME?</v>
      </c>
      <c r="J31" s="130" t="e">
        <f ca="1">SUM(J28:J30)</f>
        <v>#NAME?</v>
      </c>
      <c r="K31" s="114"/>
      <c r="L31" s="111" t="e">
        <f ca="1">SUM(L28:L30)</f>
        <v>#NAME?</v>
      </c>
      <c r="M31" s="112" t="e">
        <f ca="1">SUM(M28:M30)</f>
        <v>#NAME?</v>
      </c>
      <c r="N31" s="130" t="e">
        <f ca="1">SUM(N28:N30)</f>
        <v>#NAME?</v>
      </c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ht="3" customHeight="1" x14ac:dyDescent="0.2">
      <c r="B32" s="7"/>
      <c r="D32" s="87"/>
      <c r="E32" s="88"/>
      <c r="F32" s="89"/>
      <c r="G32" s="5"/>
      <c r="H32" s="87"/>
      <c r="I32" s="88"/>
      <c r="J32" s="89"/>
      <c r="K32" s="1"/>
      <c r="L32" s="87"/>
      <c r="M32" s="88"/>
      <c r="N32" s="89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ht="11.25" customHeight="1" x14ac:dyDescent="0.2">
      <c r="A33" s="23" t="s">
        <v>40</v>
      </c>
      <c r="B33" s="7" t="s">
        <v>9</v>
      </c>
      <c r="D33" s="87" t="e">
        <f ca="1">_xll.HPVAL($A33,$A$48,$A$2,$A$5,$A$6,$A$7)</f>
        <v>#NAME?</v>
      </c>
      <c r="E33" s="88" t="e">
        <f ca="1">_xll.HPVAL($A33,$A$48,$A$3,$A$5,$A$6,$A$7)</f>
        <v>#NAME?</v>
      </c>
      <c r="F33" s="89" t="e">
        <f ca="1">+D33+E33</f>
        <v>#NAME?</v>
      </c>
      <c r="G33" s="5"/>
      <c r="H33" s="87" t="e">
        <f ca="1">_xll.HPVAL($A33,$A$1,$A$2,$A$5,$A$6,$A$7)</f>
        <v>#NAME?</v>
      </c>
      <c r="I33" s="88" t="e">
        <f ca="1">_xll.HPVAL($A33,$A$1,$A$3,$A$5,$A$6,$A$7)</f>
        <v>#NAME?</v>
      </c>
      <c r="J33" s="89" t="e">
        <f ca="1">+H33+I33</f>
        <v>#NAME?</v>
      </c>
      <c r="K33" s="1"/>
      <c r="L33" s="87" t="e">
        <f t="shared" ref="L33:M35" ca="1" si="7">+D33-H33</f>
        <v>#NAME?</v>
      </c>
      <c r="M33" s="88" t="e">
        <f t="shared" ca="1" si="7"/>
        <v>#NAME?</v>
      </c>
      <c r="N33" s="89" t="e">
        <f ca="1">+L33+M33</f>
        <v>#NAME?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ht="11.25" customHeight="1" x14ac:dyDescent="0.2">
      <c r="A34" s="23" t="s">
        <v>39</v>
      </c>
      <c r="B34" s="7" t="s">
        <v>440</v>
      </c>
      <c r="D34" s="87" t="e">
        <f ca="1">_xll.HPVAL($A34,$A$48,$A$2,$A$5,$A$6,$A$7)</f>
        <v>#NAME?</v>
      </c>
      <c r="E34" s="88" t="e">
        <f ca="1">_xll.HPVAL($A34,$A$48,$A$3,$A$5,$A$6,$A$7)</f>
        <v>#NAME?</v>
      </c>
      <c r="F34" s="89" t="e">
        <f ca="1">+D34+E34</f>
        <v>#NAME?</v>
      </c>
      <c r="G34" s="5"/>
      <c r="H34" s="87" t="e">
        <f ca="1">_xll.HPVAL($A34,$A$1,$A$2,$A$5,$A$6,$A$7)</f>
        <v>#NAME?</v>
      </c>
      <c r="I34" s="88" t="e">
        <f ca="1">_xll.HPVAL($A34,$A$1,$A$3,$A$5,$A$6,$A$7)</f>
        <v>#NAME?</v>
      </c>
      <c r="J34" s="89" t="e">
        <f ca="1">+H34+I34</f>
        <v>#NAME?</v>
      </c>
      <c r="K34" s="1"/>
      <c r="L34" s="87" t="e">
        <f t="shared" ca="1" si="7"/>
        <v>#NAME?</v>
      </c>
      <c r="M34" s="88" t="e">
        <f t="shared" ca="1" si="7"/>
        <v>#NAME?</v>
      </c>
      <c r="N34" s="89" t="e">
        <f ca="1">+L34+M34</f>
        <v>#NAME?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ht="11.25" hidden="1" customHeight="1" x14ac:dyDescent="0.2">
      <c r="A35" s="23" t="s">
        <v>153</v>
      </c>
      <c r="B35" s="7" t="s">
        <v>180</v>
      </c>
      <c r="D35" s="87" t="e">
        <f ca="1">_xll.HPVAL($A35,$A$48,$A$2,$A$5,$A$6,$A$7)</f>
        <v>#NAME?</v>
      </c>
      <c r="E35" s="88" t="e">
        <f ca="1">_xll.HPVAL($A35,$A$48,$A$3,$A$5,$A$6,$A$7)</f>
        <v>#NAME?</v>
      </c>
      <c r="F35" s="89" t="e">
        <f ca="1">+D35+E35</f>
        <v>#NAME?</v>
      </c>
      <c r="G35" s="5"/>
      <c r="H35" s="87" t="e">
        <f ca="1">_xll.HPVAL($A35,$A$1,$A$2,$A$5,$A$6,$A$7)</f>
        <v>#NAME?</v>
      </c>
      <c r="I35" s="88" t="e">
        <f ca="1">_xll.HPVAL($A35,$A$1,$A$3,$A$5,$A$6,$A$7)</f>
        <v>#NAME?</v>
      </c>
      <c r="J35" s="89" t="e">
        <f ca="1">+H35+I35</f>
        <v>#NAME?</v>
      </c>
      <c r="K35" s="1"/>
      <c r="L35" s="87" t="e">
        <f t="shared" ca="1" si="7"/>
        <v>#NAME?</v>
      </c>
      <c r="M35" s="88" t="e">
        <f t="shared" ca="1" si="7"/>
        <v>#NAME?</v>
      </c>
      <c r="N35" s="89" t="e">
        <f ca="1">+L35+M35</f>
        <v>#NAME?</v>
      </c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ht="11.25" hidden="1" customHeight="1" x14ac:dyDescent="0.2">
      <c r="A36" s="23" t="s">
        <v>157</v>
      </c>
      <c r="B36" s="7" t="s">
        <v>154</v>
      </c>
      <c r="D36" s="87" t="e">
        <f ca="1">_xll.HPVAL($A36,$A$48,$A$2,$A$5,$A$6,$A$7)</f>
        <v>#NAME?</v>
      </c>
      <c r="E36" s="88" t="e">
        <f ca="1">_xll.HPVAL($A36,$A$48,$A$3,$A$5,$A$6,$A$7)</f>
        <v>#NAME?</v>
      </c>
      <c r="F36" s="89" t="e">
        <f ca="1">+D36+E36</f>
        <v>#NAME?</v>
      </c>
      <c r="G36" s="5"/>
      <c r="H36" s="87" t="e">
        <f ca="1">_xll.HPVAL($A36,$A$1,$A$2,$A$5,$A$6,$A$7)</f>
        <v>#NAME?</v>
      </c>
      <c r="I36" s="88" t="e">
        <f ca="1">_xll.HPVAL($A36,$A$1,$A$3,$A$5,$A$6,$A$7)</f>
        <v>#NAME?</v>
      </c>
      <c r="J36" s="89" t="e">
        <f ca="1">+H36+I36</f>
        <v>#NAME?</v>
      </c>
      <c r="K36" s="1"/>
      <c r="L36" s="87" t="e">
        <f ca="1">+D36-H36</f>
        <v>#NAME?</v>
      </c>
      <c r="M36" s="88" t="e">
        <f ca="1">+E36-I36</f>
        <v>#NAME?</v>
      </c>
      <c r="N36" s="89" t="e">
        <f ca="1">+L36+M36</f>
        <v>#NAME?</v>
      </c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ht="11.25" customHeight="1" x14ac:dyDescent="0.2">
      <c r="B37" s="7" t="s">
        <v>154</v>
      </c>
      <c r="D37" s="87" t="e">
        <f ca="1">SUM(D35:D36)</f>
        <v>#NAME?</v>
      </c>
      <c r="E37" s="88" t="e">
        <f ca="1">SUM(E35:E36)</f>
        <v>#NAME?</v>
      </c>
      <c r="F37" s="89" t="e">
        <f ca="1">SUM(F35:F36)</f>
        <v>#NAME?</v>
      </c>
      <c r="G37" s="5"/>
      <c r="H37" s="87" t="e">
        <f ca="1">SUM(H35:H36)</f>
        <v>#NAME?</v>
      </c>
      <c r="I37" s="88" t="e">
        <f ca="1">SUM(I35:I36)</f>
        <v>#NAME?</v>
      </c>
      <c r="J37" s="89" t="e">
        <f ca="1">SUM(J35:J36)</f>
        <v>#NAME?</v>
      </c>
      <c r="K37" s="1"/>
      <c r="L37" s="87" t="e">
        <f ca="1">SUM(L35:L36)</f>
        <v>#NAME?</v>
      </c>
      <c r="M37" s="88" t="e">
        <f ca="1">SUM(M35:M36)</f>
        <v>#NAME?</v>
      </c>
      <c r="N37" s="89" t="e">
        <f ca="1">SUM(N35:N36)</f>
        <v>#NAME?</v>
      </c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ht="11.25" customHeight="1" x14ac:dyDescent="0.2">
      <c r="B38" s="115" t="s">
        <v>87</v>
      </c>
      <c r="C38" s="114"/>
      <c r="D38" s="111" t="e">
        <f ca="1">SUM(D33:D36)</f>
        <v>#NAME?</v>
      </c>
      <c r="E38" s="112" t="e">
        <f ca="1">SUM(E33:E36)</f>
        <v>#NAME?</v>
      </c>
      <c r="F38" s="130" t="e">
        <f ca="1">SUM(F33:F36)</f>
        <v>#NAME?</v>
      </c>
      <c r="G38" s="116"/>
      <c r="H38" s="111" t="e">
        <f ca="1">SUM(H33:H36)</f>
        <v>#NAME?</v>
      </c>
      <c r="I38" s="112" t="e">
        <f ca="1">SUM(I33:I36)</f>
        <v>#NAME?</v>
      </c>
      <c r="J38" s="130" t="e">
        <f ca="1">SUM(J33:J36)</f>
        <v>#NAME?</v>
      </c>
      <c r="K38" s="114"/>
      <c r="L38" s="111" t="e">
        <f ca="1">SUM(L33:L36)</f>
        <v>#NAME?</v>
      </c>
      <c r="M38" s="112" t="e">
        <f ca="1">SUM(M33:M36)</f>
        <v>#NAME?</v>
      </c>
      <c r="N38" s="130" t="e">
        <f ca="1">SUM(N33:N36)</f>
        <v>#NAME?</v>
      </c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ht="3" customHeight="1" x14ac:dyDescent="0.2">
      <c r="B39" s="7"/>
      <c r="D39" s="87"/>
      <c r="E39" s="88"/>
      <c r="F39" s="89"/>
      <c r="G39" s="5"/>
      <c r="H39" s="87"/>
      <c r="I39" s="88"/>
      <c r="J39" s="89"/>
      <c r="K39" s="1"/>
      <c r="L39" s="87"/>
      <c r="M39" s="88"/>
      <c r="N39" s="89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ht="11.25" customHeight="1" x14ac:dyDescent="0.2">
      <c r="A40" s="23" t="s">
        <v>82</v>
      </c>
      <c r="B40" s="7" t="s">
        <v>8</v>
      </c>
      <c r="C40" s="72"/>
      <c r="D40" s="87" t="e">
        <f ca="1">_xll.HPVAL($A40,$A$48,$A$2,$A$5,$A$6,$A$7)</f>
        <v>#NAME?</v>
      </c>
      <c r="E40" s="88" t="e">
        <f ca="1">_xll.HPVAL($A40,$A$48,$A$3,$A$5,$A$6,$A$7)</f>
        <v>#NAME?</v>
      </c>
      <c r="F40" s="89" t="e">
        <f ca="1">+D40+E40</f>
        <v>#NAME?</v>
      </c>
      <c r="G40" s="5"/>
      <c r="H40" s="87" t="e">
        <f ca="1">_xll.HPVAL($A40,$A$1,$A$2,$A$5,$A$6,$A$7)</f>
        <v>#NAME?</v>
      </c>
      <c r="I40" s="88" t="e">
        <f ca="1">_xll.HPVAL($A40,$A$1,$A$3,$A$5,$A$6,$A$7)</f>
        <v>#NAME?</v>
      </c>
      <c r="J40" s="89" t="e">
        <f ca="1">+H40+I40</f>
        <v>#NAME?</v>
      </c>
      <c r="K40" s="1"/>
      <c r="L40" s="87" t="e">
        <f ca="1">+D40-H40</f>
        <v>#NAME?</v>
      </c>
      <c r="M40" s="88" t="e">
        <f ca="1">+E40-I40</f>
        <v>#NAME?</v>
      </c>
      <c r="N40" s="89" t="e">
        <f ca="1">+L40+M40</f>
        <v>#NAME?</v>
      </c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ht="3" customHeight="1" x14ac:dyDescent="0.2">
      <c r="B41" s="7"/>
      <c r="C41" s="72"/>
      <c r="D41" s="87"/>
      <c r="E41" s="88"/>
      <c r="F41" s="89">
        <f>+D41+E41</f>
        <v>0</v>
      </c>
      <c r="G41" s="5"/>
      <c r="H41" s="87"/>
      <c r="I41" s="88"/>
      <c r="J41" s="89">
        <f>+H41+I41</f>
        <v>0</v>
      </c>
      <c r="K41" s="1"/>
      <c r="L41" s="87"/>
      <c r="M41" s="88"/>
      <c r="N41" s="89">
        <f>+L41+M41</f>
        <v>0</v>
      </c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ht="11.25" customHeight="1" x14ac:dyDescent="0.2">
      <c r="A42" s="25" t="s">
        <v>44</v>
      </c>
      <c r="B42" s="7" t="s">
        <v>7</v>
      </c>
      <c r="C42" s="72"/>
      <c r="D42" s="87" t="e">
        <f ca="1">_xll.HPVAL($A42,$A$48,$A$2,$A$5,$A$6,$A$7)</f>
        <v>#NAME?</v>
      </c>
      <c r="E42" s="88" t="e">
        <f ca="1">_xll.HPVAL($A42,$A$48,$A$3,$A$5,$A$6,$A$7)</f>
        <v>#NAME?</v>
      </c>
      <c r="F42" s="89" t="e">
        <f ca="1">+D42+E42</f>
        <v>#NAME?</v>
      </c>
      <c r="G42" s="5"/>
      <c r="H42" s="87" t="e">
        <f ca="1">_xll.HPVAL($A42,$A$1,$A$2,$A$5,$A$6,$A$7)</f>
        <v>#NAME?</v>
      </c>
      <c r="I42" s="88" t="e">
        <f ca="1">_xll.HPVAL($A42,$A$1,$A$3,$A$5,$A$6,$A$7)</f>
        <v>#NAME?</v>
      </c>
      <c r="J42" s="89" t="e">
        <f ca="1">+H42+I42</f>
        <v>#NAME?</v>
      </c>
      <c r="K42" s="1"/>
      <c r="L42" s="87" t="e">
        <f ca="1">+D42-H42</f>
        <v>#NAME?</v>
      </c>
      <c r="M42" s="88" t="e">
        <f ca="1">+E42-I42</f>
        <v>#NAME?</v>
      </c>
      <c r="N42" s="89" t="e">
        <f ca="1">+L42+M42</f>
        <v>#NAME?</v>
      </c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ht="3" customHeight="1" x14ac:dyDescent="0.2">
      <c r="B43" s="7"/>
      <c r="D43" s="87"/>
      <c r="E43" s="88"/>
      <c r="F43" s="89"/>
      <c r="G43" s="5"/>
      <c r="H43" s="87"/>
      <c r="I43" s="88"/>
      <c r="J43" s="89"/>
      <c r="K43" s="1"/>
      <c r="L43" s="87"/>
      <c r="M43" s="88"/>
      <c r="N43" s="89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s="114" customFormat="1" ht="11.25" customHeight="1" x14ac:dyDescent="0.2">
      <c r="A44" s="23"/>
      <c r="B44" s="115" t="s">
        <v>10</v>
      </c>
      <c r="D44" s="111" t="e">
        <f ca="1">SUM(D38:D42)+D18+D26+D31</f>
        <v>#NAME?</v>
      </c>
      <c r="E44" s="112" t="e">
        <f ca="1">SUM(E38:E42)+E18+E26+E31</f>
        <v>#NAME?</v>
      </c>
      <c r="F44" s="130" t="e">
        <f ca="1">SUM(F38:F42)+F18+F26+F31</f>
        <v>#NAME?</v>
      </c>
      <c r="G44" s="116"/>
      <c r="H44" s="111" t="e">
        <f ca="1">SUM(H38:H42)+H18+H26+H31</f>
        <v>#NAME?</v>
      </c>
      <c r="I44" s="112" t="e">
        <f ca="1">SUM(I38:I42)+I18+I26+I31</f>
        <v>#NAME?</v>
      </c>
      <c r="J44" s="130" t="e">
        <f ca="1">SUM(J38:J42)+J18+J26+J31</f>
        <v>#NAME?</v>
      </c>
      <c r="L44" s="111" t="e">
        <f ca="1">SUM(L38:L42)+L18+L26+L31</f>
        <v>#NAME?</v>
      </c>
      <c r="M44" s="112" t="e">
        <f ca="1">SUM(M38:M42)+M18+M26+M31</f>
        <v>#NAME?</v>
      </c>
      <c r="N44" s="130" t="e">
        <f ca="1">SUM(N38:N42)+N18+N26+N31</f>
        <v>#NAME?</v>
      </c>
    </row>
    <row r="45" spans="1:40" ht="3" customHeight="1" x14ac:dyDescent="0.2">
      <c r="A45" s="114"/>
      <c r="B45" s="7"/>
      <c r="D45" s="87"/>
      <c r="E45" s="88"/>
      <c r="F45" s="89"/>
      <c r="G45" s="5"/>
      <c r="H45" s="87"/>
      <c r="I45" s="88"/>
      <c r="J45" s="89"/>
      <c r="K45" s="1"/>
      <c r="L45" s="87"/>
      <c r="M45" s="88"/>
      <c r="N45" s="89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</row>
    <row r="46" spans="1:40" ht="11.25" customHeight="1" x14ac:dyDescent="0.2">
      <c r="A46" s="23" t="s">
        <v>45</v>
      </c>
      <c r="B46" s="7" t="s">
        <v>48</v>
      </c>
      <c r="C46" s="72"/>
      <c r="D46" s="87"/>
      <c r="E46" s="88" t="e">
        <f ca="1">_xll.HPVAL($A46,$A$48,"total_headcount",$A$5,$A$6,$A$7)</f>
        <v>#NAME?</v>
      </c>
      <c r="F46" s="89" t="e">
        <f ca="1">+D46+E46</f>
        <v>#NAME?</v>
      </c>
      <c r="G46" s="5"/>
      <c r="H46" s="87"/>
      <c r="I46" s="88" t="e">
        <f ca="1">_xll.HPVAL($A46,$A$1,"total_headcount",$A$5,$A$6,$A$7)</f>
        <v>#NAME?</v>
      </c>
      <c r="J46" s="89" t="e">
        <f ca="1">+H46+I46</f>
        <v>#NAME?</v>
      </c>
      <c r="K46" s="1"/>
      <c r="L46" s="87">
        <f>+D46-H46</f>
        <v>0</v>
      </c>
      <c r="M46" s="88" t="e">
        <f ca="1">+E46-I46</f>
        <v>#NAME?</v>
      </c>
      <c r="N46" s="89" t="e">
        <f ca="1">+L46+M46</f>
        <v>#NAME?</v>
      </c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ht="3" customHeight="1" x14ac:dyDescent="0.2">
      <c r="A47" s="23" t="s">
        <v>45</v>
      </c>
      <c r="B47" s="7"/>
      <c r="D47" s="87"/>
      <c r="E47" s="88"/>
      <c r="F47" s="89"/>
      <c r="G47" s="5"/>
      <c r="H47" s="87"/>
      <c r="I47" s="88"/>
      <c r="J47" s="89"/>
      <c r="K47" s="1"/>
      <c r="L47" s="87"/>
      <c r="M47" s="88"/>
      <c r="N47" s="89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s="72" customFormat="1" ht="11.25" customHeight="1" x14ac:dyDescent="0.2">
      <c r="A48" s="23" t="s">
        <v>64</v>
      </c>
      <c r="B48" s="107" t="s">
        <v>14</v>
      </c>
      <c r="D48" s="111" t="e">
        <f ca="1">D44+D46</f>
        <v>#NAME?</v>
      </c>
      <c r="E48" s="112" t="e">
        <f ca="1">E44+E46</f>
        <v>#NAME?</v>
      </c>
      <c r="F48" s="130" t="e">
        <f ca="1">F44+F46</f>
        <v>#NAME?</v>
      </c>
      <c r="G48" s="5"/>
      <c r="H48" s="111" t="e">
        <f ca="1">H44+H46</f>
        <v>#NAME?</v>
      </c>
      <c r="I48" s="112" t="e">
        <f ca="1">I44+I46</f>
        <v>#NAME?</v>
      </c>
      <c r="J48" s="130" t="e">
        <f ca="1">J44+J46</f>
        <v>#NAME?</v>
      </c>
      <c r="K48" s="1"/>
      <c r="L48" s="111" t="e">
        <f ca="1">L44+L46</f>
        <v>#NAME?</v>
      </c>
      <c r="M48" s="112" t="e">
        <f ca="1">M44+M46</f>
        <v>#NAME?</v>
      </c>
      <c r="N48" s="130" t="e">
        <f ca="1">N44+N46</f>
        <v>#NAME?</v>
      </c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</row>
    <row r="49" spans="1:40" ht="3" customHeight="1" x14ac:dyDescent="0.2">
      <c r="A49" s="114"/>
      <c r="B49" s="19"/>
      <c r="D49" s="13"/>
      <c r="E49" s="14"/>
      <c r="F49" s="22"/>
      <c r="G49" s="1"/>
      <c r="H49" s="13"/>
      <c r="I49" s="14"/>
      <c r="J49" s="22"/>
      <c r="K49" s="1"/>
      <c r="L49" s="13"/>
      <c r="M49" s="14"/>
      <c r="N49" s="22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4:40" x14ac:dyDescent="0.2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4:40" x14ac:dyDescent="0.2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4:40" x14ac:dyDescent="0.2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4:40" x14ac:dyDescent="0.2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4:40" x14ac:dyDescent="0.2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4:40" x14ac:dyDescent="0.2"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4:40" x14ac:dyDescent="0.2"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4:40" x14ac:dyDescent="0.2"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4:40" x14ac:dyDescent="0.2"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4:40" x14ac:dyDescent="0.2"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4:40" x14ac:dyDescent="0.2"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4:40" x14ac:dyDescent="0.2"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4:40" x14ac:dyDescent="0.2"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4:40" x14ac:dyDescent="0.2"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4:40" x14ac:dyDescent="0.2"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4:40" x14ac:dyDescent="0.2"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4:40" x14ac:dyDescent="0.2"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  <row r="82" spans="4:40" x14ac:dyDescent="0.2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</row>
    <row r="83" spans="4:40" x14ac:dyDescent="0.2"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</row>
    <row r="84" spans="4:40" x14ac:dyDescent="0.2"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</row>
    <row r="85" spans="4:40" x14ac:dyDescent="0.2"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</row>
    <row r="86" spans="4:40" x14ac:dyDescent="0.2"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</row>
    <row r="87" spans="4:40" x14ac:dyDescent="0.2"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</row>
    <row r="88" spans="4:40" x14ac:dyDescent="0.2"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</row>
    <row r="89" spans="4:40" x14ac:dyDescent="0.2"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</row>
    <row r="90" spans="4:40" x14ac:dyDescent="0.2"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</row>
    <row r="91" spans="4:40" x14ac:dyDescent="0.2"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</row>
    <row r="92" spans="4:40" x14ac:dyDescent="0.2"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</row>
    <row r="93" spans="4:40" x14ac:dyDescent="0.2"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</row>
    <row r="94" spans="4:40" x14ac:dyDescent="0.2"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</row>
    <row r="95" spans="4:40" x14ac:dyDescent="0.2"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</row>
    <row r="96" spans="4:40" x14ac:dyDescent="0.2"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</row>
    <row r="97" spans="4:40" x14ac:dyDescent="0.2"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</row>
    <row r="98" spans="4:40" x14ac:dyDescent="0.2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</row>
    <row r="99" spans="4:40" x14ac:dyDescent="0.2"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</row>
    <row r="100" spans="4:40" x14ac:dyDescent="0.2"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</row>
    <row r="101" spans="4:40" x14ac:dyDescent="0.2"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</row>
    <row r="102" spans="4:40" x14ac:dyDescent="0.2"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</row>
    <row r="103" spans="4:40" x14ac:dyDescent="0.2"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</row>
    <row r="104" spans="4:40" x14ac:dyDescent="0.2"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</row>
    <row r="105" spans="4:40" x14ac:dyDescent="0.2"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</row>
    <row r="106" spans="4:40" x14ac:dyDescent="0.2"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</row>
    <row r="107" spans="4:40" x14ac:dyDescent="0.2"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</row>
    <row r="108" spans="4:40" x14ac:dyDescent="0.2"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</row>
    <row r="109" spans="4:40" x14ac:dyDescent="0.2"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</row>
    <row r="110" spans="4:40" x14ac:dyDescent="0.2"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</row>
    <row r="111" spans="4:40" x14ac:dyDescent="0.2"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</row>
    <row r="112" spans="4:40" x14ac:dyDescent="0.2"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</row>
    <row r="113" spans="4:40" x14ac:dyDescent="0.2"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</row>
    <row r="114" spans="4:40" x14ac:dyDescent="0.2"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</row>
    <row r="115" spans="4:40" x14ac:dyDescent="0.2"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</row>
    <row r="116" spans="4:40" x14ac:dyDescent="0.2"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4:40" x14ac:dyDescent="0.2"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</row>
    <row r="118" spans="4:40" x14ac:dyDescent="0.2"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</row>
    <row r="119" spans="4:40" x14ac:dyDescent="0.2"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</row>
    <row r="120" spans="4:40" x14ac:dyDescent="0.2"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</row>
    <row r="121" spans="4:40" x14ac:dyDescent="0.2"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</row>
    <row r="122" spans="4:40" x14ac:dyDescent="0.2"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</row>
    <row r="123" spans="4:40" x14ac:dyDescent="0.2"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4:40" x14ac:dyDescent="0.2"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</row>
    <row r="125" spans="4:40" x14ac:dyDescent="0.2"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</row>
    <row r="126" spans="4:40" x14ac:dyDescent="0.2"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</row>
    <row r="127" spans="4:40" x14ac:dyDescent="0.2"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</row>
    <row r="128" spans="4:40" x14ac:dyDescent="0.2"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</row>
    <row r="129" spans="4:40" x14ac:dyDescent="0.2"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</row>
    <row r="130" spans="4:40" x14ac:dyDescent="0.2"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</row>
    <row r="131" spans="4:40" x14ac:dyDescent="0.2"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</row>
    <row r="132" spans="4:40" x14ac:dyDescent="0.2"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</row>
    <row r="133" spans="4:40" x14ac:dyDescent="0.2"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</row>
    <row r="134" spans="4:40" x14ac:dyDescent="0.2"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</row>
    <row r="135" spans="4:40" x14ac:dyDescent="0.2"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</row>
    <row r="136" spans="4:40" x14ac:dyDescent="0.2"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</row>
    <row r="137" spans="4:40" x14ac:dyDescent="0.2"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</row>
    <row r="138" spans="4:40" x14ac:dyDescent="0.2"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</row>
    <row r="139" spans="4:40" x14ac:dyDescent="0.2"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</row>
    <row r="140" spans="4:40" x14ac:dyDescent="0.2"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</row>
    <row r="141" spans="4:40" x14ac:dyDescent="0.2"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4:40" x14ac:dyDescent="0.2"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4:40" x14ac:dyDescent="0.2"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</row>
    <row r="144" spans="4:40" x14ac:dyDescent="0.2"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</row>
    <row r="145" spans="4:40" x14ac:dyDescent="0.2"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</row>
    <row r="146" spans="4:40" x14ac:dyDescent="0.2"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</row>
    <row r="147" spans="4:40" x14ac:dyDescent="0.2"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</row>
    <row r="148" spans="4:40" x14ac:dyDescent="0.2"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</row>
    <row r="149" spans="4:40" x14ac:dyDescent="0.2"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</row>
  </sheetData>
  <mergeCells count="6">
    <mergeCell ref="D6:F6"/>
    <mergeCell ref="H6:J6"/>
    <mergeCell ref="B1:N1"/>
    <mergeCell ref="B2:N2"/>
    <mergeCell ref="B3:N3"/>
    <mergeCell ref="L6:N6"/>
  </mergeCells>
  <printOptions horizontalCentered="1"/>
  <pageMargins left="0.25" right="0.25" top="0.5" bottom="0.5" header="0.25" footer="0.25"/>
  <pageSetup orientation="landscape" verticalDpi="300" r:id="rId1"/>
  <headerFooter alignWithMargins="0">
    <oddFooter>&amp;L&amp;8&amp;A
&amp;D &amp;T&amp;R&amp;8&amp;F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50"/>
  <sheetViews>
    <sheetView workbookViewId="0"/>
  </sheetViews>
  <sheetFormatPr defaultRowHeight="12.75" x14ac:dyDescent="0.25"/>
  <cols>
    <col min="1" max="1" width="21.7109375" style="27" customWidth="1"/>
    <col min="2" max="2" width="0.85546875" style="27" customWidth="1"/>
    <col min="3" max="3" width="8.28515625" style="27" customWidth="1"/>
    <col min="4" max="5" width="8.7109375" style="27" customWidth="1"/>
    <col min="6" max="6" width="0.85546875" style="27" customWidth="1"/>
    <col min="7" max="8" width="7.7109375" style="27" customWidth="1"/>
    <col min="9" max="9" width="8.7109375" style="27" bestFit="1" customWidth="1"/>
    <col min="10" max="10" width="8.57031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359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201" t="s">
        <v>360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">
      <c r="A6" s="278" t="s">
        <v>16</v>
      </c>
      <c r="B6" s="28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49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5">
      <c r="A7" s="230"/>
      <c r="B7" s="269"/>
      <c r="C7" s="231"/>
      <c r="D7" s="36"/>
      <c r="E7" s="232"/>
      <c r="F7" s="272"/>
      <c r="G7" s="231"/>
      <c r="H7" s="36"/>
      <c r="I7" s="311" t="s">
        <v>407</v>
      </c>
      <c r="J7" s="312" t="s">
        <v>408</v>
      </c>
      <c r="K7" s="229"/>
      <c r="L7" s="231"/>
      <c r="M7" s="36"/>
      <c r="N7" s="232"/>
    </row>
    <row r="8" spans="1:23" ht="12" customHeight="1" x14ac:dyDescent="0.25">
      <c r="A8" s="230" t="s">
        <v>3</v>
      </c>
      <c r="B8" s="269"/>
      <c r="C8" s="59">
        <f>59009-6286</f>
        <v>52723</v>
      </c>
      <c r="D8" s="59">
        <v>41592</v>
      </c>
      <c r="E8" s="234">
        <f>+C8-D8</f>
        <v>11131</v>
      </c>
      <c r="F8" s="273"/>
      <c r="G8" s="60">
        <f>15010+72</f>
        <v>15082</v>
      </c>
      <c r="H8" s="290">
        <f>16105+169</f>
        <v>16274</v>
      </c>
      <c r="I8" s="103">
        <v>0</v>
      </c>
      <c r="J8" s="234">
        <f>(H8-G8)-I8</f>
        <v>1192</v>
      </c>
      <c r="K8" s="237"/>
      <c r="L8" s="233">
        <f>+C8-G8</f>
        <v>37641</v>
      </c>
      <c r="M8" s="59">
        <f>+D8-H8</f>
        <v>25318</v>
      </c>
      <c r="N8" s="234">
        <f>+L8-M8</f>
        <v>12323</v>
      </c>
    </row>
    <row r="9" spans="1:23" ht="12" customHeight="1" x14ac:dyDescent="0.25">
      <c r="A9" s="230" t="s">
        <v>106</v>
      </c>
      <c r="B9" s="269"/>
      <c r="C9" s="41">
        <f>55253+27841</f>
        <v>83094</v>
      </c>
      <c r="D9" s="41">
        <f>31680-1729</f>
        <v>29951</v>
      </c>
      <c r="E9" s="236">
        <f>+C9-D9</f>
        <v>53143</v>
      </c>
      <c r="F9" s="273"/>
      <c r="G9" s="42">
        <f>10718+13150</f>
        <v>23868</v>
      </c>
      <c r="H9" s="291">
        <f>10220+13596</f>
        <v>23816</v>
      </c>
      <c r="I9" s="64">
        <v>478</v>
      </c>
      <c r="J9" s="236">
        <f>(H9-G9)-I9</f>
        <v>-530</v>
      </c>
      <c r="K9" s="237"/>
      <c r="L9" s="235">
        <f>+C9-G9</f>
        <v>59226</v>
      </c>
      <c r="M9" s="41">
        <f>+D9-H9</f>
        <v>6135</v>
      </c>
      <c r="N9" s="236">
        <f>+L9-M9</f>
        <v>53091</v>
      </c>
    </row>
    <row r="10" spans="1:23" ht="12" customHeight="1" x14ac:dyDescent="0.25">
      <c r="A10" s="230" t="s">
        <v>132</v>
      </c>
      <c r="B10" s="269"/>
      <c r="C10" s="41">
        <v>25965</v>
      </c>
      <c r="D10" s="41">
        <v>22402</v>
      </c>
      <c r="E10" s="236">
        <f t="shared" ref="E10:E16" si="0">+C10-D10</f>
        <v>3563</v>
      </c>
      <c r="F10" s="273"/>
      <c r="G10" s="42">
        <v>1834</v>
      </c>
      <c r="H10" s="291">
        <v>1630</v>
      </c>
      <c r="I10" s="64">
        <v>0</v>
      </c>
      <c r="J10" s="236">
        <f t="shared" ref="J10:J16" si="1">(H10-G10)-I10</f>
        <v>-204</v>
      </c>
      <c r="K10" s="237"/>
      <c r="L10" s="235">
        <f t="shared" ref="L10:M16" si="2">+C10-G10</f>
        <v>24131</v>
      </c>
      <c r="M10" s="41">
        <f t="shared" si="2"/>
        <v>20772</v>
      </c>
      <c r="N10" s="236">
        <f t="shared" ref="N10:N16" si="3">+L10-M10</f>
        <v>3359</v>
      </c>
    </row>
    <row r="11" spans="1:23" ht="12" customHeight="1" x14ac:dyDescent="0.25">
      <c r="A11" s="230" t="s">
        <v>133</v>
      </c>
      <c r="B11" s="269"/>
      <c r="C11" s="41">
        <v>35765</v>
      </c>
      <c r="D11" s="41">
        <v>11447</v>
      </c>
      <c r="E11" s="236">
        <f t="shared" si="0"/>
        <v>24318</v>
      </c>
      <c r="F11" s="273"/>
      <c r="G11" s="42">
        <v>1854</v>
      </c>
      <c r="H11" s="291">
        <v>2436</v>
      </c>
      <c r="I11" s="64">
        <v>0</v>
      </c>
      <c r="J11" s="236">
        <f t="shared" si="1"/>
        <v>582</v>
      </c>
      <c r="K11" s="237"/>
      <c r="L11" s="235">
        <f t="shared" si="2"/>
        <v>33911</v>
      </c>
      <c r="M11" s="41">
        <f t="shared" si="2"/>
        <v>9011</v>
      </c>
      <c r="N11" s="236">
        <f t="shared" si="3"/>
        <v>24900</v>
      </c>
    </row>
    <row r="12" spans="1:23" ht="12" customHeight="1" x14ac:dyDescent="0.25">
      <c r="A12" s="230" t="s">
        <v>424</v>
      </c>
      <c r="B12" s="269"/>
      <c r="C12" s="41">
        <f>22243-815</f>
        <v>21428</v>
      </c>
      <c r="D12" s="41">
        <v>23112</v>
      </c>
      <c r="E12" s="236">
        <f t="shared" si="0"/>
        <v>-1684</v>
      </c>
      <c r="F12" s="273"/>
      <c r="G12" s="42">
        <f>4814-671-1137</f>
        <v>3006</v>
      </c>
      <c r="H12" s="291">
        <f>5562-1210-960</f>
        <v>3392</v>
      </c>
      <c r="I12" s="64">
        <v>0</v>
      </c>
      <c r="J12" s="236">
        <f t="shared" si="1"/>
        <v>386</v>
      </c>
      <c r="K12" s="237"/>
      <c r="L12" s="235">
        <f t="shared" si="2"/>
        <v>18422</v>
      </c>
      <c r="M12" s="41">
        <f t="shared" si="2"/>
        <v>19720</v>
      </c>
      <c r="N12" s="236">
        <f t="shared" si="3"/>
        <v>-1298</v>
      </c>
    </row>
    <row r="13" spans="1:23" ht="12" customHeight="1" x14ac:dyDescent="0.25">
      <c r="A13" s="230" t="s">
        <v>5</v>
      </c>
      <c r="B13" s="269"/>
      <c r="C13" s="41">
        <v>2271</v>
      </c>
      <c r="D13" s="41">
        <v>12747</v>
      </c>
      <c r="E13" s="236">
        <f t="shared" si="0"/>
        <v>-10476</v>
      </c>
      <c r="F13" s="273"/>
      <c r="G13" s="42">
        <v>6393</v>
      </c>
      <c r="H13" s="291">
        <v>4728</v>
      </c>
      <c r="I13" s="64">
        <v>37</v>
      </c>
      <c r="J13" s="236">
        <f t="shared" si="1"/>
        <v>-1702</v>
      </c>
      <c r="K13" s="237"/>
      <c r="L13" s="235">
        <f t="shared" si="2"/>
        <v>-4122</v>
      </c>
      <c r="M13" s="41">
        <f t="shared" si="2"/>
        <v>8019</v>
      </c>
      <c r="N13" s="236">
        <f t="shared" si="3"/>
        <v>-12141</v>
      </c>
    </row>
    <row r="14" spans="1:23" ht="12" customHeight="1" x14ac:dyDescent="0.25">
      <c r="A14" s="230" t="s">
        <v>155</v>
      </c>
      <c r="B14" s="269"/>
      <c r="C14" s="41">
        <v>5666</v>
      </c>
      <c r="D14" s="41">
        <v>3215</v>
      </c>
      <c r="E14" s="236">
        <f t="shared" si="0"/>
        <v>2451</v>
      </c>
      <c r="F14" s="273"/>
      <c r="G14" s="42">
        <v>2609</v>
      </c>
      <c r="H14" s="291">
        <v>1722</v>
      </c>
      <c r="I14" s="64">
        <v>0</v>
      </c>
      <c r="J14" s="236">
        <f t="shared" si="1"/>
        <v>-887</v>
      </c>
      <c r="K14" s="237"/>
      <c r="L14" s="235">
        <f t="shared" si="2"/>
        <v>3057</v>
      </c>
      <c r="M14" s="41">
        <f t="shared" si="2"/>
        <v>1493</v>
      </c>
      <c r="N14" s="236">
        <f t="shared" si="3"/>
        <v>1564</v>
      </c>
    </row>
    <row r="15" spans="1:23" ht="12" customHeight="1" x14ac:dyDescent="0.25">
      <c r="A15" s="230" t="s">
        <v>107</v>
      </c>
      <c r="B15" s="269"/>
      <c r="C15" s="41">
        <v>3674</v>
      </c>
      <c r="D15" s="41">
        <v>750</v>
      </c>
      <c r="E15" s="236">
        <f t="shared" si="0"/>
        <v>2924</v>
      </c>
      <c r="F15" s="273"/>
      <c r="G15" s="42">
        <v>266</v>
      </c>
      <c r="H15" s="291">
        <v>342</v>
      </c>
      <c r="I15" s="64">
        <v>0</v>
      </c>
      <c r="J15" s="236">
        <f t="shared" si="1"/>
        <v>76</v>
      </c>
      <c r="K15" s="237"/>
      <c r="L15" s="235">
        <f t="shared" si="2"/>
        <v>3408</v>
      </c>
      <c r="M15" s="41">
        <f t="shared" si="2"/>
        <v>408</v>
      </c>
      <c r="N15" s="236">
        <f t="shared" si="3"/>
        <v>3000</v>
      </c>
    </row>
    <row r="16" spans="1:23" ht="12" customHeight="1" x14ac:dyDescent="0.25">
      <c r="A16" s="230" t="s">
        <v>156</v>
      </c>
      <c r="B16" s="269"/>
      <c r="C16" s="41">
        <v>0</v>
      </c>
      <c r="D16" s="41">
        <v>7712</v>
      </c>
      <c r="E16" s="236">
        <f t="shared" si="0"/>
        <v>-7712</v>
      </c>
      <c r="F16" s="273"/>
      <c r="G16" s="42">
        <v>1484</v>
      </c>
      <c r="H16" s="128">
        <v>1217</v>
      </c>
      <c r="I16" s="64">
        <v>0</v>
      </c>
      <c r="J16" s="236">
        <f t="shared" si="1"/>
        <v>-267</v>
      </c>
      <c r="K16" s="237"/>
      <c r="L16" s="235">
        <f t="shared" si="2"/>
        <v>-1484</v>
      </c>
      <c r="M16" s="41">
        <f t="shared" si="2"/>
        <v>6495</v>
      </c>
      <c r="N16" s="236">
        <f t="shared" si="3"/>
        <v>-7979</v>
      </c>
    </row>
    <row r="17" spans="1:14" s="204" customFormat="1" ht="12" customHeight="1" x14ac:dyDescent="0.2">
      <c r="A17" s="261" t="s">
        <v>130</v>
      </c>
      <c r="B17" s="292"/>
      <c r="C17" s="293">
        <f>SUM(C8:C16)</f>
        <v>230586</v>
      </c>
      <c r="D17" s="293">
        <f>SUM(D8:D16)</f>
        <v>152928</v>
      </c>
      <c r="E17" s="294">
        <f>SUM(E8:E16)</f>
        <v>77658</v>
      </c>
      <c r="F17" s="274">
        <v>129970</v>
      </c>
      <c r="G17" s="293">
        <f>SUM(G8:G16)</f>
        <v>56396</v>
      </c>
      <c r="H17" s="293">
        <f>SUM(H8:H16)</f>
        <v>55557</v>
      </c>
      <c r="I17" s="293">
        <f>SUM(I8:I16)</f>
        <v>515</v>
      </c>
      <c r="J17" s="294">
        <f>SUM(J8:J16)</f>
        <v>-1354</v>
      </c>
      <c r="K17" s="238"/>
      <c r="L17" s="262">
        <f>SUM(L8:L16)</f>
        <v>174190</v>
      </c>
      <c r="M17" s="263">
        <f>SUM(M8:M16)</f>
        <v>97371</v>
      </c>
      <c r="N17" s="294">
        <f>SUM(N8:N16)</f>
        <v>76819</v>
      </c>
    </row>
    <row r="18" spans="1:14" ht="12" customHeight="1" x14ac:dyDescent="0.25">
      <c r="A18" s="230"/>
      <c r="B18" s="295"/>
      <c r="C18" s="291"/>
      <c r="D18" s="291"/>
      <c r="E18" s="236"/>
      <c r="F18" s="273"/>
      <c r="G18" s="291"/>
      <c r="H18" s="291"/>
      <c r="I18" s="41"/>
      <c r="J18" s="236"/>
      <c r="K18" s="237"/>
      <c r="L18" s="235"/>
      <c r="M18" s="41"/>
      <c r="N18" s="236"/>
    </row>
    <row r="19" spans="1:14" ht="12" customHeight="1" x14ac:dyDescent="0.25">
      <c r="A19" s="230" t="s">
        <v>88</v>
      </c>
      <c r="B19" s="295"/>
      <c r="C19" s="291">
        <v>2838</v>
      </c>
      <c r="D19" s="291">
        <v>14243</v>
      </c>
      <c r="E19" s="236">
        <f t="shared" ref="E19:E24" si="4">+C19-D19</f>
        <v>-11405</v>
      </c>
      <c r="F19" s="273"/>
      <c r="G19" s="291">
        <v>4815</v>
      </c>
      <c r="H19" s="291">
        <v>6563</v>
      </c>
      <c r="I19" s="64">
        <v>0</v>
      </c>
      <c r="J19" s="236">
        <f t="shared" ref="J19:J24" si="5">(H19-G19)-I19</f>
        <v>1748</v>
      </c>
      <c r="K19" s="237"/>
      <c r="L19" s="235">
        <f t="shared" ref="L19:M24" si="6">+C19-G19</f>
        <v>-1977</v>
      </c>
      <c r="M19" s="41">
        <f t="shared" si="6"/>
        <v>7680</v>
      </c>
      <c r="N19" s="236">
        <f t="shared" ref="N19:N24" si="7">+L19-M19</f>
        <v>-9657</v>
      </c>
    </row>
    <row r="20" spans="1:14" ht="12" customHeight="1" x14ac:dyDescent="0.25">
      <c r="A20" s="230" t="s">
        <v>89</v>
      </c>
      <c r="B20" s="295"/>
      <c r="C20" s="291">
        <v>8356</v>
      </c>
      <c r="D20" s="291">
        <v>13235</v>
      </c>
      <c r="E20" s="236">
        <f t="shared" si="4"/>
        <v>-4879</v>
      </c>
      <c r="F20" s="273"/>
      <c r="G20" s="291">
        <v>5047</v>
      </c>
      <c r="H20" s="291">
        <v>7464</v>
      </c>
      <c r="I20" s="64">
        <v>-604</v>
      </c>
      <c r="J20" s="236">
        <f t="shared" si="5"/>
        <v>3021</v>
      </c>
      <c r="K20" s="237"/>
      <c r="L20" s="235">
        <f t="shared" si="6"/>
        <v>3309</v>
      </c>
      <c r="M20" s="41">
        <f t="shared" si="6"/>
        <v>5771</v>
      </c>
      <c r="N20" s="236">
        <f t="shared" si="7"/>
        <v>-2462</v>
      </c>
    </row>
    <row r="21" spans="1:14" ht="12" customHeight="1" x14ac:dyDescent="0.25">
      <c r="A21" s="230" t="s">
        <v>275</v>
      </c>
      <c r="B21" s="295"/>
      <c r="C21" s="291">
        <v>3230</v>
      </c>
      <c r="D21" s="291">
        <v>16861</v>
      </c>
      <c r="E21" s="236">
        <f t="shared" si="4"/>
        <v>-13631</v>
      </c>
      <c r="F21" s="273"/>
      <c r="G21" s="291">
        <f>4591+1462</f>
        <v>6053</v>
      </c>
      <c r="H21" s="291">
        <f>5895+3806</f>
        <v>9701</v>
      </c>
      <c r="I21" s="64">
        <f>943+452</f>
        <v>1395</v>
      </c>
      <c r="J21" s="236">
        <f t="shared" si="5"/>
        <v>2253</v>
      </c>
      <c r="K21" s="237"/>
      <c r="L21" s="235">
        <f t="shared" si="6"/>
        <v>-2823</v>
      </c>
      <c r="M21" s="41">
        <f t="shared" si="6"/>
        <v>7160</v>
      </c>
      <c r="N21" s="236">
        <f t="shared" si="7"/>
        <v>-9983</v>
      </c>
    </row>
    <row r="22" spans="1:14" ht="12" customHeight="1" x14ac:dyDescent="0.25">
      <c r="A22" s="230" t="s">
        <v>104</v>
      </c>
      <c r="B22" s="295"/>
      <c r="C22" s="291">
        <v>0</v>
      </c>
      <c r="D22" s="291">
        <v>6477</v>
      </c>
      <c r="E22" s="236">
        <f t="shared" si="4"/>
        <v>-6477</v>
      </c>
      <c r="F22" s="273"/>
      <c r="G22" s="291">
        <v>2392</v>
      </c>
      <c r="H22" s="291">
        <v>2694</v>
      </c>
      <c r="I22" s="64">
        <v>0</v>
      </c>
      <c r="J22" s="236">
        <f t="shared" si="5"/>
        <v>302</v>
      </c>
      <c r="K22" s="237"/>
      <c r="L22" s="235">
        <f t="shared" si="6"/>
        <v>-2392</v>
      </c>
      <c r="M22" s="41">
        <f t="shared" si="6"/>
        <v>3783</v>
      </c>
      <c r="N22" s="236">
        <f t="shared" si="7"/>
        <v>-6175</v>
      </c>
    </row>
    <row r="23" spans="1:14" ht="12" customHeight="1" x14ac:dyDescent="0.25">
      <c r="A23" s="230" t="s">
        <v>425</v>
      </c>
      <c r="B23" s="295"/>
      <c r="C23" s="291">
        <v>815</v>
      </c>
      <c r="D23" s="291">
        <v>0</v>
      </c>
      <c r="E23" s="236">
        <f t="shared" si="4"/>
        <v>815</v>
      </c>
      <c r="F23" s="273"/>
      <c r="G23" s="291">
        <f>1137+671</f>
        <v>1808</v>
      </c>
      <c r="H23" s="291">
        <f>1210+960</f>
        <v>2170</v>
      </c>
      <c r="I23" s="64">
        <v>183</v>
      </c>
      <c r="J23" s="236">
        <f t="shared" si="5"/>
        <v>179</v>
      </c>
      <c r="K23" s="237"/>
      <c r="L23" s="235">
        <f>+C23-G23</f>
        <v>-993</v>
      </c>
      <c r="M23" s="41">
        <f>+D23-H23</f>
        <v>-2170</v>
      </c>
      <c r="N23" s="236">
        <f t="shared" si="7"/>
        <v>1177</v>
      </c>
    </row>
    <row r="24" spans="1:14" ht="12" customHeight="1" x14ac:dyDescent="0.25">
      <c r="A24" s="230" t="s">
        <v>0</v>
      </c>
      <c r="B24" s="295"/>
      <c r="C24" s="291">
        <v>11</v>
      </c>
      <c r="D24" s="291">
        <v>4656</v>
      </c>
      <c r="E24" s="236">
        <f t="shared" si="4"/>
        <v>-4645</v>
      </c>
      <c r="F24" s="273"/>
      <c r="G24" s="291">
        <v>2218</v>
      </c>
      <c r="H24" s="291">
        <v>2456</v>
      </c>
      <c r="I24" s="64">
        <v>0</v>
      </c>
      <c r="J24" s="236">
        <f t="shared" si="5"/>
        <v>238</v>
      </c>
      <c r="K24" s="237"/>
      <c r="L24" s="235">
        <f t="shared" si="6"/>
        <v>-2207</v>
      </c>
      <c r="M24" s="41">
        <f t="shared" si="6"/>
        <v>2200</v>
      </c>
      <c r="N24" s="236">
        <f t="shared" si="7"/>
        <v>-4407</v>
      </c>
    </row>
    <row r="25" spans="1:14" s="204" customFormat="1" ht="12" customHeight="1" x14ac:dyDescent="0.2">
      <c r="A25" s="261" t="s">
        <v>1</v>
      </c>
      <c r="B25" s="292"/>
      <c r="C25" s="293">
        <f>SUM(C19:C24)</f>
        <v>15250</v>
      </c>
      <c r="D25" s="293">
        <f>SUM(D19:D24)</f>
        <v>55472</v>
      </c>
      <c r="E25" s="264">
        <f>SUM(E19:E24)</f>
        <v>-40222</v>
      </c>
      <c r="F25" s="274">
        <v>0</v>
      </c>
      <c r="G25" s="293">
        <f>SUM(G19:G24)</f>
        <v>22333</v>
      </c>
      <c r="H25" s="293">
        <f>SUM(H19:H24)</f>
        <v>31048</v>
      </c>
      <c r="I25" s="293">
        <f>SUM(I19:I24)</f>
        <v>974</v>
      </c>
      <c r="J25" s="264">
        <f>SUM(J19:J24)</f>
        <v>7741</v>
      </c>
      <c r="K25" s="238"/>
      <c r="L25" s="262">
        <f>SUM(L19:L24)</f>
        <v>-7083</v>
      </c>
      <c r="M25" s="263">
        <f>SUM(M19:M24)</f>
        <v>24424</v>
      </c>
      <c r="N25" s="264">
        <f>SUM(N19:N24)</f>
        <v>-31507</v>
      </c>
    </row>
    <row r="26" spans="1:14" ht="12" customHeight="1" x14ac:dyDescent="0.25">
      <c r="A26" s="230"/>
      <c r="B26" s="295"/>
      <c r="C26" s="291"/>
      <c r="D26" s="291"/>
      <c r="E26" s="236"/>
      <c r="F26" s="273"/>
      <c r="G26" s="291"/>
      <c r="H26" s="291"/>
      <c r="I26" s="41"/>
      <c r="J26" s="236"/>
      <c r="K26" s="237"/>
      <c r="L26" s="235"/>
      <c r="M26" s="41"/>
      <c r="N26" s="236"/>
    </row>
    <row r="27" spans="1:14" ht="12" customHeight="1" x14ac:dyDescent="0.25">
      <c r="A27" s="230" t="s">
        <v>67</v>
      </c>
      <c r="B27" s="295"/>
      <c r="C27" s="291">
        <v>7219</v>
      </c>
      <c r="D27" s="291">
        <v>12234</v>
      </c>
      <c r="E27" s="236">
        <f>+C27-D27</f>
        <v>-5015</v>
      </c>
      <c r="F27" s="273"/>
      <c r="G27" s="291">
        <v>7164</v>
      </c>
      <c r="H27" s="291">
        <v>7910</v>
      </c>
      <c r="I27" s="64">
        <v>405</v>
      </c>
      <c r="J27" s="236">
        <f>(H27-G27)-I27</f>
        <v>341</v>
      </c>
      <c r="K27" s="237"/>
      <c r="L27" s="235">
        <f t="shared" ref="L27:M29" si="8">+C27-G27</f>
        <v>55</v>
      </c>
      <c r="M27" s="41">
        <f t="shared" si="8"/>
        <v>4324</v>
      </c>
      <c r="N27" s="236">
        <f>+L27-M27</f>
        <v>-4269</v>
      </c>
    </row>
    <row r="28" spans="1:14" ht="12" customHeight="1" x14ac:dyDescent="0.25">
      <c r="A28" s="230" t="s">
        <v>92</v>
      </c>
      <c r="B28" s="295"/>
      <c r="C28" s="291">
        <v>23078</v>
      </c>
      <c r="D28" s="291">
        <v>30320</v>
      </c>
      <c r="E28" s="236">
        <f>+C28-D28</f>
        <v>-7242</v>
      </c>
      <c r="F28" s="273"/>
      <c r="G28" s="291">
        <v>62429</v>
      </c>
      <c r="H28" s="291">
        <v>60693</v>
      </c>
      <c r="I28" s="64">
        <v>2344</v>
      </c>
      <c r="J28" s="236">
        <f>(H28-G28)-I28</f>
        <v>-4080</v>
      </c>
      <c r="K28" s="237"/>
      <c r="L28" s="235">
        <f t="shared" si="8"/>
        <v>-39351</v>
      </c>
      <c r="M28" s="41">
        <f t="shared" si="8"/>
        <v>-30373</v>
      </c>
      <c r="N28" s="236">
        <f>+L28-M28</f>
        <v>-8978</v>
      </c>
    </row>
    <row r="29" spans="1:14" ht="12" customHeight="1" x14ac:dyDescent="0.25">
      <c r="A29" s="230" t="s">
        <v>93</v>
      </c>
      <c r="B29" s="295"/>
      <c r="C29" s="291">
        <v>17193</v>
      </c>
      <c r="D29" s="291">
        <v>7436</v>
      </c>
      <c r="E29" s="236">
        <f>+C29-D29</f>
        <v>9757</v>
      </c>
      <c r="F29" s="273"/>
      <c r="G29" s="291">
        <v>2875</v>
      </c>
      <c r="H29" s="291">
        <v>3355</v>
      </c>
      <c r="I29" s="64">
        <v>0</v>
      </c>
      <c r="J29" s="236">
        <f>(H29-G29)-I29</f>
        <v>480</v>
      </c>
      <c r="K29" s="237"/>
      <c r="L29" s="235">
        <f t="shared" si="8"/>
        <v>14318</v>
      </c>
      <c r="M29" s="41">
        <f t="shared" si="8"/>
        <v>4081</v>
      </c>
      <c r="N29" s="236">
        <f>+L29-M29</f>
        <v>10237</v>
      </c>
    </row>
    <row r="30" spans="1:14" s="204" customFormat="1" ht="12" customHeight="1" x14ac:dyDescent="0.2">
      <c r="A30" s="261" t="s">
        <v>86</v>
      </c>
      <c r="B30" s="292"/>
      <c r="C30" s="293">
        <f>SUM(C27:C29)</f>
        <v>47490</v>
      </c>
      <c r="D30" s="293">
        <f>SUM(D27:D29)</f>
        <v>49990</v>
      </c>
      <c r="E30" s="264">
        <f>SUM(E27:E29)</f>
        <v>-2500</v>
      </c>
      <c r="F30" s="274"/>
      <c r="G30" s="293">
        <f>SUM(G27:G29)</f>
        <v>72468</v>
      </c>
      <c r="H30" s="293">
        <f>SUM(H27:H29)</f>
        <v>71958</v>
      </c>
      <c r="I30" s="293">
        <f>SUM(I27:I29)</f>
        <v>2749</v>
      </c>
      <c r="J30" s="264">
        <f>SUM(J27:J29)</f>
        <v>-3259</v>
      </c>
      <c r="K30" s="238"/>
      <c r="L30" s="262">
        <f>SUM(L27:L29)</f>
        <v>-24978</v>
      </c>
      <c r="M30" s="263">
        <f>SUM(M27:M29)</f>
        <v>-21968</v>
      </c>
      <c r="N30" s="264">
        <f>SUM(N27:N29)</f>
        <v>-3010</v>
      </c>
    </row>
    <row r="31" spans="1:14" ht="12" customHeight="1" x14ac:dyDescent="0.25">
      <c r="A31" s="230"/>
      <c r="B31" s="295"/>
      <c r="C31" s="291"/>
      <c r="D31" s="291"/>
      <c r="E31" s="236"/>
      <c r="F31" s="273"/>
      <c r="G31" s="291"/>
      <c r="H31" s="291"/>
      <c r="I31" s="41"/>
      <c r="J31" s="236"/>
      <c r="K31" s="237"/>
      <c r="L31" s="235"/>
      <c r="M31" s="41"/>
      <c r="N31" s="236"/>
    </row>
    <row r="32" spans="1:14" ht="12" customHeight="1" x14ac:dyDescent="0.25">
      <c r="A32" s="230" t="s">
        <v>9</v>
      </c>
      <c r="B32" s="295"/>
      <c r="C32" s="291">
        <v>93673</v>
      </c>
      <c r="D32" s="291">
        <v>15379</v>
      </c>
      <c r="E32" s="236">
        <f>+C32-D32</f>
        <v>78294</v>
      </c>
      <c r="F32" s="273"/>
      <c r="G32" s="291">
        <v>2669</v>
      </c>
      <c r="H32" s="291">
        <v>3204</v>
      </c>
      <c r="I32" s="64">
        <v>625</v>
      </c>
      <c r="J32" s="236">
        <f>(H32-G32)-I32</f>
        <v>-90</v>
      </c>
      <c r="K32" s="237"/>
      <c r="L32" s="235">
        <f t="shared" ref="L32:M34" si="9">+C32-G32</f>
        <v>91004</v>
      </c>
      <c r="M32" s="41">
        <f t="shared" si="9"/>
        <v>12175</v>
      </c>
      <c r="N32" s="236">
        <f>+L32-M32</f>
        <v>78829</v>
      </c>
    </row>
    <row r="33" spans="1:14" ht="12" customHeight="1" x14ac:dyDescent="0.25">
      <c r="A33" s="230" t="s">
        <v>440</v>
      </c>
      <c r="B33" s="295"/>
      <c r="C33" s="291">
        <v>858</v>
      </c>
      <c r="D33" s="291">
        <v>10317</v>
      </c>
      <c r="E33" s="236">
        <f>+C33-D33</f>
        <v>-9459</v>
      </c>
      <c r="F33" s="273"/>
      <c r="G33" s="291">
        <v>6027</v>
      </c>
      <c r="H33" s="291">
        <v>7138</v>
      </c>
      <c r="I33" s="64">
        <v>1539</v>
      </c>
      <c r="J33" s="236">
        <f>(H33-G33)-I33</f>
        <v>-428</v>
      </c>
      <c r="K33" s="237"/>
      <c r="L33" s="235">
        <f t="shared" si="9"/>
        <v>-5169</v>
      </c>
      <c r="M33" s="41">
        <f t="shared" si="9"/>
        <v>3179</v>
      </c>
      <c r="N33" s="236">
        <f>+L33-M33</f>
        <v>-8348</v>
      </c>
    </row>
    <row r="34" spans="1:14" x14ac:dyDescent="0.25">
      <c r="A34" s="230" t="s">
        <v>154</v>
      </c>
      <c r="B34" s="295"/>
      <c r="C34" s="291">
        <f>26838-27505</f>
        <v>-667</v>
      </c>
      <c r="D34" s="291">
        <v>14404</v>
      </c>
      <c r="E34" s="236">
        <f>+C34-D34</f>
        <v>-15071</v>
      </c>
      <c r="F34" s="229"/>
      <c r="G34" s="291">
        <f>3379+6134</f>
        <v>9513</v>
      </c>
      <c r="H34" s="291">
        <f>2561+7811</f>
        <v>10372</v>
      </c>
      <c r="I34" s="64">
        <f>1549-818</f>
        <v>731</v>
      </c>
      <c r="J34" s="236">
        <f>(H34-G34)-I34</f>
        <v>128</v>
      </c>
      <c r="K34" s="229"/>
      <c r="L34" s="235">
        <f t="shared" si="9"/>
        <v>-10180</v>
      </c>
      <c r="M34" s="41">
        <f t="shared" si="9"/>
        <v>4032</v>
      </c>
      <c r="N34" s="236">
        <f>+L34-M34</f>
        <v>-14212</v>
      </c>
    </row>
    <row r="35" spans="1:14" s="204" customFormat="1" ht="12" customHeight="1" x14ac:dyDescent="0.2">
      <c r="A35" s="261" t="s">
        <v>87</v>
      </c>
      <c r="B35" s="292"/>
      <c r="C35" s="293">
        <f>SUM(C32:C34)</f>
        <v>93864</v>
      </c>
      <c r="D35" s="293">
        <f>SUM(D32:D34)</f>
        <v>40100</v>
      </c>
      <c r="E35" s="264">
        <f>SUM(E32:E34)</f>
        <v>53764</v>
      </c>
      <c r="F35" s="274"/>
      <c r="G35" s="293">
        <f>SUM(G32:G34)</f>
        <v>18209</v>
      </c>
      <c r="H35" s="293">
        <f>SUM(H32:H34)</f>
        <v>20714</v>
      </c>
      <c r="I35" s="293">
        <f>SUM(I32:I34)</f>
        <v>2895</v>
      </c>
      <c r="J35" s="264">
        <f>SUM(J32:J34)</f>
        <v>-390</v>
      </c>
      <c r="K35" s="238"/>
      <c r="L35" s="262">
        <f>SUM(L32:L34)</f>
        <v>75655</v>
      </c>
      <c r="M35" s="263">
        <f>SUM(M32:M34)</f>
        <v>19386</v>
      </c>
      <c r="N35" s="264">
        <f>SUM(N32:N34)</f>
        <v>56269</v>
      </c>
    </row>
    <row r="36" spans="1:14" ht="12" customHeight="1" x14ac:dyDescent="0.25">
      <c r="A36" s="240"/>
      <c r="B36" s="295"/>
      <c r="C36" s="296"/>
      <c r="D36" s="296"/>
      <c r="E36" s="242"/>
      <c r="F36" s="273"/>
      <c r="G36" s="296"/>
      <c r="H36" s="296"/>
      <c r="I36" s="104"/>
      <c r="J36" s="242"/>
      <c r="K36" s="237"/>
      <c r="L36" s="241"/>
      <c r="M36" s="104"/>
      <c r="N36" s="242"/>
    </row>
    <row r="37" spans="1:14" ht="12" customHeight="1" x14ac:dyDescent="0.25">
      <c r="A37" s="240" t="s">
        <v>8</v>
      </c>
      <c r="B37" s="295"/>
      <c r="C37" s="291">
        <v>1400</v>
      </c>
      <c r="D37" s="291">
        <v>2500</v>
      </c>
      <c r="E37" s="236">
        <f>+C37-D37</f>
        <v>-1100</v>
      </c>
      <c r="F37" s="273"/>
      <c r="G37" s="291">
        <v>8467</v>
      </c>
      <c r="H37" s="291">
        <v>8514</v>
      </c>
      <c r="I37" s="64">
        <v>0</v>
      </c>
      <c r="J37" s="236">
        <f>(H37-G37)-I37</f>
        <v>47</v>
      </c>
      <c r="K37" s="237"/>
      <c r="L37" s="235">
        <f t="shared" ref="L37:M39" si="10">+C37-G37</f>
        <v>-7067</v>
      </c>
      <c r="M37" s="41">
        <f t="shared" si="10"/>
        <v>-6014</v>
      </c>
      <c r="N37" s="236">
        <f>+L37-M37</f>
        <v>-1053</v>
      </c>
    </row>
    <row r="38" spans="1:14" ht="12" customHeight="1" x14ac:dyDescent="0.25">
      <c r="A38" s="240" t="s">
        <v>7</v>
      </c>
      <c r="B38" s="295"/>
      <c r="C38" s="296">
        <v>0</v>
      </c>
      <c r="D38" s="296">
        <v>0</v>
      </c>
      <c r="E38" s="236">
        <f>+C38-D38</f>
        <v>0</v>
      </c>
      <c r="F38" s="273"/>
      <c r="G38" s="296">
        <v>8285</v>
      </c>
      <c r="H38" s="296">
        <v>7652</v>
      </c>
      <c r="I38" s="105">
        <v>0</v>
      </c>
      <c r="J38" s="236">
        <f>(H38-G38)-I38</f>
        <v>-633</v>
      </c>
      <c r="K38" s="237"/>
      <c r="L38" s="235">
        <f t="shared" si="10"/>
        <v>-8285</v>
      </c>
      <c r="M38" s="41">
        <f t="shared" si="10"/>
        <v>-7652</v>
      </c>
      <c r="N38" s="236">
        <f>+L38-M38</f>
        <v>-633</v>
      </c>
    </row>
    <row r="39" spans="1:14" ht="12" customHeight="1" x14ac:dyDescent="0.25">
      <c r="A39" s="240" t="s">
        <v>19</v>
      </c>
      <c r="B39" s="295"/>
      <c r="C39" s="291">
        <v>0</v>
      </c>
      <c r="D39" s="291">
        <v>38376</v>
      </c>
      <c r="E39" s="236">
        <f>+C39-D39</f>
        <v>-38376</v>
      </c>
      <c r="F39" s="273"/>
      <c r="G39" s="291">
        <v>0</v>
      </c>
      <c r="H39" s="291">
        <v>0</v>
      </c>
      <c r="I39" s="64">
        <v>0</v>
      </c>
      <c r="J39" s="236">
        <f>(H39-G39)-I39</f>
        <v>0</v>
      </c>
      <c r="K39" s="237"/>
      <c r="L39" s="235">
        <f t="shared" si="10"/>
        <v>0</v>
      </c>
      <c r="M39" s="41">
        <f t="shared" si="10"/>
        <v>38376</v>
      </c>
      <c r="N39" s="236">
        <f>+L39-M39</f>
        <v>-38376</v>
      </c>
    </row>
    <row r="40" spans="1:14" s="204" customFormat="1" ht="12" customHeight="1" x14ac:dyDescent="0.2">
      <c r="A40" s="261" t="s">
        <v>10</v>
      </c>
      <c r="B40" s="292"/>
      <c r="C40" s="293">
        <f>C39+C38+C37+C35+C30+C25+C17</f>
        <v>388590</v>
      </c>
      <c r="D40" s="293">
        <f>D39+D38+D37+D35+D30+D25+D17</f>
        <v>339366</v>
      </c>
      <c r="E40" s="264">
        <f>E39+E38+E37+E35+E30+E25+E17</f>
        <v>49224</v>
      </c>
      <c r="F40" s="274"/>
      <c r="G40" s="293">
        <f>G39+G38+G37+G35+G30+G25+G17</f>
        <v>186158</v>
      </c>
      <c r="H40" s="293">
        <f>H39+H38+H37+H35+H30+H25+H17</f>
        <v>195443</v>
      </c>
      <c r="I40" s="293">
        <f>I39+I38+I37+I35+I30+I25+I17</f>
        <v>7133</v>
      </c>
      <c r="J40" s="264">
        <f>J39+J38+J37+J35+J30+J25+J17</f>
        <v>2152</v>
      </c>
      <c r="K40" s="238"/>
      <c r="L40" s="293">
        <f>L39+L38+L37+L35+L30+L25+L17</f>
        <v>202432</v>
      </c>
      <c r="M40" s="293">
        <f>M39+M38+M37+M35+M30+M25+M17</f>
        <v>143923</v>
      </c>
      <c r="N40" s="264">
        <f>N39+N38+N37+N35+N30+N25+N17</f>
        <v>58509</v>
      </c>
    </row>
    <row r="41" spans="1:14" ht="12" customHeight="1" x14ac:dyDescent="0.25">
      <c r="A41" s="240"/>
      <c r="B41" s="295"/>
      <c r="C41" s="296"/>
      <c r="D41" s="296"/>
      <c r="E41" s="242"/>
      <c r="F41" s="273"/>
      <c r="G41" s="296"/>
      <c r="H41" s="296"/>
      <c r="I41" s="104"/>
      <c r="J41" s="242"/>
      <c r="K41" s="237"/>
      <c r="L41" s="241"/>
      <c r="M41" s="104"/>
      <c r="N41" s="242"/>
    </row>
    <row r="42" spans="1:14" ht="12" customHeight="1" x14ac:dyDescent="0.25">
      <c r="A42" s="240" t="s">
        <v>356</v>
      </c>
      <c r="B42" s="295"/>
      <c r="C42" s="296"/>
      <c r="D42" s="296"/>
      <c r="E42" s="236">
        <f>+C42-D42</f>
        <v>0</v>
      </c>
      <c r="F42" s="273"/>
      <c r="G42" s="296">
        <v>79168</v>
      </c>
      <c r="H42" s="296">
        <v>63376</v>
      </c>
      <c r="I42" s="105"/>
      <c r="J42" s="236">
        <f>(H42-G42)-I42</f>
        <v>-15792</v>
      </c>
      <c r="K42" s="237"/>
      <c r="L42" s="235">
        <f>+C42-G42</f>
        <v>-79168</v>
      </c>
      <c r="M42" s="41">
        <f>+D42-H42</f>
        <v>-63376</v>
      </c>
      <c r="N42" s="236">
        <f>+L42-M42</f>
        <v>-15792</v>
      </c>
    </row>
    <row r="43" spans="1:14" ht="12" customHeight="1" x14ac:dyDescent="0.25">
      <c r="A43" s="240" t="s">
        <v>357</v>
      </c>
      <c r="B43" s="295"/>
      <c r="C43" s="296">
        <v>0</v>
      </c>
      <c r="D43" s="296"/>
      <c r="E43" s="236">
        <f>+C43-D43</f>
        <v>0</v>
      </c>
      <c r="F43" s="273"/>
      <c r="G43" s="296">
        <v>-48800</v>
      </c>
      <c r="H43" s="296">
        <v>-56377</v>
      </c>
      <c r="I43" s="105">
        <v>0</v>
      </c>
      <c r="J43" s="236">
        <f>(H43-G43)-I43</f>
        <v>-7577</v>
      </c>
      <c r="K43" s="237"/>
      <c r="L43" s="235">
        <f t="shared" ref="L43:M45" si="11">+C43-G43</f>
        <v>48800</v>
      </c>
      <c r="M43" s="41">
        <f t="shared" si="11"/>
        <v>56377</v>
      </c>
      <c r="N43" s="236">
        <f>+L43-M43</f>
        <v>-7577</v>
      </c>
    </row>
    <row r="44" spans="1:14" ht="12" customHeight="1" x14ac:dyDescent="0.25">
      <c r="A44" s="240" t="s">
        <v>18</v>
      </c>
      <c r="B44" s="295"/>
      <c r="C44" s="291">
        <v>-22158</v>
      </c>
      <c r="D44" s="291">
        <v>-10795</v>
      </c>
      <c r="E44" s="236">
        <f>+C44-D44</f>
        <v>-11363</v>
      </c>
      <c r="F44" s="275"/>
      <c r="G44" s="291">
        <v>14727</v>
      </c>
      <c r="H44" s="291">
        <v>22603</v>
      </c>
      <c r="I44" s="64">
        <v>0</v>
      </c>
      <c r="J44" s="236">
        <f>(H44-G44)-I44</f>
        <v>7876</v>
      </c>
      <c r="K44" s="237"/>
      <c r="L44" s="235">
        <f t="shared" si="11"/>
        <v>-36885</v>
      </c>
      <c r="M44" s="41">
        <f t="shared" si="11"/>
        <v>-33398</v>
      </c>
      <c r="N44" s="236">
        <f>+L44-M44</f>
        <v>-3487</v>
      </c>
    </row>
    <row r="45" spans="1:14" ht="12" customHeight="1" x14ac:dyDescent="0.25">
      <c r="A45" s="240" t="s">
        <v>60</v>
      </c>
      <c r="B45" s="295"/>
      <c r="C45" s="296">
        <f>SUM(C41)</f>
        <v>0</v>
      </c>
      <c r="D45" s="296">
        <f>SUM(D41)</f>
        <v>0</v>
      </c>
      <c r="E45" s="236">
        <f>+C45-D45</f>
        <v>0</v>
      </c>
      <c r="F45" s="273"/>
      <c r="G45" s="296">
        <v>-32741</v>
      </c>
      <c r="H45" s="296">
        <v>-39874</v>
      </c>
      <c r="I45" s="105">
        <v>-7133</v>
      </c>
      <c r="J45" s="236">
        <f>(H45-G45)-I45</f>
        <v>0</v>
      </c>
      <c r="K45" s="237"/>
      <c r="L45" s="235">
        <f t="shared" si="11"/>
        <v>32741</v>
      </c>
      <c r="M45" s="41">
        <f t="shared" si="11"/>
        <v>39874</v>
      </c>
      <c r="N45" s="236">
        <f>+L45-M45</f>
        <v>-7133</v>
      </c>
    </row>
    <row r="46" spans="1:14" s="204" customFormat="1" ht="12" customHeight="1" x14ac:dyDescent="0.2">
      <c r="A46" s="261" t="s">
        <v>65</v>
      </c>
      <c r="B46" s="292"/>
      <c r="C46" s="293">
        <f>SUM(C40:C45)</f>
        <v>366432</v>
      </c>
      <c r="D46" s="293">
        <f>SUM(D40:D45)</f>
        <v>328571</v>
      </c>
      <c r="E46" s="265">
        <f>SUM(E40:E45)</f>
        <v>37861</v>
      </c>
      <c r="F46" s="274"/>
      <c r="G46" s="293">
        <f>SUM(G40:G45)</f>
        <v>198512</v>
      </c>
      <c r="H46" s="293">
        <f>SUM(H40:H45)</f>
        <v>185171</v>
      </c>
      <c r="I46" s="293">
        <f>SUM(I40:I45)</f>
        <v>0</v>
      </c>
      <c r="J46" s="265">
        <f>SUM(J40:J45)</f>
        <v>-13341</v>
      </c>
      <c r="K46" s="238"/>
      <c r="L46" s="293">
        <f>SUM(L40:L45)</f>
        <v>167920</v>
      </c>
      <c r="M46" s="293">
        <f>SUM(M40:M45)</f>
        <v>143400</v>
      </c>
      <c r="N46" s="265">
        <f>SUM(N40:N45)</f>
        <v>24520</v>
      </c>
    </row>
    <row r="47" spans="1:14" ht="12" customHeight="1" thickBot="1" x14ac:dyDescent="0.3">
      <c r="A47" s="240" t="s">
        <v>150</v>
      </c>
      <c r="B47" s="295"/>
      <c r="C47" s="296"/>
      <c r="D47" s="296"/>
      <c r="E47" s="236">
        <f>+C47-D47</f>
        <v>0</v>
      </c>
      <c r="F47" s="273"/>
      <c r="G47" s="296">
        <v>1223</v>
      </c>
      <c r="H47" s="296">
        <v>12000</v>
      </c>
      <c r="I47" s="64">
        <v>0</v>
      </c>
      <c r="J47" s="236">
        <f>+H47-G47</f>
        <v>10777</v>
      </c>
      <c r="K47" s="237"/>
      <c r="L47" s="235">
        <f>+C47-G47</f>
        <v>-1223</v>
      </c>
      <c r="M47" s="235">
        <f>+D47-H47</f>
        <v>-12000</v>
      </c>
      <c r="N47" s="236">
        <f>+L47-M47</f>
        <v>10777</v>
      </c>
    </row>
    <row r="48" spans="1:14" s="204" customFormat="1" ht="12" customHeight="1" thickBot="1" x14ac:dyDescent="0.25">
      <c r="A48" s="283" t="s">
        <v>66</v>
      </c>
      <c r="B48" s="297"/>
      <c r="C48" s="298">
        <f>SUM(C46:C47)</f>
        <v>366432</v>
      </c>
      <c r="D48" s="298">
        <f>SUM(D46:D47)</f>
        <v>328571</v>
      </c>
      <c r="E48" s="287">
        <f>SUM(E46:E47)</f>
        <v>37861</v>
      </c>
      <c r="F48" s="288"/>
      <c r="G48" s="298">
        <f>SUM(G46:G47)</f>
        <v>199735</v>
      </c>
      <c r="H48" s="298">
        <f>SUM(H46:H47)</f>
        <v>197171</v>
      </c>
      <c r="I48" s="298">
        <f>SUM(I46:I47)</f>
        <v>0</v>
      </c>
      <c r="J48" s="287">
        <f>SUM(J46:J47)</f>
        <v>-2564</v>
      </c>
      <c r="K48" s="288"/>
      <c r="L48" s="298">
        <f>SUM(L46:L47)</f>
        <v>166697</v>
      </c>
      <c r="M48" s="298">
        <f>SUM(M46:M47)</f>
        <v>131400</v>
      </c>
      <c r="N48" s="287">
        <f>SUM(N46:N47)</f>
        <v>35297</v>
      </c>
    </row>
    <row r="49" spans="1:10" ht="3" customHeight="1" x14ac:dyDescent="0.25">
      <c r="A49" s="185"/>
      <c r="C49" s="186"/>
      <c r="D49" s="42"/>
      <c r="E49" s="185"/>
      <c r="F49" s="44"/>
      <c r="J49" s="177"/>
    </row>
    <row r="50" spans="1:10" x14ac:dyDescent="0.25">
      <c r="A50" s="177" t="s">
        <v>149</v>
      </c>
      <c r="C50" s="44"/>
      <c r="D50" s="42"/>
      <c r="E50" s="44"/>
      <c r="F50" s="44"/>
    </row>
  </sheetData>
  <mergeCells count="4">
    <mergeCell ref="C5:E5"/>
    <mergeCell ref="L5:N5"/>
    <mergeCell ref="I6:J6"/>
    <mergeCell ref="G5:J5"/>
  </mergeCells>
  <pageMargins left="0.75" right="0.75" top="1" bottom="1" header="0.5" footer="0.5"/>
  <pageSetup scale="83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W64"/>
  <sheetViews>
    <sheetView workbookViewId="0"/>
  </sheetViews>
  <sheetFormatPr defaultRowHeight="12.75" x14ac:dyDescent="0.25"/>
  <cols>
    <col min="1" max="1" width="21.7109375" style="27" customWidth="1"/>
    <col min="2" max="2" width="0.85546875" style="27" customWidth="1"/>
    <col min="3" max="4" width="8.7109375" style="27" customWidth="1"/>
    <col min="5" max="5" width="11.7109375" style="27" customWidth="1"/>
    <col min="6" max="6" width="0.85546875" style="27" customWidth="1"/>
    <col min="7" max="8" width="8.7109375" style="27" customWidth="1"/>
    <col min="9" max="9" width="7.28515625" style="27" customWidth="1"/>
    <col min="10" max="10" width="7.140625" style="27" customWidth="1"/>
    <col min="11" max="11" width="0.85546875" style="27" customWidth="1"/>
    <col min="12" max="14" width="8.7109375" style="27" customWidth="1"/>
    <col min="15" max="15" width="0.85546875" style="27" customWidth="1"/>
    <col min="16" max="16" width="8.7109375" style="27" customWidth="1"/>
    <col min="17" max="20" width="7.7109375" style="27" customWidth="1"/>
    <col min="21" max="22" width="8.7109375" style="27" customWidth="1"/>
    <col min="23" max="23" width="0.85546875" style="27" customWidth="1"/>
    <col min="24" max="16384" width="9.140625" style="27"/>
  </cols>
  <sheetData>
    <row r="1" spans="1:23" s="195" customFormat="1" ht="9.9499999999999993" customHeight="1" x14ac:dyDescent="0.25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 s="194"/>
    </row>
    <row r="2" spans="1:23" s="200" customFormat="1" ht="29.25" customHeight="1" x14ac:dyDescent="0.4">
      <c r="A2" s="196" t="s">
        <v>181</v>
      </c>
      <c r="B2" s="197"/>
      <c r="C2" s="197"/>
      <c r="D2" s="197"/>
      <c r="E2" s="197"/>
      <c r="F2" s="197"/>
      <c r="G2" s="197"/>
      <c r="H2" s="197"/>
      <c r="I2" s="197"/>
      <c r="J2" s="197"/>
      <c r="K2" s="197"/>
      <c r="L2" s="197"/>
      <c r="M2" s="197"/>
      <c r="N2" s="198" t="s">
        <v>358</v>
      </c>
      <c r="O2" s="197"/>
      <c r="P2" s="197"/>
      <c r="Q2" s="197"/>
      <c r="R2" s="197"/>
      <c r="S2" s="197"/>
      <c r="T2" s="197"/>
      <c r="U2" s="197"/>
      <c r="W2" s="199"/>
    </row>
    <row r="3" spans="1:23" s="195" customFormat="1" ht="15.75" customHeight="1" x14ac:dyDescent="0.3">
      <c r="A3"/>
      <c r="B3"/>
      <c r="C3"/>
      <c r="D3"/>
      <c r="E3"/>
      <c r="F3"/>
      <c r="G3"/>
      <c r="H3"/>
      <c r="I3"/>
      <c r="J3"/>
      <c r="K3"/>
      <c r="L3"/>
      <c r="M3"/>
      <c r="N3" s="201" t="str">
        <f>'Old Mgmt Summary'!A3</f>
        <v>Results based on Activity through April 28, 2000</v>
      </c>
      <c r="O3"/>
      <c r="P3"/>
      <c r="Q3"/>
      <c r="R3"/>
      <c r="S3"/>
      <c r="T3"/>
      <c r="U3"/>
      <c r="W3" s="199"/>
    </row>
    <row r="4" spans="1:23" s="195" customFormat="1" ht="15" customHeight="1" thickBot="1" x14ac:dyDescent="0.3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 s="202"/>
    </row>
    <row r="5" spans="1:23" s="203" customFormat="1" ht="18" customHeight="1" x14ac:dyDescent="0.2">
      <c r="A5" s="228"/>
      <c r="B5" s="268"/>
      <c r="C5" s="346" t="s">
        <v>21</v>
      </c>
      <c r="D5" s="347"/>
      <c r="E5" s="348"/>
      <c r="F5" s="271"/>
      <c r="G5" s="346" t="s">
        <v>59</v>
      </c>
      <c r="H5" s="347"/>
      <c r="I5" s="347"/>
      <c r="J5" s="348"/>
      <c r="K5" s="260"/>
      <c r="L5" s="346" t="s">
        <v>267</v>
      </c>
      <c r="M5" s="347"/>
      <c r="N5" s="348"/>
    </row>
    <row r="6" spans="1:23" ht="12" customHeight="1" thickBot="1" x14ac:dyDescent="0.3">
      <c r="A6" s="278" t="s">
        <v>16</v>
      </c>
      <c r="B6" s="269"/>
      <c r="C6" s="279" t="s">
        <v>71</v>
      </c>
      <c r="D6" s="280" t="s">
        <v>15</v>
      </c>
      <c r="E6" s="281" t="s">
        <v>20</v>
      </c>
      <c r="F6" s="282"/>
      <c r="G6" s="279" t="s">
        <v>13</v>
      </c>
      <c r="H6" s="280" t="s">
        <v>270</v>
      </c>
      <c r="I6" s="361" t="s">
        <v>20</v>
      </c>
      <c r="J6" s="350"/>
      <c r="K6" s="282"/>
      <c r="L6" s="279" t="s">
        <v>13</v>
      </c>
      <c r="M6" s="280" t="s">
        <v>15</v>
      </c>
      <c r="N6" s="281" t="s">
        <v>20</v>
      </c>
    </row>
    <row r="7" spans="1:23" ht="12" customHeight="1" x14ac:dyDescent="0.25">
      <c r="A7" s="230"/>
      <c r="B7" s="269"/>
      <c r="C7" s="231"/>
      <c r="D7" s="36"/>
      <c r="E7" s="232"/>
      <c r="F7" s="272"/>
      <c r="G7" s="231"/>
      <c r="H7" s="36"/>
      <c r="I7" s="311" t="s">
        <v>428</v>
      </c>
      <c r="J7" s="312" t="s">
        <v>408</v>
      </c>
      <c r="K7" s="229"/>
      <c r="L7" s="231"/>
      <c r="M7" s="36"/>
      <c r="N7" s="232"/>
    </row>
    <row r="8" spans="1:23" ht="12" customHeight="1" x14ac:dyDescent="0.25">
      <c r="A8" s="230" t="s">
        <v>3</v>
      </c>
      <c r="B8" s="269"/>
      <c r="C8" s="233">
        <f>GrossMargin!J10</f>
        <v>37748</v>
      </c>
      <c r="D8" s="59" t="e">
        <f ca="1">GrossMargin!N10</f>
        <v>#NAME?</v>
      </c>
      <c r="E8" s="234" t="e">
        <f t="shared" ref="E8:E16" ca="1" si="0">-D8+C8</f>
        <v>#NAME?</v>
      </c>
      <c r="F8" s="273"/>
      <c r="G8" s="235" t="e">
        <f ca="1">Expenses!D9+'CapChrg-AllocExp'!D10+'CapChrg-AllocExp'!K10</f>
        <v>#NAME?</v>
      </c>
      <c r="H8" s="41" t="e">
        <f ca="1">Expenses!E9+'CapChrg-AllocExp'!E10+'CapChrg-AllocExp'!L10</f>
        <v>#NAME?</v>
      </c>
      <c r="I8" s="64" t="e">
        <f ca="1">'CapChrg-AllocExp'!F10</f>
        <v>#NAME?</v>
      </c>
      <c r="J8" s="236" t="e">
        <f ca="1">(H8-G8)-I8</f>
        <v>#NAME?</v>
      </c>
      <c r="K8" s="237"/>
      <c r="L8" s="233" t="e">
        <f t="shared" ref="L8:L16" ca="1" si="1">C8-G8</f>
        <v>#NAME?</v>
      </c>
      <c r="M8" s="59" t="e">
        <f t="shared" ref="M8:M16" ca="1" si="2">D8-H8</f>
        <v>#NAME?</v>
      </c>
      <c r="N8" s="234" t="e">
        <f t="shared" ref="N8:N16" ca="1" si="3">L8-M8</f>
        <v>#NAME?</v>
      </c>
    </row>
    <row r="9" spans="1:23" ht="12" customHeight="1" x14ac:dyDescent="0.25">
      <c r="A9" s="230" t="s">
        <v>106</v>
      </c>
      <c r="B9" s="269"/>
      <c r="C9" s="235">
        <f>GrossMargin!J11</f>
        <v>40629</v>
      </c>
      <c r="D9" s="41">
        <f>GrossMargin!N11</f>
        <v>67236</v>
      </c>
      <c r="E9" s="236">
        <f t="shared" si="0"/>
        <v>-26607</v>
      </c>
      <c r="F9" s="273"/>
      <c r="G9" s="235" t="e">
        <f ca="1">Expenses!D10+'CapChrg-AllocExp'!D11+'CapChrg-AllocExp'!K11+Expenses!D55</f>
        <v>#NAME?</v>
      </c>
      <c r="H9" s="41" t="e">
        <f ca="1">Expenses!E10+'CapChrg-AllocExp'!E11+'CapChrg-AllocExp'!L11+Expenses!E55</f>
        <v>#NAME?</v>
      </c>
      <c r="I9" s="64" t="e">
        <f ca="1">'CapChrg-AllocExp'!F11</f>
        <v>#NAME?</v>
      </c>
      <c r="J9" s="236" t="e">
        <f ca="1">(H9-G9)-I9</f>
        <v>#NAME?</v>
      </c>
      <c r="K9" s="237"/>
      <c r="L9" s="235" t="e">
        <f t="shared" ca="1" si="1"/>
        <v>#NAME?</v>
      </c>
      <c r="M9" s="41" t="e">
        <f t="shared" ca="1" si="2"/>
        <v>#NAME?</v>
      </c>
      <c r="N9" s="236" t="e">
        <f t="shared" ca="1" si="3"/>
        <v>#NAME?</v>
      </c>
    </row>
    <row r="10" spans="1:23" ht="12" customHeight="1" x14ac:dyDescent="0.25">
      <c r="A10" s="230" t="s">
        <v>132</v>
      </c>
      <c r="B10" s="269"/>
      <c r="C10" s="235">
        <f>GrossMargin!J12</f>
        <v>9797</v>
      </c>
      <c r="D10" s="41" t="e">
        <f ca="1">GrossMargin!N12</f>
        <v>#NAME?</v>
      </c>
      <c r="E10" s="236" t="e">
        <f t="shared" ca="1" si="0"/>
        <v>#NAME?</v>
      </c>
      <c r="F10" s="273"/>
      <c r="G10" s="235" t="e">
        <f ca="1">Expenses!D11+'CapChrg-AllocExp'!D12+'CapChrg-AllocExp'!K12</f>
        <v>#NAME?</v>
      </c>
      <c r="H10" s="41" t="e">
        <f ca="1">Expenses!E11+'CapChrg-AllocExp'!E12+'CapChrg-AllocExp'!L12</f>
        <v>#NAME?</v>
      </c>
      <c r="I10" s="64" t="e">
        <f ca="1">'CapChrg-AllocExp'!F12</f>
        <v>#NAME?</v>
      </c>
      <c r="J10" s="236" t="e">
        <f t="shared" ref="J10:J16" ca="1" si="4">(H10-G10)-I10</f>
        <v>#NAME?</v>
      </c>
      <c r="K10" s="237"/>
      <c r="L10" s="235" t="e">
        <f t="shared" ca="1" si="1"/>
        <v>#NAME?</v>
      </c>
      <c r="M10" s="41" t="e">
        <f t="shared" ca="1" si="2"/>
        <v>#NAME?</v>
      </c>
      <c r="N10" s="236" t="e">
        <f t="shared" ca="1" si="3"/>
        <v>#NAME?</v>
      </c>
    </row>
    <row r="11" spans="1:23" ht="12" customHeight="1" x14ac:dyDescent="0.25">
      <c r="A11" s="230" t="s">
        <v>133</v>
      </c>
      <c r="B11" s="269"/>
      <c r="C11" s="235">
        <f>GrossMargin!J13</f>
        <v>529</v>
      </c>
      <c r="D11" s="41" t="e">
        <f ca="1">GrossMargin!N13</f>
        <v>#NAME?</v>
      </c>
      <c r="E11" s="236" t="e">
        <f t="shared" ca="1" si="0"/>
        <v>#NAME?</v>
      </c>
      <c r="F11" s="273"/>
      <c r="G11" s="235" t="e">
        <f ca="1">Expenses!D12+'CapChrg-AllocExp'!D13+'CapChrg-AllocExp'!K13</f>
        <v>#NAME?</v>
      </c>
      <c r="H11" s="41" t="e">
        <f ca="1">Expenses!E12+'CapChrg-AllocExp'!E13+'CapChrg-AllocExp'!L13</f>
        <v>#NAME?</v>
      </c>
      <c r="I11" s="64" t="e">
        <f ca="1">'CapChrg-AllocExp'!F13</f>
        <v>#NAME?</v>
      </c>
      <c r="J11" s="236" t="e">
        <f t="shared" ca="1" si="4"/>
        <v>#NAME?</v>
      </c>
      <c r="K11" s="237"/>
      <c r="L11" s="235" t="e">
        <f t="shared" ca="1" si="1"/>
        <v>#NAME?</v>
      </c>
      <c r="M11" s="41" t="e">
        <f t="shared" ca="1" si="2"/>
        <v>#NAME?</v>
      </c>
      <c r="N11" s="236" t="e">
        <f t="shared" ca="1" si="3"/>
        <v>#NAME?</v>
      </c>
    </row>
    <row r="12" spans="1:23" ht="12" customHeight="1" x14ac:dyDescent="0.25">
      <c r="A12" s="230" t="s">
        <v>424</v>
      </c>
      <c r="B12" s="269"/>
      <c r="C12" s="235">
        <f>GrossMargin!J14</f>
        <v>4334</v>
      </c>
      <c r="D12" s="41">
        <f>(GrossMargin!N14)</f>
        <v>11556</v>
      </c>
      <c r="E12" s="236">
        <f t="shared" si="0"/>
        <v>-7222</v>
      </c>
      <c r="F12" s="273"/>
      <c r="G12" s="235" t="e">
        <f ca="1">Expenses!D13+'CapChrg-AllocExp'!D14+'CapChrg-AllocExp'!K14</f>
        <v>#NAME?</v>
      </c>
      <c r="H12" s="41" t="e">
        <f ca="1">(Expenses!E13+'CapChrg-AllocExp'!E14+'CapChrg-AllocExp'!L14)</f>
        <v>#NAME?</v>
      </c>
      <c r="I12" s="64">
        <f>'CapChrg-AllocExp'!F14</f>
        <v>0</v>
      </c>
      <c r="J12" s="236" t="e">
        <f t="shared" ca="1" si="4"/>
        <v>#NAME?</v>
      </c>
      <c r="K12" s="237"/>
      <c r="L12" s="235" t="e">
        <f t="shared" ca="1" si="1"/>
        <v>#NAME?</v>
      </c>
      <c r="M12" s="41" t="e">
        <f t="shared" ca="1" si="2"/>
        <v>#NAME?</v>
      </c>
      <c r="N12" s="236" t="e">
        <f t="shared" ca="1" si="3"/>
        <v>#NAME?</v>
      </c>
    </row>
    <row r="13" spans="1:23" ht="12" customHeight="1" x14ac:dyDescent="0.25">
      <c r="A13" s="230" t="s">
        <v>5</v>
      </c>
      <c r="B13" s="269"/>
      <c r="C13" s="235">
        <f>GrossMargin!J15</f>
        <v>2482</v>
      </c>
      <c r="D13" s="41" t="e">
        <f ca="1">GrossMargin!N15</f>
        <v>#NAME?</v>
      </c>
      <c r="E13" s="236" t="e">
        <f t="shared" ca="1" si="0"/>
        <v>#NAME?</v>
      </c>
      <c r="F13" s="273"/>
      <c r="G13" s="235" t="e">
        <f ca="1">Expenses!D14+'CapChrg-AllocExp'!D15+'CapChrg-AllocExp'!K15</f>
        <v>#NAME?</v>
      </c>
      <c r="H13" s="41" t="e">
        <f ca="1">Expenses!E14+'CapChrg-AllocExp'!E15+'CapChrg-AllocExp'!L15</f>
        <v>#NAME?</v>
      </c>
      <c r="I13" s="64" t="e">
        <f ca="1">'CapChrg-AllocExp'!F15</f>
        <v>#NAME?</v>
      </c>
      <c r="J13" s="236" t="e">
        <f t="shared" ca="1" si="4"/>
        <v>#NAME?</v>
      </c>
      <c r="K13" s="237"/>
      <c r="L13" s="235" t="e">
        <f t="shared" ca="1" si="1"/>
        <v>#NAME?</v>
      </c>
      <c r="M13" s="41" t="e">
        <f t="shared" ca="1" si="2"/>
        <v>#NAME?</v>
      </c>
      <c r="N13" s="236" t="e">
        <f t="shared" ca="1" si="3"/>
        <v>#NAME?</v>
      </c>
    </row>
    <row r="14" spans="1:23" ht="12" customHeight="1" x14ac:dyDescent="0.25">
      <c r="A14" s="230" t="s">
        <v>155</v>
      </c>
      <c r="B14" s="269"/>
      <c r="C14" s="235">
        <f>GrossMargin!J16</f>
        <v>246</v>
      </c>
      <c r="D14" s="41" t="e">
        <f ca="1">GrossMargin!N16</f>
        <v>#NAME?</v>
      </c>
      <c r="E14" s="236" t="e">
        <f t="shared" ca="1" si="0"/>
        <v>#NAME?</v>
      </c>
      <c r="F14" s="273"/>
      <c r="G14" s="235" t="e">
        <f ca="1">Expenses!D15+'CapChrg-AllocExp'!D16+'CapChrg-AllocExp'!K16</f>
        <v>#NAME?</v>
      </c>
      <c r="H14" s="41" t="e">
        <f ca="1">Expenses!E15+'CapChrg-AllocExp'!E16+'CapChrg-AllocExp'!L16</f>
        <v>#NAME?</v>
      </c>
      <c r="I14" s="64" t="e">
        <f ca="1">'CapChrg-AllocExp'!F16</f>
        <v>#NAME?</v>
      </c>
      <c r="J14" s="236" t="e">
        <f t="shared" ca="1" si="4"/>
        <v>#NAME?</v>
      </c>
      <c r="K14" s="237"/>
      <c r="L14" s="235" t="e">
        <f t="shared" ca="1" si="1"/>
        <v>#NAME?</v>
      </c>
      <c r="M14" s="41" t="e">
        <f t="shared" ca="1" si="2"/>
        <v>#NAME?</v>
      </c>
      <c r="N14" s="236" t="e">
        <f t="shared" ca="1" si="3"/>
        <v>#NAME?</v>
      </c>
    </row>
    <row r="15" spans="1:23" ht="12" customHeight="1" x14ac:dyDescent="0.25">
      <c r="A15" s="230" t="s">
        <v>107</v>
      </c>
      <c r="B15" s="269"/>
      <c r="C15" s="235">
        <f>GrossMargin!J17</f>
        <v>-938</v>
      </c>
      <c r="D15" s="41" t="e">
        <f ca="1">GrossMargin!N17</f>
        <v>#NAME?</v>
      </c>
      <c r="E15" s="236" t="e">
        <f t="shared" ca="1" si="0"/>
        <v>#NAME?</v>
      </c>
      <c r="F15" s="273"/>
      <c r="G15" s="235" t="e">
        <f ca="1">Expenses!D16+'CapChrg-AllocExp'!D17+'CapChrg-AllocExp'!K17</f>
        <v>#NAME?</v>
      </c>
      <c r="H15" s="41" t="e">
        <f ca="1">Expenses!E16+'CapChrg-AllocExp'!E17+'CapChrg-AllocExp'!L17</f>
        <v>#NAME?</v>
      </c>
      <c r="I15" s="64" t="e">
        <f ca="1">'CapChrg-AllocExp'!F17</f>
        <v>#NAME?</v>
      </c>
      <c r="J15" s="236" t="e">
        <f t="shared" ca="1" si="4"/>
        <v>#NAME?</v>
      </c>
      <c r="K15" s="237"/>
      <c r="L15" s="235" t="e">
        <f t="shared" ca="1" si="1"/>
        <v>#NAME?</v>
      </c>
      <c r="M15" s="41" t="e">
        <f t="shared" ca="1" si="2"/>
        <v>#NAME?</v>
      </c>
      <c r="N15" s="236" t="e">
        <f t="shared" ca="1" si="3"/>
        <v>#NAME?</v>
      </c>
    </row>
    <row r="16" spans="1:23" ht="12" customHeight="1" x14ac:dyDescent="0.25">
      <c r="A16" s="230" t="s">
        <v>156</v>
      </c>
      <c r="B16" s="269"/>
      <c r="C16" s="235">
        <f>GrossMargin!J18</f>
        <v>0</v>
      </c>
      <c r="D16" s="41" t="e">
        <f ca="1">GrossMargin!N18</f>
        <v>#NAME?</v>
      </c>
      <c r="E16" s="236" t="e">
        <f t="shared" ca="1" si="0"/>
        <v>#NAME?</v>
      </c>
      <c r="F16" s="273"/>
      <c r="G16" s="235" t="e">
        <f ca="1">Expenses!D17+'CapChrg-AllocExp'!D18+'CapChrg-AllocExp'!K18</f>
        <v>#NAME?</v>
      </c>
      <c r="H16" s="41" t="e">
        <f ca="1">Expenses!E17+'CapChrg-AllocExp'!E18+'CapChrg-AllocExp'!L18</f>
        <v>#NAME?</v>
      </c>
      <c r="I16" s="64" t="e">
        <f ca="1">'CapChrg-AllocExp'!F18</f>
        <v>#NAME?</v>
      </c>
      <c r="J16" s="236" t="e">
        <f t="shared" ca="1" si="4"/>
        <v>#NAME?</v>
      </c>
      <c r="K16" s="237"/>
      <c r="L16" s="235" t="e">
        <f t="shared" ca="1" si="1"/>
        <v>#NAME?</v>
      </c>
      <c r="M16" s="41" t="e">
        <f t="shared" ca="1" si="2"/>
        <v>#NAME?</v>
      </c>
      <c r="N16" s="236" t="e">
        <f t="shared" ca="1" si="3"/>
        <v>#NAME?</v>
      </c>
    </row>
    <row r="17" spans="1:14" s="204" customFormat="1" ht="12" customHeight="1" x14ac:dyDescent="0.2">
      <c r="A17" s="261" t="s">
        <v>130</v>
      </c>
      <c r="B17" s="270"/>
      <c r="C17" s="262">
        <f>SUM(C8:C16)</f>
        <v>94827</v>
      </c>
      <c r="D17" s="263" t="e">
        <f ca="1">SUM(D8:D16)</f>
        <v>#NAME?</v>
      </c>
      <c r="E17" s="264" t="e">
        <f ca="1">SUM(E8:E16)</f>
        <v>#NAME?</v>
      </c>
      <c r="F17" s="274" t="e">
        <f ca="1">SUM(D17:E17)</f>
        <v>#NAME?</v>
      </c>
      <c r="G17" s="262" t="e">
        <f ca="1">SUM(G8:G16)</f>
        <v>#NAME?</v>
      </c>
      <c r="H17" s="263" t="e">
        <f ca="1">SUM(H8:H16)</f>
        <v>#NAME?</v>
      </c>
      <c r="I17" s="263" t="e">
        <f ca="1">SUM(I8:I16)</f>
        <v>#NAME?</v>
      </c>
      <c r="J17" s="264" t="e">
        <f ca="1">SUM(J8:J16)</f>
        <v>#NAME?</v>
      </c>
      <c r="K17" s="238"/>
      <c r="L17" s="262" t="e">
        <f ca="1">SUM(L8:L16)</f>
        <v>#NAME?</v>
      </c>
      <c r="M17" s="263" t="e">
        <f ca="1">SUM(M8:M16)</f>
        <v>#NAME?</v>
      </c>
      <c r="N17" s="264" t="e">
        <f ca="1">SUM(N8:N16)</f>
        <v>#NAME?</v>
      </c>
    </row>
    <row r="18" spans="1:14" ht="12" customHeight="1" x14ac:dyDescent="0.25">
      <c r="A18" s="230"/>
      <c r="B18" s="269"/>
      <c r="C18" s="235"/>
      <c r="D18" s="41"/>
      <c r="E18" s="236"/>
      <c r="F18" s="273"/>
      <c r="G18" s="239"/>
      <c r="H18" s="41"/>
      <c r="I18" s="41"/>
      <c r="J18" s="236"/>
      <c r="K18" s="237"/>
      <c r="L18" s="235"/>
      <c r="M18" s="41"/>
      <c r="N18" s="236"/>
    </row>
    <row r="19" spans="1:14" ht="12" customHeight="1" x14ac:dyDescent="0.25">
      <c r="A19" s="230" t="s">
        <v>88</v>
      </c>
      <c r="B19" s="269"/>
      <c r="C19" s="235">
        <f>GrossMargin!J22</f>
        <v>0</v>
      </c>
      <c r="D19" s="41" t="e">
        <f ca="1">GrossMargin!N22</f>
        <v>#NAME?</v>
      </c>
      <c r="E19" s="236" t="e">
        <f t="shared" ref="E19:E24" ca="1" si="5">-D19+C19</f>
        <v>#NAME?</v>
      </c>
      <c r="F19" s="273"/>
      <c r="G19" s="235" t="e">
        <f ca="1">Expenses!D20+'CapChrg-AllocExp'!D21+'CapChrg-AllocExp'!K21</f>
        <v>#NAME?</v>
      </c>
      <c r="H19" s="41" t="e">
        <f ca="1">Expenses!E20+'CapChrg-AllocExp'!E21+'CapChrg-AllocExp'!L21</f>
        <v>#NAME?</v>
      </c>
      <c r="I19" s="64" t="e">
        <f ca="1">'CapChrg-AllocExp'!F21</f>
        <v>#NAME?</v>
      </c>
      <c r="J19" s="236" t="e">
        <f t="shared" ref="J19:J24" ca="1" si="6">(H19-G19)-I19</f>
        <v>#NAME?</v>
      </c>
      <c r="K19" s="237"/>
      <c r="L19" s="235" t="e">
        <f t="shared" ref="L19:M24" ca="1" si="7">C19-G19</f>
        <v>#NAME?</v>
      </c>
      <c r="M19" s="41" t="e">
        <f t="shared" ca="1" si="7"/>
        <v>#NAME?</v>
      </c>
      <c r="N19" s="236" t="e">
        <f t="shared" ref="N19:N24" ca="1" si="8">L19-M19</f>
        <v>#NAME?</v>
      </c>
    </row>
    <row r="20" spans="1:14" ht="12" customHeight="1" x14ac:dyDescent="0.25">
      <c r="A20" s="230" t="s">
        <v>89</v>
      </c>
      <c r="B20" s="269"/>
      <c r="C20" s="235">
        <f>GrossMargin!J23</f>
        <v>494</v>
      </c>
      <c r="D20" s="41" t="e">
        <f ca="1">GrossMargin!N23</f>
        <v>#NAME?</v>
      </c>
      <c r="E20" s="236" t="e">
        <f t="shared" ca="1" si="5"/>
        <v>#NAME?</v>
      </c>
      <c r="F20" s="273"/>
      <c r="G20" s="235" t="e">
        <f ca="1">Expenses!D21+'CapChrg-AllocExp'!D22+'CapChrg-AllocExp'!K22</f>
        <v>#NAME?</v>
      </c>
      <c r="H20" s="41" t="e">
        <f ca="1">Expenses!E21+'CapChrg-AllocExp'!E22+'CapChrg-AllocExp'!L22</f>
        <v>#NAME?</v>
      </c>
      <c r="I20" s="64" t="e">
        <f ca="1">'CapChrg-AllocExp'!F22</f>
        <v>#NAME?</v>
      </c>
      <c r="J20" s="236" t="e">
        <f t="shared" ca="1" si="6"/>
        <v>#NAME?</v>
      </c>
      <c r="K20" s="237"/>
      <c r="L20" s="235" t="e">
        <f t="shared" ca="1" si="7"/>
        <v>#NAME?</v>
      </c>
      <c r="M20" s="41" t="e">
        <f t="shared" ca="1" si="7"/>
        <v>#NAME?</v>
      </c>
      <c r="N20" s="236" t="e">
        <f t="shared" ca="1" si="8"/>
        <v>#NAME?</v>
      </c>
    </row>
    <row r="21" spans="1:14" ht="12" customHeight="1" x14ac:dyDescent="0.25">
      <c r="A21" s="230" t="s">
        <v>275</v>
      </c>
      <c r="B21" s="269"/>
      <c r="C21" s="235">
        <f>GrossMargin!J24</f>
        <v>787</v>
      </c>
      <c r="D21" s="41" t="e">
        <f ca="1">GrossMargin!N24</f>
        <v>#NAME?</v>
      </c>
      <c r="E21" s="236" t="e">
        <f t="shared" ca="1" si="5"/>
        <v>#NAME?</v>
      </c>
      <c r="F21" s="273"/>
      <c r="G21" s="235" t="e">
        <f ca="1">Expenses!D22+'CapChrg-AllocExp'!D23+'CapChrg-AllocExp'!K23</f>
        <v>#NAME?</v>
      </c>
      <c r="H21" s="41" t="e">
        <f ca="1">Expenses!E22+'CapChrg-AllocExp'!E23+'CapChrg-AllocExp'!L23</f>
        <v>#NAME?</v>
      </c>
      <c r="I21" s="64" t="e">
        <f ca="1">'CapChrg-AllocExp'!F23</f>
        <v>#NAME?</v>
      </c>
      <c r="J21" s="236" t="e">
        <f t="shared" ca="1" si="6"/>
        <v>#NAME?</v>
      </c>
      <c r="K21" s="237"/>
      <c r="L21" s="235" t="e">
        <f t="shared" ca="1" si="7"/>
        <v>#NAME?</v>
      </c>
      <c r="M21" s="41" t="e">
        <f t="shared" ca="1" si="7"/>
        <v>#NAME?</v>
      </c>
      <c r="N21" s="236" t="e">
        <f t="shared" ca="1" si="8"/>
        <v>#NAME?</v>
      </c>
    </row>
    <row r="22" spans="1:14" ht="12" customHeight="1" x14ac:dyDescent="0.25">
      <c r="A22" s="230" t="s">
        <v>104</v>
      </c>
      <c r="B22" s="269"/>
      <c r="C22" s="235">
        <f>GrossMargin!J25</f>
        <v>0</v>
      </c>
      <c r="D22" s="41" t="e">
        <f ca="1">GrossMargin!N25</f>
        <v>#NAME?</v>
      </c>
      <c r="E22" s="236" t="e">
        <f t="shared" ca="1" si="5"/>
        <v>#NAME?</v>
      </c>
      <c r="F22" s="273"/>
      <c r="G22" s="235" t="e">
        <f ca="1">Expenses!D23+'CapChrg-AllocExp'!D24+'CapChrg-AllocExp'!K24</f>
        <v>#NAME?</v>
      </c>
      <c r="H22" s="41" t="e">
        <f ca="1">Expenses!E23+'CapChrg-AllocExp'!E24+'CapChrg-AllocExp'!L24</f>
        <v>#NAME?</v>
      </c>
      <c r="I22" s="64" t="e">
        <f ca="1">'CapChrg-AllocExp'!F24</f>
        <v>#NAME?</v>
      </c>
      <c r="J22" s="236" t="e">
        <f t="shared" ca="1" si="6"/>
        <v>#NAME?</v>
      </c>
      <c r="K22" s="237"/>
      <c r="L22" s="235" t="e">
        <f t="shared" ca="1" si="7"/>
        <v>#NAME?</v>
      </c>
      <c r="M22" s="41" t="e">
        <f t="shared" ca="1" si="7"/>
        <v>#NAME?</v>
      </c>
      <c r="N22" s="236" t="e">
        <f t="shared" ca="1" si="8"/>
        <v>#NAME?</v>
      </c>
    </row>
    <row r="23" spans="1:14" ht="12" customHeight="1" x14ac:dyDescent="0.25">
      <c r="A23" s="230" t="s">
        <v>425</v>
      </c>
      <c r="B23" s="269"/>
      <c r="C23" s="235">
        <f>GrossMargin!J26</f>
        <v>1768</v>
      </c>
      <c r="D23" s="41">
        <f>GrossMargin!N26</f>
        <v>11556</v>
      </c>
      <c r="E23" s="236">
        <f t="shared" si="5"/>
        <v>-9788</v>
      </c>
      <c r="F23" s="273"/>
      <c r="G23" s="235" t="e">
        <f ca="1">Expenses!D24+'CapChrg-AllocExp'!D25+'CapChrg-AllocExp'!K25</f>
        <v>#NAME?</v>
      </c>
      <c r="H23" s="41" t="e">
        <f ca="1">Expenses!E24+'CapChrg-AllocExp'!E25+'CapChrg-AllocExp'!L25</f>
        <v>#NAME?</v>
      </c>
      <c r="I23" s="64">
        <f>'CapChrg-AllocExp'!F25</f>
        <v>209</v>
      </c>
      <c r="J23" s="236" t="e">
        <f t="shared" ca="1" si="6"/>
        <v>#NAME?</v>
      </c>
      <c r="K23" s="237"/>
      <c r="L23" s="235" t="e">
        <f ca="1">C23-G23</f>
        <v>#NAME?</v>
      </c>
      <c r="M23" s="41" t="e">
        <f ca="1">D23-H23</f>
        <v>#NAME?</v>
      </c>
      <c r="N23" s="236" t="e">
        <f t="shared" ca="1" si="8"/>
        <v>#NAME?</v>
      </c>
    </row>
    <row r="24" spans="1:14" ht="12" customHeight="1" x14ac:dyDescent="0.25">
      <c r="A24" s="230" t="s">
        <v>0</v>
      </c>
      <c r="B24" s="269"/>
      <c r="C24" s="235">
        <f>GrossMargin!J27</f>
        <v>0</v>
      </c>
      <c r="D24" s="41" t="e">
        <f ca="1">GrossMargin!N27</f>
        <v>#NAME?</v>
      </c>
      <c r="E24" s="236" t="e">
        <f t="shared" ca="1" si="5"/>
        <v>#NAME?</v>
      </c>
      <c r="F24" s="273"/>
      <c r="G24" s="235" t="e">
        <f ca="1">Expenses!D25+'CapChrg-AllocExp'!D26+'CapChrg-AllocExp'!K26</f>
        <v>#NAME?</v>
      </c>
      <c r="H24" s="41" t="e">
        <f ca="1">Expenses!E25+'CapChrg-AllocExp'!E26+'CapChrg-AllocExp'!L26</f>
        <v>#NAME?</v>
      </c>
      <c r="I24" s="64" t="e">
        <f ca="1">'CapChrg-AllocExp'!F26</f>
        <v>#NAME?</v>
      </c>
      <c r="J24" s="236" t="e">
        <f t="shared" ca="1" si="6"/>
        <v>#NAME?</v>
      </c>
      <c r="K24" s="237"/>
      <c r="L24" s="235" t="e">
        <f t="shared" ca="1" si="7"/>
        <v>#NAME?</v>
      </c>
      <c r="M24" s="41" t="e">
        <f t="shared" ca="1" si="7"/>
        <v>#NAME?</v>
      </c>
      <c r="N24" s="236" t="e">
        <f t="shared" ca="1" si="8"/>
        <v>#NAME?</v>
      </c>
    </row>
    <row r="25" spans="1:14" s="204" customFormat="1" ht="12" customHeight="1" x14ac:dyDescent="0.2">
      <c r="A25" s="261" t="s">
        <v>1</v>
      </c>
      <c r="B25" s="270"/>
      <c r="C25" s="262">
        <f t="shared" ref="C25:J25" si="9">SUM(C19:C24)</f>
        <v>3049</v>
      </c>
      <c r="D25" s="263" t="e">
        <f t="shared" ca="1" si="9"/>
        <v>#NAME?</v>
      </c>
      <c r="E25" s="264" t="e">
        <f t="shared" ca="1" si="9"/>
        <v>#NAME?</v>
      </c>
      <c r="F25" s="274">
        <f t="shared" si="9"/>
        <v>0</v>
      </c>
      <c r="G25" s="262" t="e">
        <f t="shared" ca="1" si="9"/>
        <v>#NAME?</v>
      </c>
      <c r="H25" s="263" t="e">
        <f t="shared" ca="1" si="9"/>
        <v>#NAME?</v>
      </c>
      <c r="I25" s="263" t="e">
        <f t="shared" ca="1" si="9"/>
        <v>#NAME?</v>
      </c>
      <c r="J25" s="264" t="e">
        <f t="shared" ca="1" si="9"/>
        <v>#NAME?</v>
      </c>
      <c r="K25" s="238"/>
      <c r="L25" s="262" t="e">
        <f ca="1">SUM(L19:L24)</f>
        <v>#NAME?</v>
      </c>
      <c r="M25" s="263" t="e">
        <f ca="1">SUM(M19:M24)</f>
        <v>#NAME?</v>
      </c>
      <c r="N25" s="264" t="e">
        <f ca="1">SUM(N19:N24)</f>
        <v>#NAME?</v>
      </c>
    </row>
    <row r="26" spans="1:14" ht="12" customHeight="1" x14ac:dyDescent="0.25">
      <c r="A26" s="230"/>
      <c r="B26" s="269"/>
      <c r="C26" s="235"/>
      <c r="D26" s="41"/>
      <c r="E26" s="236"/>
      <c r="F26" s="273"/>
      <c r="G26" s="239"/>
      <c r="H26" s="41"/>
      <c r="I26" s="41"/>
      <c r="J26" s="236"/>
      <c r="K26" s="237"/>
      <c r="L26" s="235"/>
      <c r="M26" s="41"/>
      <c r="N26" s="236"/>
    </row>
    <row r="27" spans="1:14" ht="12" customHeight="1" x14ac:dyDescent="0.25">
      <c r="A27" s="230" t="s">
        <v>67</v>
      </c>
      <c r="B27" s="269"/>
      <c r="C27" s="235">
        <f>GrossMargin!J31</f>
        <v>16153</v>
      </c>
      <c r="D27" s="41">
        <f>GrossMargin!N31</f>
        <v>12234</v>
      </c>
      <c r="E27" s="236">
        <f>-D27+C27</f>
        <v>3919</v>
      </c>
      <c r="F27" s="273"/>
      <c r="G27" s="235" t="e">
        <f ca="1">Expenses!D28+'CapChrg-AllocExp'!D29+'CapChrg-AllocExp'!K29</f>
        <v>#NAME?</v>
      </c>
      <c r="H27" s="41" t="e">
        <f ca="1">Expenses!E28+'CapChrg-AllocExp'!E29+'CapChrg-AllocExp'!L29</f>
        <v>#NAME?</v>
      </c>
      <c r="I27" s="64" t="e">
        <f ca="1">'CapChrg-AllocExp'!F29</f>
        <v>#NAME?</v>
      </c>
      <c r="J27" s="236" t="e">
        <f ca="1">(H27-G27)-I27</f>
        <v>#NAME?</v>
      </c>
      <c r="K27" s="237"/>
      <c r="L27" s="235" t="e">
        <f t="shared" ref="L27:M29" ca="1" si="10">C27-G27</f>
        <v>#NAME?</v>
      </c>
      <c r="M27" s="41" t="e">
        <f t="shared" ca="1" si="10"/>
        <v>#NAME?</v>
      </c>
      <c r="N27" s="236" t="e">
        <f ca="1">L27-M27</f>
        <v>#NAME?</v>
      </c>
    </row>
    <row r="28" spans="1:14" ht="12" customHeight="1" x14ac:dyDescent="0.25">
      <c r="A28" s="230" t="s">
        <v>415</v>
      </c>
      <c r="B28" s="319"/>
      <c r="C28" s="235">
        <f>GrossMargin!J32</f>
        <v>16975</v>
      </c>
      <c r="D28" s="41">
        <f>GrossMargin!N32</f>
        <v>30508</v>
      </c>
      <c r="E28" s="236">
        <f>-D28+C28</f>
        <v>-13533</v>
      </c>
      <c r="F28" s="273"/>
      <c r="G28" s="235" t="e">
        <f ca="1">Expenses!D29+'CapChrg-AllocExp'!D30+'CapChrg-AllocExp'!K30+Expenses!D56</f>
        <v>#NAME?</v>
      </c>
      <c r="H28" s="41" t="e">
        <f ca="1">Expenses!E29+'CapChrg-AllocExp'!E30+'CapChrg-AllocExp'!L30+Expenses!E56</f>
        <v>#NAME?</v>
      </c>
      <c r="I28" s="64" t="e">
        <f ca="1">'CapChrg-AllocExp'!F30</f>
        <v>#NAME?</v>
      </c>
      <c r="J28" s="236" t="e">
        <f ca="1">(H28-G28)-I28</f>
        <v>#NAME?</v>
      </c>
      <c r="K28" s="237"/>
      <c r="L28" s="235" t="e">
        <f t="shared" ca="1" si="10"/>
        <v>#NAME?</v>
      </c>
      <c r="M28" s="41" t="e">
        <f t="shared" ca="1" si="10"/>
        <v>#NAME?</v>
      </c>
      <c r="N28" s="236" t="e">
        <f ca="1">L28-M28</f>
        <v>#NAME?</v>
      </c>
    </row>
    <row r="29" spans="1:14" ht="12" customHeight="1" x14ac:dyDescent="0.25">
      <c r="A29" s="320" t="s">
        <v>416</v>
      </c>
      <c r="B29" s="319"/>
      <c r="C29" s="235">
        <f>GrossMargin!J33</f>
        <v>9811</v>
      </c>
      <c r="D29" s="41" t="e">
        <f ca="1">GrossMargin!N33</f>
        <v>#NAME?</v>
      </c>
      <c r="E29" s="236" t="e">
        <f ca="1">-D29+C29</f>
        <v>#NAME?</v>
      </c>
      <c r="F29" s="273"/>
      <c r="G29" s="235" t="e">
        <f ca="1">Expenses!D30+'CapChrg-AllocExp'!D31+'CapChrg-AllocExp'!K31</f>
        <v>#NAME?</v>
      </c>
      <c r="H29" s="41" t="e">
        <f ca="1">Expenses!E30+'CapChrg-AllocExp'!E31+'CapChrg-AllocExp'!L31</f>
        <v>#NAME?</v>
      </c>
      <c r="I29" s="64" t="e">
        <f ca="1">'CapChrg-AllocExp'!F31</f>
        <v>#NAME?</v>
      </c>
      <c r="J29" s="236" t="e">
        <f ca="1">(H29-G29)-I29</f>
        <v>#NAME?</v>
      </c>
      <c r="K29" s="237"/>
      <c r="L29" s="235" t="e">
        <f t="shared" ca="1" si="10"/>
        <v>#NAME?</v>
      </c>
      <c r="M29" s="41" t="e">
        <f t="shared" ca="1" si="10"/>
        <v>#NAME?</v>
      </c>
      <c r="N29" s="236" t="e">
        <f ca="1">L29-M29</f>
        <v>#NAME?</v>
      </c>
    </row>
    <row r="30" spans="1:14" s="204" customFormat="1" ht="12" customHeight="1" x14ac:dyDescent="0.2">
      <c r="A30" s="261" t="s">
        <v>86</v>
      </c>
      <c r="B30" s="270"/>
      <c r="C30" s="262">
        <f>SUM(C27:C29)</f>
        <v>42939</v>
      </c>
      <c r="D30" s="263" t="e">
        <f ca="1">SUM(D27:D29)</f>
        <v>#NAME?</v>
      </c>
      <c r="E30" s="264" t="e">
        <f ca="1">SUM(E27:E29)</f>
        <v>#NAME?</v>
      </c>
      <c r="F30" s="274"/>
      <c r="G30" s="262" t="e">
        <f ca="1">SUM(G27:G29)</f>
        <v>#NAME?</v>
      </c>
      <c r="H30" s="263" t="e">
        <f ca="1">SUM(H27:H29)</f>
        <v>#NAME?</v>
      </c>
      <c r="I30" s="263" t="e">
        <f ca="1">SUM(I27:I29)</f>
        <v>#NAME?</v>
      </c>
      <c r="J30" s="264" t="e">
        <f ca="1">SUM(J27:J29)</f>
        <v>#NAME?</v>
      </c>
      <c r="K30" s="238"/>
      <c r="L30" s="262" t="e">
        <f ca="1">SUM(L27:L29)</f>
        <v>#NAME?</v>
      </c>
      <c r="M30" s="263" t="e">
        <f ca="1">SUM(M27:M29)</f>
        <v>#NAME?</v>
      </c>
      <c r="N30" s="264" t="e">
        <f ca="1">SUM(N27:N29)</f>
        <v>#NAME?</v>
      </c>
    </row>
    <row r="31" spans="1:14" ht="12" customHeight="1" x14ac:dyDescent="0.25">
      <c r="A31" s="230"/>
      <c r="B31" s="269"/>
      <c r="C31" s="235"/>
      <c r="D31" s="41"/>
      <c r="E31" s="236"/>
      <c r="F31" s="273"/>
      <c r="G31" s="239"/>
      <c r="H31" s="41"/>
      <c r="I31" s="41"/>
      <c r="J31" s="236"/>
      <c r="K31" s="237"/>
      <c r="L31" s="235"/>
      <c r="M31" s="41"/>
      <c r="N31" s="236"/>
    </row>
    <row r="32" spans="1:14" ht="12" customHeight="1" x14ac:dyDescent="0.25">
      <c r="A32" s="230" t="s">
        <v>9</v>
      </c>
      <c r="B32" s="269"/>
      <c r="C32" s="235">
        <f>GrossMargin!J37</f>
        <v>-23517</v>
      </c>
      <c r="D32" s="41" t="e">
        <f ca="1">GrossMargin!N37</f>
        <v>#NAME?</v>
      </c>
      <c r="E32" s="236" t="e">
        <f ca="1">-D32+C32</f>
        <v>#NAME?</v>
      </c>
      <c r="F32" s="273"/>
      <c r="G32" s="235" t="e">
        <f ca="1">Expenses!D33+'CapChrg-AllocExp'!D34+'CapChrg-AllocExp'!K34</f>
        <v>#NAME?</v>
      </c>
      <c r="H32" s="41" t="e">
        <f ca="1">Expenses!E33+'CapChrg-AllocExp'!E34+'CapChrg-AllocExp'!L34</f>
        <v>#NAME?</v>
      </c>
      <c r="I32" s="64" t="e">
        <f ca="1">'CapChrg-AllocExp'!F34</f>
        <v>#NAME?</v>
      </c>
      <c r="J32" s="236" t="e">
        <f ca="1">(H32-G32)-I32</f>
        <v>#NAME?</v>
      </c>
      <c r="K32" s="237"/>
      <c r="L32" s="235" t="e">
        <f t="shared" ref="L32:M34" ca="1" si="11">C32-G32</f>
        <v>#NAME?</v>
      </c>
      <c r="M32" s="41" t="e">
        <f t="shared" ca="1" si="11"/>
        <v>#NAME?</v>
      </c>
      <c r="N32" s="236" t="e">
        <f ca="1">L32-M32</f>
        <v>#NAME?</v>
      </c>
    </row>
    <row r="33" spans="1:14" ht="12" customHeight="1" x14ac:dyDescent="0.25">
      <c r="A33" s="230" t="s">
        <v>440</v>
      </c>
      <c r="B33" s="269"/>
      <c r="C33" s="235">
        <f>GrossMargin!J38</f>
        <v>293</v>
      </c>
      <c r="D33" s="41" t="e">
        <f ca="1">GrossMargin!N38</f>
        <v>#NAME?</v>
      </c>
      <c r="E33" s="236" t="e">
        <f ca="1">-D33+C33</f>
        <v>#NAME?</v>
      </c>
      <c r="F33" s="273"/>
      <c r="G33" s="235" t="e">
        <f ca="1">Expenses!D34+'CapChrg-AllocExp'!D35+'CapChrg-AllocExp'!K35</f>
        <v>#NAME?</v>
      </c>
      <c r="H33" s="41" t="e">
        <f ca="1">Expenses!E34+'CapChrg-AllocExp'!E35+'CapChrg-AllocExp'!L35</f>
        <v>#NAME?</v>
      </c>
      <c r="I33" s="64" t="e">
        <f ca="1">'CapChrg-AllocExp'!F35</f>
        <v>#NAME?</v>
      </c>
      <c r="J33" s="236" t="e">
        <f ca="1">(H33-G33)-I33</f>
        <v>#NAME?</v>
      </c>
      <c r="K33" s="237"/>
      <c r="L33" s="235" t="e">
        <f t="shared" ca="1" si="11"/>
        <v>#NAME?</v>
      </c>
      <c r="M33" s="41" t="e">
        <f t="shared" ca="1" si="11"/>
        <v>#NAME?</v>
      </c>
      <c r="N33" s="236" t="e">
        <f ca="1">L33-M33</f>
        <v>#NAME?</v>
      </c>
    </row>
    <row r="34" spans="1:14" x14ac:dyDescent="0.25">
      <c r="A34" s="230" t="s">
        <v>154</v>
      </c>
      <c r="B34" s="269"/>
      <c r="C34" s="235">
        <f>GrossMargin!J41</f>
        <v>-8959</v>
      </c>
      <c r="D34" s="41" t="e">
        <f ca="1">GrossMargin!N41</f>
        <v>#NAME?</v>
      </c>
      <c r="E34" s="236" t="e">
        <f ca="1">-D34+C34</f>
        <v>#NAME?</v>
      </c>
      <c r="F34" s="229"/>
      <c r="G34" s="235" t="e">
        <f ca="1">Expenses!D37+'CapChrg-AllocExp'!D38+'CapChrg-AllocExp'!K38</f>
        <v>#NAME?</v>
      </c>
      <c r="H34" s="41" t="e">
        <f ca="1">Expenses!E37+'CapChrg-AllocExp'!E38+'CapChrg-AllocExp'!L38</f>
        <v>#NAME?</v>
      </c>
      <c r="I34" s="64" t="e">
        <f ca="1">'CapChrg-AllocExp'!F38</f>
        <v>#NAME?</v>
      </c>
      <c r="J34" s="236" t="e">
        <f ca="1">(H34-G34)-I34</f>
        <v>#NAME?</v>
      </c>
      <c r="K34" s="229"/>
      <c r="L34" s="235" t="e">
        <f t="shared" ca="1" si="11"/>
        <v>#NAME?</v>
      </c>
      <c r="M34" s="41" t="e">
        <f t="shared" ca="1" si="11"/>
        <v>#NAME?</v>
      </c>
      <c r="N34" s="236" t="e">
        <f ca="1">L34-M34</f>
        <v>#NAME?</v>
      </c>
    </row>
    <row r="35" spans="1:14" s="204" customFormat="1" ht="12" customHeight="1" x14ac:dyDescent="0.2">
      <c r="A35" s="261" t="s">
        <v>87</v>
      </c>
      <c r="B35" s="270"/>
      <c r="C35" s="262">
        <f>C32+C33+C34</f>
        <v>-32183</v>
      </c>
      <c r="D35" s="263" t="e">
        <f ca="1">D32+D33+D34</f>
        <v>#NAME?</v>
      </c>
      <c r="E35" s="264" t="e">
        <f ca="1">SUM(E32:E34)</f>
        <v>#NAME?</v>
      </c>
      <c r="F35" s="274"/>
      <c r="G35" s="262" t="e">
        <f ca="1">G32+G33+G34</f>
        <v>#NAME?</v>
      </c>
      <c r="H35" s="263" t="e">
        <f ca="1">H32+H33+H34</f>
        <v>#NAME?</v>
      </c>
      <c r="I35" s="263" t="e">
        <f ca="1">I32+I33+I34</f>
        <v>#NAME?</v>
      </c>
      <c r="J35" s="264" t="e">
        <f ca="1">SUM(J32:J34)</f>
        <v>#NAME?</v>
      </c>
      <c r="K35" s="238"/>
      <c r="L35" s="262" t="e">
        <f ca="1">L32+L33+L34</f>
        <v>#NAME?</v>
      </c>
      <c r="M35" s="263" t="e">
        <f ca="1">M32+M33+M34</f>
        <v>#NAME?</v>
      </c>
      <c r="N35" s="264" t="e">
        <f ca="1">SUM(N32:N34)</f>
        <v>#NAME?</v>
      </c>
    </row>
    <row r="36" spans="1:14" ht="12" customHeight="1" x14ac:dyDescent="0.25">
      <c r="A36" s="240"/>
      <c r="B36" s="269"/>
      <c r="C36" s="241"/>
      <c r="D36" s="104"/>
      <c r="E36" s="242"/>
      <c r="F36" s="273"/>
      <c r="G36" s="243"/>
      <c r="H36" s="104"/>
      <c r="I36" s="104"/>
      <c r="J36" s="242"/>
      <c r="K36" s="237"/>
      <c r="L36" s="241"/>
      <c r="M36" s="104"/>
      <c r="N36" s="242"/>
    </row>
    <row r="37" spans="1:14" ht="12" customHeight="1" x14ac:dyDescent="0.25">
      <c r="A37" s="240" t="s">
        <v>8</v>
      </c>
      <c r="B37" s="269"/>
      <c r="C37" s="241">
        <f>GrossMargin!J45</f>
        <v>0</v>
      </c>
      <c r="D37" s="104" t="e">
        <f ca="1">GrossMargin!N45</f>
        <v>#NAME?</v>
      </c>
      <c r="E37" s="242" t="e">
        <f ca="1">-D37+C37</f>
        <v>#NAME?</v>
      </c>
      <c r="F37" s="273"/>
      <c r="G37" s="241" t="e">
        <f ca="1">Expenses!D40+'CapChrg-AllocExp'!D41+'CapChrg-AllocExp'!K41</f>
        <v>#NAME?</v>
      </c>
      <c r="H37" s="104" t="e">
        <f ca="1">Expenses!E40+'CapChrg-AllocExp'!E41+'CapChrg-AllocExp'!L41</f>
        <v>#NAME?</v>
      </c>
      <c r="I37" s="105" t="e">
        <f ca="1">'CapChrg-AllocExp'!F41</f>
        <v>#NAME?</v>
      </c>
      <c r="J37" s="236" t="e">
        <f ca="1">(H37-G37)-I37</f>
        <v>#NAME?</v>
      </c>
      <c r="K37" s="237"/>
      <c r="L37" s="241" t="e">
        <f t="shared" ref="L37:M39" ca="1" si="12">C37-G37</f>
        <v>#NAME?</v>
      </c>
      <c r="M37" s="104" t="e">
        <f t="shared" ca="1" si="12"/>
        <v>#NAME?</v>
      </c>
      <c r="N37" s="242" t="e">
        <f ca="1">L37-M37</f>
        <v>#NAME?</v>
      </c>
    </row>
    <row r="38" spans="1:14" ht="12" customHeight="1" x14ac:dyDescent="0.25">
      <c r="A38" s="240" t="s">
        <v>7</v>
      </c>
      <c r="B38" s="269"/>
      <c r="C38" s="241">
        <f>GrossMargin!J47</f>
        <v>0</v>
      </c>
      <c r="D38" s="104">
        <f>GrossMargin!N47</f>
        <v>0</v>
      </c>
      <c r="E38" s="242">
        <f>-D38+C38</f>
        <v>0</v>
      </c>
      <c r="F38" s="273"/>
      <c r="G38" s="241" t="e">
        <f ca="1">Expenses!D42+'CapChrg-AllocExp'!D43+'CapChrg-AllocExp'!K43</f>
        <v>#NAME?</v>
      </c>
      <c r="H38" s="104" t="e">
        <f ca="1">Expenses!E42+'CapChrg-AllocExp'!E43+'CapChrg-AllocExp'!L43</f>
        <v>#NAME?</v>
      </c>
      <c r="I38" s="105" t="e">
        <f ca="1">'CapChrg-AllocExp'!F43</f>
        <v>#NAME?</v>
      </c>
      <c r="J38" s="236" t="e">
        <f ca="1">(H38-G38)-I38</f>
        <v>#NAME?</v>
      </c>
      <c r="K38" s="237"/>
      <c r="L38" s="241" t="e">
        <f t="shared" ca="1" si="12"/>
        <v>#NAME?</v>
      </c>
      <c r="M38" s="104" t="e">
        <f t="shared" ca="1" si="12"/>
        <v>#NAME?</v>
      </c>
      <c r="N38" s="242" t="e">
        <f ca="1">L38-M38</f>
        <v>#NAME?</v>
      </c>
    </row>
    <row r="39" spans="1:14" ht="12" customHeight="1" x14ac:dyDescent="0.25">
      <c r="A39" s="240" t="s">
        <v>19</v>
      </c>
      <c r="B39" s="269"/>
      <c r="C39" s="241">
        <f>GrossMargin!J51</f>
        <v>0</v>
      </c>
      <c r="D39" s="104">
        <f>GrossMargin!N51</f>
        <v>43138</v>
      </c>
      <c r="E39" s="242">
        <f>-D39+C39</f>
        <v>-43138</v>
      </c>
      <c r="F39" s="273"/>
      <c r="G39" s="241">
        <f>Expenses!D52+'CapChrg-AllocExp'!D53+'CapChrg-AllocExp'!K53</f>
        <v>0</v>
      </c>
      <c r="H39" s="104">
        <f>Expenses!E52+'CapChrg-AllocExp'!E53+'CapChrg-AllocExp'!L53</f>
        <v>0</v>
      </c>
      <c r="I39" s="105">
        <v>0</v>
      </c>
      <c r="J39" s="236">
        <f>(H39-G39)-I39</f>
        <v>0</v>
      </c>
      <c r="K39" s="237"/>
      <c r="L39" s="241">
        <f t="shared" si="12"/>
        <v>0</v>
      </c>
      <c r="M39" s="104">
        <f t="shared" si="12"/>
        <v>43138</v>
      </c>
      <c r="N39" s="242">
        <f>L39-M39</f>
        <v>-43138</v>
      </c>
    </row>
    <row r="40" spans="1:14" s="204" customFormat="1" ht="12" customHeight="1" x14ac:dyDescent="0.2">
      <c r="A40" s="261" t="s">
        <v>10</v>
      </c>
      <c r="B40" s="270"/>
      <c r="C40" s="262">
        <f>SUM(C35:C39)+C17+C25+C30</f>
        <v>108632</v>
      </c>
      <c r="D40" s="263" t="e">
        <f ca="1">SUM(D35:D39)+D17+D25+D30</f>
        <v>#NAME?</v>
      </c>
      <c r="E40" s="264" t="e">
        <f ca="1">SUM(E35:E39)+E17+E25+E30</f>
        <v>#NAME?</v>
      </c>
      <c r="F40" s="274"/>
      <c r="G40" s="262" t="e">
        <f ca="1">SUM(G35:G39)+G17+G25+G30</f>
        <v>#NAME?</v>
      </c>
      <c r="H40" s="263" t="e">
        <f ca="1">SUM(H35:H39)+H17+H25+H30</f>
        <v>#NAME?</v>
      </c>
      <c r="I40" s="263" t="e">
        <f ca="1">SUM(I35:I39)+I17+I25+I30</f>
        <v>#NAME?</v>
      </c>
      <c r="J40" s="264" t="e">
        <f ca="1">SUM(J35:J39)+J17+J25+J30</f>
        <v>#NAME?</v>
      </c>
      <c r="K40" s="238"/>
      <c r="L40" s="262" t="e">
        <f ca="1">SUM(L35:L39)+L17+L25+L30</f>
        <v>#NAME?</v>
      </c>
      <c r="M40" s="263" t="e">
        <f ca="1">SUM(M35:M39)+M17+M25+M30</f>
        <v>#NAME?</v>
      </c>
      <c r="N40" s="264" t="e">
        <f ca="1">SUM(N35:N39)+N17+N25+N30</f>
        <v>#NAME?</v>
      </c>
    </row>
    <row r="41" spans="1:14" ht="12" customHeight="1" x14ac:dyDescent="0.25">
      <c r="A41" s="240"/>
      <c r="B41" s="269"/>
      <c r="C41" s="241"/>
      <c r="D41" s="104"/>
      <c r="E41" s="242"/>
      <c r="F41" s="273"/>
      <c r="G41" s="243"/>
      <c r="H41" s="104"/>
      <c r="I41" s="104"/>
      <c r="J41" s="242"/>
      <c r="K41" s="237"/>
      <c r="L41" s="241"/>
      <c r="M41" s="104"/>
      <c r="N41" s="242"/>
    </row>
    <row r="42" spans="1:14" ht="12" customHeight="1" x14ac:dyDescent="0.25">
      <c r="A42" s="240" t="s">
        <v>356</v>
      </c>
      <c r="B42" s="269"/>
      <c r="C42" s="241">
        <v>0</v>
      </c>
      <c r="D42" s="104">
        <v>0</v>
      </c>
      <c r="E42" s="242">
        <f>-D42+C42</f>
        <v>0</v>
      </c>
      <c r="F42" s="273"/>
      <c r="G42" s="241">
        <f>Expenses!D46</f>
        <v>73510</v>
      </c>
      <c r="H42" s="104" t="e">
        <f ca="1">Expenses!E46</f>
        <v>#NAME?</v>
      </c>
      <c r="I42" s="104">
        <v>0</v>
      </c>
      <c r="J42" s="236" t="e">
        <f ca="1">(H42-G42)-I42</f>
        <v>#NAME?</v>
      </c>
      <c r="K42" s="237"/>
      <c r="L42" s="241">
        <f t="shared" ref="L42:M45" si="13">C42-G42</f>
        <v>-73510</v>
      </c>
      <c r="M42" s="104" t="e">
        <f t="shared" ca="1" si="13"/>
        <v>#NAME?</v>
      </c>
      <c r="N42" s="242" t="e">
        <f ca="1">L42-M42</f>
        <v>#NAME?</v>
      </c>
    </row>
    <row r="43" spans="1:14" ht="12" customHeight="1" x14ac:dyDescent="0.25">
      <c r="A43" s="240" t="s">
        <v>357</v>
      </c>
      <c r="B43" s="269"/>
      <c r="C43" s="241">
        <v>0</v>
      </c>
      <c r="D43" s="104">
        <v>0</v>
      </c>
      <c r="E43" s="242">
        <f>-D43+C43</f>
        <v>0</v>
      </c>
      <c r="F43" s="273"/>
      <c r="G43" s="241" t="e">
        <f ca="1">'CapChrg-AllocExp'!K49</f>
        <v>#NAME?</v>
      </c>
      <c r="H43" s="104" t="e">
        <f ca="1">'CapChrg-AllocExp'!L49</f>
        <v>#NAME?</v>
      </c>
      <c r="I43" s="104">
        <v>0</v>
      </c>
      <c r="J43" s="236" t="e">
        <f ca="1">(H43-G43)-I43</f>
        <v>#NAME?</v>
      </c>
      <c r="K43" s="237"/>
      <c r="L43" s="241" t="e">
        <f t="shared" ca="1" si="13"/>
        <v>#NAME?</v>
      </c>
      <c r="M43" s="104" t="e">
        <f t="shared" ca="1" si="13"/>
        <v>#NAME?</v>
      </c>
      <c r="N43" s="242" t="e">
        <f ca="1">L43-M43</f>
        <v>#NAME?</v>
      </c>
    </row>
    <row r="44" spans="1:14" ht="12" customHeight="1" x14ac:dyDescent="0.25">
      <c r="A44" s="240" t="s">
        <v>18</v>
      </c>
      <c r="B44" s="269"/>
      <c r="C44" s="241">
        <f>GrossMargin!J49</f>
        <v>-19368</v>
      </c>
      <c r="D44" s="104" t="e">
        <f ca="1">GrossMargin!N49</f>
        <v>#NAME?</v>
      </c>
      <c r="E44" s="242" t="e">
        <f ca="1">-D44+C44</f>
        <v>#NAME?</v>
      </c>
      <c r="F44" s="275"/>
      <c r="G44" s="241" t="e">
        <f ca="1">Expenses!D48</f>
        <v>#NAME?</v>
      </c>
      <c r="H44" s="104" t="e">
        <f ca="1">Expenses!E48</f>
        <v>#NAME?</v>
      </c>
      <c r="I44" s="104">
        <v>0</v>
      </c>
      <c r="J44" s="236" t="e">
        <f ca="1">(H44-G44)-I44</f>
        <v>#NAME?</v>
      </c>
      <c r="K44" s="237"/>
      <c r="L44" s="241" t="e">
        <f t="shared" ca="1" si="13"/>
        <v>#NAME?</v>
      </c>
      <c r="M44" s="104" t="e">
        <f t="shared" ca="1" si="13"/>
        <v>#NAME?</v>
      </c>
      <c r="N44" s="242" t="e">
        <f ca="1">L44-M44</f>
        <v>#NAME?</v>
      </c>
    </row>
    <row r="45" spans="1:14" ht="12" customHeight="1" x14ac:dyDescent="0.25">
      <c r="A45" s="240" t="s">
        <v>60</v>
      </c>
      <c r="B45" s="269"/>
      <c r="C45" s="241">
        <v>0</v>
      </c>
      <c r="D45" s="104">
        <v>0</v>
      </c>
      <c r="E45" s="242">
        <f>-D45+C45</f>
        <v>0</v>
      </c>
      <c r="F45" s="273"/>
      <c r="G45" s="241" t="e">
        <f ca="1">'CapChrg-AllocExp'!D45</f>
        <v>#NAME?</v>
      </c>
      <c r="H45" s="104" t="e">
        <f ca="1">'CapChrg-AllocExp'!E45</f>
        <v>#NAME?</v>
      </c>
      <c r="I45" s="104" t="e">
        <f ca="1">'CapChrg-AllocExp'!F45</f>
        <v>#NAME?</v>
      </c>
      <c r="J45" s="236" t="e">
        <f ca="1">(H45-G45)-I45</f>
        <v>#NAME?</v>
      </c>
      <c r="K45" s="237"/>
      <c r="L45" s="241" t="e">
        <f t="shared" ca="1" si="13"/>
        <v>#NAME?</v>
      </c>
      <c r="M45" s="104" t="e">
        <f t="shared" ca="1" si="13"/>
        <v>#NAME?</v>
      </c>
      <c r="N45" s="242" t="e">
        <f ca="1">L45-M45</f>
        <v>#NAME?</v>
      </c>
    </row>
    <row r="46" spans="1:14" s="204" customFormat="1" ht="12" customHeight="1" x14ac:dyDescent="0.2">
      <c r="A46" s="261" t="s">
        <v>65</v>
      </c>
      <c r="B46" s="270"/>
      <c r="C46" s="262">
        <f>SUM(C40:C45)</f>
        <v>89264</v>
      </c>
      <c r="D46" s="263" t="e">
        <f ca="1">SUM(D40:D45)</f>
        <v>#NAME?</v>
      </c>
      <c r="E46" s="265" t="e">
        <f ca="1">SUM(E40:E45)</f>
        <v>#NAME?</v>
      </c>
      <c r="F46" s="274"/>
      <c r="G46" s="262" t="e">
        <f ca="1">SUM(G40:G45)</f>
        <v>#NAME?</v>
      </c>
      <c r="H46" s="263" t="e">
        <f ca="1">SUM(H40:H45)</f>
        <v>#NAME?</v>
      </c>
      <c r="I46" s="263" t="e">
        <f ca="1">SUM(I40:I45)</f>
        <v>#NAME?</v>
      </c>
      <c r="J46" s="265" t="e">
        <f ca="1">SUM(J40:J45)</f>
        <v>#NAME?</v>
      </c>
      <c r="K46" s="238"/>
      <c r="L46" s="262" t="e">
        <f ca="1">SUM(L40:L45)</f>
        <v>#NAME?</v>
      </c>
      <c r="M46" s="263" t="e">
        <f ca="1">SUM(M40:M45)</f>
        <v>#NAME?</v>
      </c>
      <c r="N46" s="265" t="e">
        <f ca="1">SUM(N40:N45)</f>
        <v>#NAME?</v>
      </c>
    </row>
    <row r="47" spans="1:14" ht="12" customHeight="1" thickBot="1" x14ac:dyDescent="0.3">
      <c r="A47" s="240" t="s">
        <v>150</v>
      </c>
      <c r="B47" s="269"/>
      <c r="C47" s="241">
        <v>0</v>
      </c>
      <c r="D47" s="104">
        <v>0</v>
      </c>
      <c r="E47" s="242">
        <f>D47-C47</f>
        <v>0</v>
      </c>
      <c r="F47" s="273"/>
      <c r="G47" s="241">
        <f>'Old Mgmt Summary'!M56</f>
        <v>8600</v>
      </c>
      <c r="H47" s="104">
        <f>'Old Mgmt Summary'!D56</f>
        <v>8600</v>
      </c>
      <c r="I47" s="104"/>
      <c r="J47" s="242">
        <f>H47-G47</f>
        <v>0</v>
      </c>
      <c r="K47" s="237"/>
      <c r="L47" s="241">
        <f>C47-G47</f>
        <v>-8600</v>
      </c>
      <c r="M47" s="104">
        <f>D47-H47</f>
        <v>-8600</v>
      </c>
      <c r="N47" s="242">
        <f>L47-M47</f>
        <v>0</v>
      </c>
    </row>
    <row r="48" spans="1:14" s="204" customFormat="1" ht="12" customHeight="1" thickBot="1" x14ac:dyDescent="0.25">
      <c r="A48" s="283" t="s">
        <v>66</v>
      </c>
      <c r="B48" s="284"/>
      <c r="C48" s="285">
        <f>SUM(C46:C47)</f>
        <v>89264</v>
      </c>
      <c r="D48" s="286" t="e">
        <f ca="1">SUM(D46:D47)</f>
        <v>#NAME?</v>
      </c>
      <c r="E48" s="287" t="e">
        <f ca="1">SUM(E46:E47)</f>
        <v>#NAME?</v>
      </c>
      <c r="F48" s="288"/>
      <c r="G48" s="285" t="e">
        <f ca="1">SUM(G46:G47)</f>
        <v>#NAME?</v>
      </c>
      <c r="H48" s="286" t="e">
        <f ca="1">SUM(H46:H47)</f>
        <v>#NAME?</v>
      </c>
      <c r="I48" s="286" t="e">
        <f ca="1">SUM(I46:I47)</f>
        <v>#NAME?</v>
      </c>
      <c r="J48" s="287" t="e">
        <f ca="1">SUM(J46:J47)</f>
        <v>#NAME?</v>
      </c>
      <c r="K48" s="288"/>
      <c r="L48" s="285" t="e">
        <f ca="1">SUM(L46:L47)</f>
        <v>#NAME?</v>
      </c>
      <c r="M48" s="286" t="e">
        <f ca="1">SUM(M46:M47)</f>
        <v>#NAME?</v>
      </c>
      <c r="N48" s="287" t="e">
        <f ca="1">SUM(N46:N47)</f>
        <v>#NAME?</v>
      </c>
    </row>
    <row r="49" spans="1:10" ht="3" customHeight="1" x14ac:dyDescent="0.25">
      <c r="A49" s="185"/>
      <c r="C49" s="186"/>
      <c r="D49" s="42"/>
      <c r="E49" s="185"/>
      <c r="F49" s="44"/>
      <c r="J49" s="177"/>
    </row>
    <row r="50" spans="1:10" x14ac:dyDescent="0.25">
      <c r="A50" s="177" t="s">
        <v>149</v>
      </c>
      <c r="C50" s="44"/>
      <c r="D50" s="42"/>
      <c r="E50" s="44"/>
      <c r="F50" s="44"/>
    </row>
    <row r="51" spans="1:10" ht="13.5" customHeight="1" x14ac:dyDescent="0.25">
      <c r="D51" s="38"/>
      <c r="E51" s="38"/>
      <c r="F51" s="38"/>
      <c r="G51" s="38"/>
      <c r="H51" s="38"/>
      <c r="I51" s="38"/>
    </row>
    <row r="52" spans="1:10" ht="13.5" x14ac:dyDescent="0.25">
      <c r="C52" s="358" t="s">
        <v>444</v>
      </c>
      <c r="D52" s="359"/>
      <c r="E52" s="360"/>
      <c r="G52" s="358" t="s">
        <v>445</v>
      </c>
      <c r="H52" s="359"/>
      <c r="I52" s="359"/>
      <c r="J52" s="360"/>
    </row>
    <row r="53" spans="1:10" x14ac:dyDescent="0.25">
      <c r="C53" s="244" t="s">
        <v>414</v>
      </c>
      <c r="D53" s="205"/>
      <c r="E53" s="66">
        <f>'GM-WklyChnge'!C52</f>
        <v>48743</v>
      </c>
      <c r="G53" s="244" t="s">
        <v>411</v>
      </c>
      <c r="H53" s="205"/>
      <c r="I53" s="354">
        <f>'Expense Weekly Change'!D55+'Expense Weekly Change'!D56</f>
        <v>351</v>
      </c>
      <c r="J53" s="354"/>
    </row>
    <row r="54" spans="1:10" x14ac:dyDescent="0.25">
      <c r="C54" s="244" t="s">
        <v>136</v>
      </c>
      <c r="D54" s="205"/>
      <c r="E54" s="66">
        <f>'GM-WklyChnge'!D52</f>
        <v>2214</v>
      </c>
      <c r="G54" s="244" t="s">
        <v>410</v>
      </c>
      <c r="H54" s="205"/>
      <c r="I54" s="354" t="e">
        <f ca="1">'Expense Weekly Change'!D44</f>
        <v>#NAME?</v>
      </c>
      <c r="J54" s="354"/>
    </row>
    <row r="55" spans="1:10" x14ac:dyDescent="0.25">
      <c r="C55" s="244" t="s">
        <v>182</v>
      </c>
      <c r="D55" s="205"/>
      <c r="E55" s="66">
        <f>'GM-WklyChnge'!E52+'GM-WklyChnge'!F52+'GM-WklyChnge'!G52</f>
        <v>13750</v>
      </c>
      <c r="G55" s="244" t="s">
        <v>412</v>
      </c>
      <c r="H55" s="205"/>
      <c r="I55" s="355" t="e">
        <f ca="1">'Expense Weekly Change'!D46+'Expense Weekly Change'!D48</f>
        <v>#NAME?</v>
      </c>
      <c r="J55" s="354"/>
    </row>
    <row r="56" spans="1:10" x14ac:dyDescent="0.25">
      <c r="C56" s="245"/>
      <c r="D56" s="246"/>
      <c r="E56" s="247"/>
      <c r="G56" s="245"/>
      <c r="H56" s="246"/>
      <c r="I56" s="336"/>
      <c r="J56" s="335"/>
    </row>
    <row r="57" spans="1:10" ht="13.5" x14ac:dyDescent="0.25">
      <c r="C57" s="266" t="s">
        <v>183</v>
      </c>
      <c r="D57" s="267"/>
      <c r="E57" s="318">
        <f>SUM(E53:E56)</f>
        <v>64707</v>
      </c>
      <c r="G57" s="266" t="s">
        <v>183</v>
      </c>
      <c r="H57" s="267"/>
      <c r="I57" s="356" t="e">
        <f ca="1">SUM(I53:I55)</f>
        <v>#NAME?</v>
      </c>
      <c r="J57" s="357"/>
    </row>
    <row r="60" spans="1:10" ht="13.5" x14ac:dyDescent="0.25">
      <c r="C60" s="313" t="s">
        <v>355</v>
      </c>
      <c r="D60" s="314"/>
      <c r="E60" s="315">
        <f>'[2]QTD Mgmt Summary'!$C$48</f>
        <v>24557</v>
      </c>
      <c r="G60" s="313" t="s">
        <v>355</v>
      </c>
      <c r="H60" s="314"/>
      <c r="I60" s="352">
        <f>'[2]QTD Mgmt Summary'!$G$46</f>
        <v>196961</v>
      </c>
      <c r="J60" s="352"/>
    </row>
    <row r="61" spans="1:10" s="153" customFormat="1" ht="13.5" x14ac:dyDescent="0.25">
      <c r="A61" s="27"/>
      <c r="B61" s="27"/>
      <c r="C61" s="313" t="s">
        <v>409</v>
      </c>
      <c r="D61" s="313"/>
      <c r="E61" s="317">
        <f>C48</f>
        <v>89264</v>
      </c>
      <c r="G61" s="313" t="s">
        <v>409</v>
      </c>
      <c r="H61" s="313"/>
      <c r="I61" s="353" t="e">
        <f ca="1">G46</f>
        <v>#NAME?</v>
      </c>
      <c r="J61" s="353"/>
    </row>
    <row r="62" spans="1:10" s="153" customFormat="1" ht="6" customHeight="1" x14ac:dyDescent="0.25">
      <c r="A62" s="27"/>
      <c r="B62" s="27"/>
      <c r="C62" s="313"/>
      <c r="D62" s="313"/>
      <c r="E62" s="316"/>
      <c r="G62" s="313"/>
      <c r="H62" s="313"/>
      <c r="I62" s="316"/>
    </row>
    <row r="63" spans="1:10" s="153" customFormat="1" ht="12.75" customHeight="1" thickBot="1" x14ac:dyDescent="0.3">
      <c r="A63" s="27"/>
      <c r="B63" s="27"/>
      <c r="C63" s="340" t="s">
        <v>429</v>
      </c>
      <c r="D63" s="338"/>
      <c r="E63" s="339">
        <f>+E61-E60</f>
        <v>64707</v>
      </c>
      <c r="G63" s="340" t="s">
        <v>429</v>
      </c>
      <c r="H63" s="338"/>
      <c r="I63" s="351" t="e">
        <f ca="1">+I61-I60</f>
        <v>#NAME?</v>
      </c>
      <c r="J63" s="351"/>
    </row>
    <row r="64" spans="1:10" ht="13.5" thickTop="1" x14ac:dyDescent="0.25"/>
  </sheetData>
  <mergeCells count="13">
    <mergeCell ref="C52:E52"/>
    <mergeCell ref="C5:E5"/>
    <mergeCell ref="L5:N5"/>
    <mergeCell ref="I6:J6"/>
    <mergeCell ref="G5:J5"/>
    <mergeCell ref="G52:J52"/>
    <mergeCell ref="I63:J63"/>
    <mergeCell ref="I60:J60"/>
    <mergeCell ref="I61:J61"/>
    <mergeCell ref="I53:J53"/>
    <mergeCell ref="I54:J54"/>
    <mergeCell ref="I55:J55"/>
    <mergeCell ref="I57:J57"/>
  </mergeCells>
  <printOptions horizontalCentered="1" verticalCentered="1"/>
  <pageMargins left="0.17" right="0.25" top="0.17" bottom="0.28000000000000003" header="0.17" footer="0.26"/>
  <pageSetup scale="94"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64"/>
  <sheetViews>
    <sheetView zoomScaleNormal="75" workbookViewId="0"/>
  </sheetViews>
  <sheetFormatPr defaultRowHeight="12.75" x14ac:dyDescent="0.25"/>
  <cols>
    <col min="1" max="2" width="2.7109375" style="27" customWidth="1"/>
    <col min="3" max="3" width="16.7109375" style="27" customWidth="1"/>
    <col min="4" max="4" width="7.7109375" style="27" customWidth="1"/>
    <col min="5" max="5" width="5.7109375" style="27" customWidth="1"/>
    <col min="6" max="6" width="16.28515625" style="27" customWidth="1"/>
    <col min="7" max="7" width="7.7109375" style="27" customWidth="1"/>
    <col min="8" max="8" width="5.7109375" style="27" customWidth="1"/>
    <col min="9" max="9" width="16.28515625" style="27" customWidth="1"/>
    <col min="10" max="10" width="7.7109375" style="27" customWidth="1"/>
    <col min="11" max="11" width="5.7109375" style="27" customWidth="1"/>
    <col min="12" max="12" width="13.7109375" style="27" customWidth="1"/>
    <col min="13" max="13" width="7.7109375" style="27" customWidth="1"/>
    <col min="14" max="14" width="6.42578125" style="27" customWidth="1"/>
    <col min="15" max="16" width="7.7109375" style="27" customWidth="1"/>
    <col min="17" max="17" width="6.42578125" style="27" customWidth="1"/>
    <col min="18" max="18" width="13.7109375" style="27" customWidth="1"/>
    <col min="19" max="20" width="7.7109375" style="27" customWidth="1"/>
    <col min="21" max="21" width="13.7109375" style="27" customWidth="1"/>
    <col min="22" max="23" width="7.7109375" style="27" customWidth="1"/>
    <col min="24" max="16384" width="9.140625" style="27"/>
  </cols>
  <sheetData>
    <row r="1" spans="1:23" ht="9.75" customHeight="1" x14ac:dyDescent="0.25">
      <c r="B1" s="195"/>
      <c r="C1" s="195"/>
      <c r="D1" s="195"/>
      <c r="E1" s="153"/>
    </row>
    <row r="2" spans="1:23" s="208" customFormat="1" ht="27" customHeight="1" x14ac:dyDescent="0.4">
      <c r="A2" s="196" t="s">
        <v>226</v>
      </c>
      <c r="B2" s="196"/>
      <c r="C2" s="206"/>
      <c r="D2" s="206"/>
      <c r="E2" s="207"/>
      <c r="F2" s="207"/>
      <c r="G2" s="207"/>
      <c r="H2" s="207"/>
      <c r="I2" s="207"/>
      <c r="J2" s="207"/>
      <c r="K2" s="207"/>
      <c r="L2" s="207"/>
      <c r="M2" s="207"/>
      <c r="N2" s="207"/>
      <c r="O2" s="207"/>
      <c r="P2" s="207"/>
      <c r="Q2" s="259" t="s">
        <v>354</v>
      </c>
      <c r="R2" s="207"/>
      <c r="S2" s="207"/>
      <c r="T2" s="198"/>
    </row>
    <row r="3" spans="1:23" s="209" customFormat="1" ht="13.5" customHeight="1" x14ac:dyDescent="0.25">
      <c r="B3" s="210"/>
      <c r="D3" s="211"/>
      <c r="E3" s="212"/>
      <c r="F3" s="212"/>
      <c r="G3" s="212"/>
      <c r="H3" s="212"/>
      <c r="I3" s="212"/>
      <c r="J3" s="212"/>
      <c r="K3" s="212"/>
      <c r="L3" s="362" t="str">
        <f>'Old Mgmt Summary'!A3</f>
        <v>Results based on Activity through April 28, 2000</v>
      </c>
      <c r="M3" s="362"/>
      <c r="N3" s="362"/>
      <c r="O3" s="362"/>
      <c r="P3" s="362"/>
      <c r="Q3" s="362"/>
      <c r="R3" s="212"/>
      <c r="S3" s="212"/>
      <c r="T3" s="213"/>
      <c r="W3" s="214"/>
    </row>
    <row r="4" spans="1:23" s="209" customFormat="1" ht="15" customHeight="1" x14ac:dyDescent="0.2">
      <c r="B4" s="210"/>
      <c r="C4" s="211"/>
      <c r="D4" s="211"/>
      <c r="E4" s="212"/>
      <c r="F4" s="212"/>
      <c r="G4" s="212"/>
      <c r="H4" s="212"/>
      <c r="I4" s="212"/>
      <c r="J4" s="212"/>
      <c r="K4" s="212"/>
      <c r="L4" s="212"/>
      <c r="M4" s="212"/>
      <c r="N4" s="212"/>
      <c r="O4" s="212"/>
      <c r="P4" s="212"/>
      <c r="Q4" s="212"/>
      <c r="R4" s="212"/>
      <c r="S4" s="212"/>
    </row>
    <row r="5" spans="1:23" ht="16.5" x14ac:dyDescent="0.25">
      <c r="C5" s="369" t="s">
        <v>227</v>
      </c>
      <c r="D5" s="370"/>
      <c r="E5" s="371"/>
      <c r="F5" s="369" t="s">
        <v>228</v>
      </c>
      <c r="G5" s="370"/>
      <c r="H5" s="371"/>
      <c r="I5" s="369" t="s">
        <v>229</v>
      </c>
      <c r="J5" s="370"/>
      <c r="K5" s="371"/>
      <c r="L5" s="369" t="s">
        <v>230</v>
      </c>
      <c r="M5" s="370"/>
      <c r="N5" s="371"/>
      <c r="O5" s="369" t="s">
        <v>364</v>
      </c>
      <c r="P5" s="370"/>
      <c r="Q5" s="371"/>
      <c r="U5" s="38"/>
    </row>
    <row r="6" spans="1:23" ht="15" x14ac:dyDescent="0.4">
      <c r="A6" s="363" t="s">
        <v>231</v>
      </c>
      <c r="B6" s="366" t="s">
        <v>232</v>
      </c>
      <c r="C6" s="215" t="s">
        <v>233</v>
      </c>
      <c r="D6" s="216" t="s">
        <v>234</v>
      </c>
      <c r="E6" s="217"/>
      <c r="F6" s="215" t="s">
        <v>233</v>
      </c>
      <c r="G6" s="216" t="s">
        <v>234</v>
      </c>
      <c r="H6" s="217"/>
      <c r="I6" s="215" t="s">
        <v>233</v>
      </c>
      <c r="J6" s="216" t="s">
        <v>234</v>
      </c>
      <c r="K6" s="217"/>
      <c r="L6" s="215" t="s">
        <v>233</v>
      </c>
      <c r="M6" s="216" t="s">
        <v>234</v>
      </c>
      <c r="N6" s="217"/>
      <c r="O6" s="215"/>
      <c r="P6" s="216"/>
      <c r="Q6" s="217"/>
      <c r="U6" s="38"/>
    </row>
    <row r="7" spans="1:23" x14ac:dyDescent="0.25">
      <c r="A7" s="364"/>
      <c r="B7" s="367"/>
      <c r="C7" s="41" t="s">
        <v>313</v>
      </c>
      <c r="D7" s="42">
        <v>5000</v>
      </c>
      <c r="E7" s="43"/>
      <c r="F7" s="41" t="s">
        <v>312</v>
      </c>
      <c r="G7" s="42">
        <v>5000</v>
      </c>
      <c r="H7" s="43"/>
      <c r="I7" s="41" t="s">
        <v>449</v>
      </c>
      <c r="J7" s="42">
        <v>10000</v>
      </c>
      <c r="K7" s="43"/>
      <c r="L7" s="41" t="s">
        <v>327</v>
      </c>
      <c r="M7" s="42">
        <v>10000</v>
      </c>
      <c r="N7" s="43"/>
      <c r="O7" s="41"/>
      <c r="P7" s="42"/>
      <c r="Q7" s="43"/>
      <c r="U7" s="38"/>
    </row>
    <row r="8" spans="1:23" x14ac:dyDescent="0.25">
      <c r="A8" s="364"/>
      <c r="B8" s="367"/>
      <c r="C8" s="41" t="s">
        <v>318</v>
      </c>
      <c r="D8" s="42">
        <v>5000</v>
      </c>
      <c r="E8" s="43"/>
      <c r="F8" s="41" t="s">
        <v>319</v>
      </c>
      <c r="G8" s="42">
        <v>3000</v>
      </c>
      <c r="H8" s="43"/>
      <c r="I8" s="41" t="s">
        <v>322</v>
      </c>
      <c r="J8" s="42">
        <v>10000</v>
      </c>
      <c r="K8" s="43"/>
      <c r="L8" s="41"/>
      <c r="M8" s="42"/>
      <c r="N8" s="43"/>
      <c r="O8" s="41"/>
      <c r="P8" s="42"/>
      <c r="Q8" s="43"/>
      <c r="U8" s="38"/>
    </row>
    <row r="9" spans="1:23" x14ac:dyDescent="0.25">
      <c r="A9" s="364"/>
      <c r="B9" s="367"/>
      <c r="C9" s="41" t="s">
        <v>314</v>
      </c>
      <c r="D9" s="42">
        <v>4000</v>
      </c>
      <c r="E9" s="43"/>
      <c r="F9" s="41" t="s">
        <v>320</v>
      </c>
      <c r="G9" s="42">
        <v>2000</v>
      </c>
      <c r="H9" s="43"/>
      <c r="I9" s="41" t="s">
        <v>421</v>
      </c>
      <c r="J9" s="42">
        <v>10000</v>
      </c>
      <c r="K9" s="43"/>
      <c r="L9" s="41"/>
      <c r="M9" s="42"/>
      <c r="N9" s="43"/>
      <c r="O9" s="41"/>
      <c r="P9" s="42"/>
      <c r="Q9" s="43"/>
      <c r="U9" s="38"/>
    </row>
    <row r="10" spans="1:23" x14ac:dyDescent="0.25">
      <c r="A10" s="364"/>
      <c r="B10" s="367"/>
      <c r="C10" s="41" t="s">
        <v>315</v>
      </c>
      <c r="D10" s="42">
        <v>4000</v>
      </c>
      <c r="E10" s="43"/>
      <c r="F10" s="41" t="s">
        <v>321</v>
      </c>
      <c r="G10" s="42">
        <v>2000</v>
      </c>
      <c r="H10" s="43"/>
      <c r="I10" s="41" t="s">
        <v>323</v>
      </c>
      <c r="J10" s="42">
        <v>8000</v>
      </c>
      <c r="K10" s="43"/>
      <c r="L10" s="41"/>
      <c r="M10" s="42"/>
      <c r="N10" s="43"/>
      <c r="O10" s="41"/>
      <c r="P10" s="42"/>
      <c r="Q10" s="43"/>
      <c r="U10" s="38"/>
    </row>
    <row r="11" spans="1:23" x14ac:dyDescent="0.25">
      <c r="A11" s="364"/>
      <c r="B11" s="367"/>
      <c r="C11" s="41" t="s">
        <v>316</v>
      </c>
      <c r="D11" s="42">
        <v>3000</v>
      </c>
      <c r="E11" s="43"/>
      <c r="F11" s="41" t="s">
        <v>420</v>
      </c>
      <c r="G11" s="42">
        <v>750</v>
      </c>
      <c r="H11" s="43"/>
      <c r="I11" s="41" t="s">
        <v>326</v>
      </c>
      <c r="J11" s="42">
        <v>7000</v>
      </c>
      <c r="K11" s="43"/>
      <c r="L11" s="41"/>
      <c r="M11" s="42"/>
      <c r="N11" s="43"/>
      <c r="O11" s="41"/>
      <c r="P11" s="42"/>
      <c r="Q11" s="43"/>
      <c r="U11" s="38"/>
    </row>
    <row r="12" spans="1:23" x14ac:dyDescent="0.25">
      <c r="A12" s="364"/>
      <c r="B12" s="367"/>
      <c r="C12" s="41" t="s">
        <v>472</v>
      </c>
      <c r="D12" s="42">
        <v>3000</v>
      </c>
      <c r="E12" s="43"/>
      <c r="F12" s="42" t="s">
        <v>419</v>
      </c>
      <c r="G12" s="42">
        <v>0</v>
      </c>
      <c r="H12" s="43"/>
      <c r="I12" s="41" t="s">
        <v>324</v>
      </c>
      <c r="J12" s="42">
        <v>6000</v>
      </c>
      <c r="K12" s="43"/>
      <c r="L12" s="41"/>
      <c r="M12" s="42"/>
      <c r="N12" s="43"/>
      <c r="O12" s="41"/>
      <c r="P12" s="42"/>
      <c r="Q12" s="43"/>
      <c r="U12" s="38"/>
    </row>
    <row r="13" spans="1:23" x14ac:dyDescent="0.25">
      <c r="A13" s="364"/>
      <c r="B13" s="367"/>
      <c r="C13" s="41" t="s">
        <v>170</v>
      </c>
      <c r="D13" s="42">
        <v>2000</v>
      </c>
      <c r="E13" s="43"/>
      <c r="H13" s="43"/>
      <c r="I13" s="41" t="s">
        <v>325</v>
      </c>
      <c r="J13" s="42">
        <v>2000</v>
      </c>
      <c r="K13" s="43"/>
      <c r="L13" s="41"/>
      <c r="M13" s="42"/>
      <c r="N13" s="43"/>
      <c r="O13" s="41"/>
      <c r="P13" s="42"/>
      <c r="Q13" s="43"/>
    </row>
    <row r="14" spans="1:23" x14ac:dyDescent="0.25">
      <c r="A14" s="364"/>
      <c r="B14" s="367"/>
      <c r="C14" s="41" t="s">
        <v>448</v>
      </c>
      <c r="D14" s="42">
        <v>1000</v>
      </c>
      <c r="E14" s="43"/>
      <c r="H14" s="43"/>
      <c r="I14" s="42"/>
      <c r="J14" s="42"/>
      <c r="K14" s="43"/>
      <c r="L14" s="41"/>
      <c r="M14" s="42"/>
      <c r="N14" s="43"/>
      <c r="O14" s="41"/>
      <c r="P14" s="42"/>
      <c r="Q14" s="43"/>
    </row>
    <row r="15" spans="1:23" x14ac:dyDescent="0.25">
      <c r="A15" s="364"/>
      <c r="B15" s="367"/>
      <c r="C15" s="41" t="s">
        <v>317</v>
      </c>
      <c r="D15" s="42">
        <v>0</v>
      </c>
      <c r="E15" s="43"/>
      <c r="H15" s="43"/>
      <c r="K15" s="43"/>
      <c r="L15" s="41"/>
      <c r="M15" s="42"/>
      <c r="N15" s="43"/>
      <c r="O15" s="41"/>
      <c r="P15" s="42"/>
      <c r="Q15" s="43"/>
    </row>
    <row r="16" spans="1:23" x14ac:dyDescent="0.25">
      <c r="A16" s="364"/>
      <c r="B16" s="367"/>
      <c r="C16" s="41" t="s">
        <v>471</v>
      </c>
      <c r="D16" s="42">
        <v>0</v>
      </c>
      <c r="E16" s="43"/>
      <c r="H16" s="43"/>
      <c r="K16" s="43"/>
      <c r="L16" s="41"/>
      <c r="M16" s="42"/>
      <c r="N16" s="43"/>
      <c r="O16" s="41"/>
      <c r="P16" s="42"/>
      <c r="Q16" s="43"/>
    </row>
    <row r="17" spans="1:17" x14ac:dyDescent="0.25">
      <c r="A17" s="364"/>
      <c r="B17" s="367"/>
      <c r="C17" s="41"/>
      <c r="D17" s="42"/>
      <c r="E17" s="303" t="s">
        <v>362</v>
      </c>
      <c r="F17" s="41"/>
      <c r="G17" s="42"/>
      <c r="H17" s="303" t="s">
        <v>362</v>
      </c>
      <c r="K17" s="303" t="s">
        <v>362</v>
      </c>
      <c r="L17" s="41"/>
      <c r="M17" s="42"/>
      <c r="N17" s="303" t="s">
        <v>362</v>
      </c>
      <c r="O17" s="300"/>
      <c r="P17" s="301"/>
      <c r="Q17" s="303" t="s">
        <v>362</v>
      </c>
    </row>
    <row r="18" spans="1:17" ht="15" x14ac:dyDescent="0.4">
      <c r="A18" s="364"/>
      <c r="B18" s="367"/>
      <c r="C18" s="219" t="s">
        <v>235</v>
      </c>
      <c r="D18" s="220"/>
      <c r="E18" s="221" t="s">
        <v>363</v>
      </c>
      <c r="F18" s="219" t="s">
        <v>235</v>
      </c>
      <c r="G18" s="220"/>
      <c r="H18" s="221" t="s">
        <v>363</v>
      </c>
      <c r="I18" s="219" t="s">
        <v>235</v>
      </c>
      <c r="J18" s="220"/>
      <c r="K18" s="221" t="s">
        <v>363</v>
      </c>
      <c r="L18" s="219" t="s">
        <v>235</v>
      </c>
      <c r="M18" s="220"/>
      <c r="N18" s="221" t="s">
        <v>363</v>
      </c>
      <c r="O18" s="219" t="s">
        <v>235</v>
      </c>
      <c r="P18" s="302" t="s">
        <v>234</v>
      </c>
      <c r="Q18" s="221" t="s">
        <v>363</v>
      </c>
    </row>
    <row r="19" spans="1:17" x14ac:dyDescent="0.25">
      <c r="A19" s="365"/>
      <c r="B19" s="368"/>
      <c r="C19" s="222">
        <v>20493</v>
      </c>
      <c r="D19" s="222">
        <f>SUM(D7:D18)</f>
        <v>27000</v>
      </c>
      <c r="E19" s="299">
        <f>+D19-C19</f>
        <v>6507</v>
      </c>
      <c r="F19" s="222">
        <v>21493</v>
      </c>
      <c r="G19" s="222">
        <f>SUM(G7:G18)</f>
        <v>12750</v>
      </c>
      <c r="H19" s="299">
        <f>+G19-F19</f>
        <v>-8743</v>
      </c>
      <c r="I19" s="222">
        <v>22344</v>
      </c>
      <c r="J19" s="222">
        <f>SUM(J7:J18)</f>
        <v>53000</v>
      </c>
      <c r="K19" s="299">
        <f>+J19-I19</f>
        <v>30656</v>
      </c>
      <c r="L19" s="222">
        <f>14243*1.35</f>
        <v>19228.050000000003</v>
      </c>
      <c r="M19" s="222">
        <f>SUM(M7:M18)</f>
        <v>10000</v>
      </c>
      <c r="N19" s="299">
        <f>+M19-L19</f>
        <v>-9228.0500000000029</v>
      </c>
      <c r="O19" s="222">
        <f>L19+I19+F19+C19</f>
        <v>83558.05</v>
      </c>
      <c r="P19" s="222">
        <f>M19+J19+G19+D19</f>
        <v>102750</v>
      </c>
      <c r="Q19" s="299">
        <f>+P19-O19</f>
        <v>19191.949999999997</v>
      </c>
    </row>
    <row r="20" spans="1:17" ht="15" x14ac:dyDescent="0.4">
      <c r="A20" s="363" t="s">
        <v>236</v>
      </c>
      <c r="B20" s="366" t="s">
        <v>232</v>
      </c>
      <c r="C20" s="215" t="s">
        <v>233</v>
      </c>
      <c r="D20" s="216" t="s">
        <v>234</v>
      </c>
      <c r="E20" s="217"/>
      <c r="F20" s="215" t="s">
        <v>233</v>
      </c>
      <c r="G20" s="216" t="s">
        <v>234</v>
      </c>
      <c r="H20" s="217"/>
      <c r="I20" s="215" t="s">
        <v>233</v>
      </c>
      <c r="J20" s="216" t="s">
        <v>234</v>
      </c>
      <c r="K20" s="217"/>
      <c r="L20" s="215" t="s">
        <v>233</v>
      </c>
      <c r="M20" s="216" t="s">
        <v>234</v>
      </c>
      <c r="N20" s="217"/>
      <c r="O20" s="215"/>
      <c r="P20" s="216"/>
      <c r="Q20" s="217"/>
    </row>
    <row r="21" spans="1:17" x14ac:dyDescent="0.25">
      <c r="A21" s="364"/>
      <c r="B21" s="367"/>
      <c r="C21" s="41" t="s">
        <v>298</v>
      </c>
      <c r="D21" s="42">
        <v>7000</v>
      </c>
      <c r="E21" s="43"/>
      <c r="F21" s="41" t="s">
        <v>303</v>
      </c>
      <c r="G21" s="42">
        <v>10000</v>
      </c>
      <c r="H21" s="43"/>
      <c r="I21" s="41" t="s">
        <v>306</v>
      </c>
      <c r="J21" s="42">
        <v>30000</v>
      </c>
      <c r="K21" s="43"/>
      <c r="L21" s="41" t="s">
        <v>311</v>
      </c>
      <c r="M21" s="42">
        <v>5000</v>
      </c>
      <c r="N21" s="43"/>
      <c r="O21" s="41"/>
      <c r="P21" s="42"/>
      <c r="Q21" s="43"/>
    </row>
    <row r="22" spans="1:17" x14ac:dyDescent="0.25">
      <c r="A22" s="364"/>
      <c r="B22" s="367"/>
      <c r="C22" s="41" t="s">
        <v>304</v>
      </c>
      <c r="D22" s="42">
        <v>5000</v>
      </c>
      <c r="E22" s="43"/>
      <c r="F22" s="41" t="s">
        <v>305</v>
      </c>
      <c r="G22" s="42">
        <v>5000</v>
      </c>
      <c r="H22" s="43"/>
      <c r="I22" s="41" t="s">
        <v>307</v>
      </c>
      <c r="J22" s="42">
        <v>10000</v>
      </c>
      <c r="K22" s="43"/>
      <c r="L22" s="41"/>
      <c r="M22" s="42"/>
      <c r="N22" s="43"/>
      <c r="O22" s="41"/>
      <c r="P22" s="42"/>
      <c r="Q22" s="43"/>
    </row>
    <row r="23" spans="1:17" x14ac:dyDescent="0.25">
      <c r="A23" s="364"/>
      <c r="B23" s="367"/>
      <c r="C23" s="41" t="s">
        <v>299</v>
      </c>
      <c r="D23" s="42">
        <v>500</v>
      </c>
      <c r="E23" s="43"/>
      <c r="F23" s="41" t="s">
        <v>302</v>
      </c>
      <c r="G23" s="42">
        <v>5000</v>
      </c>
      <c r="H23" s="43"/>
      <c r="I23" s="41" t="s">
        <v>237</v>
      </c>
      <c r="J23" s="42">
        <v>6000</v>
      </c>
      <c r="K23" s="43"/>
      <c r="L23" s="41"/>
      <c r="M23" s="42"/>
      <c r="N23" s="43"/>
      <c r="O23" s="41"/>
      <c r="P23" s="42"/>
      <c r="Q23" s="43"/>
    </row>
    <row r="24" spans="1:17" x14ac:dyDescent="0.25">
      <c r="A24" s="364"/>
      <c r="B24" s="367"/>
      <c r="C24" s="41"/>
      <c r="D24" s="42"/>
      <c r="E24" s="43"/>
      <c r="F24" s="41" t="s">
        <v>450</v>
      </c>
      <c r="G24" s="42">
        <v>4000</v>
      </c>
      <c r="H24" s="43"/>
      <c r="I24" s="41" t="s">
        <v>309</v>
      </c>
      <c r="J24" s="42">
        <v>5000</v>
      </c>
      <c r="K24" s="43"/>
      <c r="L24" s="41"/>
      <c r="M24" s="42"/>
      <c r="N24" s="43"/>
      <c r="O24" s="41"/>
      <c r="P24" s="42"/>
      <c r="Q24" s="43"/>
    </row>
    <row r="25" spans="1:17" x14ac:dyDescent="0.25">
      <c r="A25" s="364"/>
      <c r="B25" s="367"/>
      <c r="E25" s="43"/>
      <c r="F25" s="41" t="s">
        <v>301</v>
      </c>
      <c r="G25" s="42">
        <v>2000</v>
      </c>
      <c r="H25" s="43"/>
      <c r="I25" s="41" t="s">
        <v>310</v>
      </c>
      <c r="J25" s="42">
        <v>5000</v>
      </c>
      <c r="K25" s="43"/>
      <c r="L25" s="41"/>
      <c r="M25" s="42"/>
      <c r="N25" s="43"/>
      <c r="O25" s="41"/>
      <c r="P25" s="42"/>
      <c r="Q25" s="43"/>
    </row>
    <row r="26" spans="1:17" x14ac:dyDescent="0.25">
      <c r="A26" s="364"/>
      <c r="B26" s="367"/>
      <c r="E26" s="43"/>
      <c r="F26" s="41" t="s">
        <v>300</v>
      </c>
      <c r="G26" s="42">
        <v>2000</v>
      </c>
      <c r="H26" s="43"/>
      <c r="I26" s="41" t="s">
        <v>308</v>
      </c>
      <c r="J26" s="42">
        <v>5000</v>
      </c>
      <c r="K26" s="43"/>
      <c r="L26" s="41"/>
      <c r="M26" s="42"/>
      <c r="N26" s="43"/>
      <c r="O26" s="41"/>
      <c r="P26" s="42"/>
      <c r="Q26" s="43"/>
    </row>
    <row r="27" spans="1:17" x14ac:dyDescent="0.25">
      <c r="A27" s="364"/>
      <c r="B27" s="367"/>
      <c r="E27" s="43"/>
      <c r="H27" s="43"/>
      <c r="I27" s="41" t="s">
        <v>418</v>
      </c>
      <c r="J27" s="42">
        <v>5000</v>
      </c>
      <c r="K27" s="43"/>
      <c r="L27" s="41"/>
      <c r="M27" s="42"/>
      <c r="N27" s="43"/>
      <c r="O27" s="300"/>
      <c r="P27" s="301"/>
      <c r="Q27" s="303"/>
    </row>
    <row r="28" spans="1:17" x14ac:dyDescent="0.25">
      <c r="A28" s="364"/>
      <c r="B28" s="367"/>
      <c r="C28" s="41"/>
      <c r="D28" s="42"/>
      <c r="E28" s="303" t="s">
        <v>362</v>
      </c>
      <c r="F28" s="41"/>
      <c r="G28" s="42"/>
      <c r="H28" s="303" t="s">
        <v>362</v>
      </c>
      <c r="K28" s="303" t="s">
        <v>362</v>
      </c>
      <c r="L28" s="41"/>
      <c r="M28" s="42"/>
      <c r="N28" s="303" t="s">
        <v>362</v>
      </c>
      <c r="O28" s="300"/>
      <c r="P28" s="301"/>
      <c r="Q28" s="303" t="s">
        <v>362</v>
      </c>
    </row>
    <row r="29" spans="1:17" ht="15" x14ac:dyDescent="0.4">
      <c r="A29" s="364"/>
      <c r="B29" s="367"/>
      <c r="C29" s="219" t="s">
        <v>235</v>
      </c>
      <c r="D29" s="220"/>
      <c r="E29" s="221" t="s">
        <v>363</v>
      </c>
      <c r="F29" s="219" t="s">
        <v>235</v>
      </c>
      <c r="G29" s="220"/>
      <c r="H29" s="221" t="s">
        <v>363</v>
      </c>
      <c r="I29" s="219" t="s">
        <v>235</v>
      </c>
      <c r="J29" s="220"/>
      <c r="K29" s="221" t="s">
        <v>363</v>
      </c>
      <c r="L29" s="219" t="s">
        <v>235</v>
      </c>
      <c r="M29" s="220"/>
      <c r="N29" s="221" t="s">
        <v>363</v>
      </c>
      <c r="O29" s="219" t="s">
        <v>235</v>
      </c>
      <c r="P29" s="302" t="s">
        <v>234</v>
      </c>
      <c r="Q29" s="221" t="s">
        <v>363</v>
      </c>
    </row>
    <row r="30" spans="1:17" x14ac:dyDescent="0.25">
      <c r="A30" s="365"/>
      <c r="B30" s="368"/>
      <c r="C30" s="222">
        <v>13235</v>
      </c>
      <c r="D30" s="222">
        <f>SUM(D21:D29)</f>
        <v>12500</v>
      </c>
      <c r="E30" s="299">
        <f>+D30-C30</f>
        <v>-735</v>
      </c>
      <c r="F30" s="222">
        <v>17163</v>
      </c>
      <c r="G30" s="222">
        <f>SUM(G21:G29)</f>
        <v>28000</v>
      </c>
      <c r="H30" s="299">
        <f>+G30-F30</f>
        <v>10837</v>
      </c>
      <c r="I30" s="222">
        <v>43231</v>
      </c>
      <c r="J30" s="222">
        <f>SUM(J21:J29)</f>
        <v>66000</v>
      </c>
      <c r="K30" s="299">
        <f>+J30-I30</f>
        <v>22769</v>
      </c>
      <c r="L30" s="222">
        <f>13235*1.35</f>
        <v>17867.25</v>
      </c>
      <c r="M30" s="222">
        <f>SUM(M21:M29)</f>
        <v>5000</v>
      </c>
      <c r="N30" s="299">
        <f>+M30-L30</f>
        <v>-12867.25</v>
      </c>
      <c r="O30" s="222">
        <f>L30+I30+F30+C30</f>
        <v>91496.25</v>
      </c>
      <c r="P30" s="222">
        <f>M30+J30+G30+D30</f>
        <v>111500</v>
      </c>
      <c r="Q30" s="299">
        <f>+P30-O30</f>
        <v>20003.75</v>
      </c>
    </row>
    <row r="31" spans="1:17" ht="15" x14ac:dyDescent="0.4">
      <c r="A31" s="363" t="s">
        <v>238</v>
      </c>
      <c r="B31" s="366" t="s">
        <v>239</v>
      </c>
      <c r="C31" s="215" t="s">
        <v>233</v>
      </c>
      <c r="D31" s="216" t="s">
        <v>234</v>
      </c>
      <c r="E31" s="217"/>
      <c r="F31" s="215" t="s">
        <v>233</v>
      </c>
      <c r="G31" s="216" t="s">
        <v>234</v>
      </c>
      <c r="H31" s="217"/>
      <c r="I31" s="215" t="s">
        <v>233</v>
      </c>
      <c r="J31" s="216" t="s">
        <v>234</v>
      </c>
      <c r="K31" s="217"/>
      <c r="L31" s="215" t="s">
        <v>233</v>
      </c>
      <c r="M31" s="216" t="s">
        <v>234</v>
      </c>
      <c r="N31" s="217"/>
      <c r="O31" s="215"/>
      <c r="P31" s="216"/>
      <c r="Q31" s="217"/>
    </row>
    <row r="32" spans="1:17" x14ac:dyDescent="0.25">
      <c r="A32" s="364"/>
      <c r="B32" s="367"/>
      <c r="C32" s="41" t="s">
        <v>172</v>
      </c>
      <c r="D32" s="42">
        <v>10000</v>
      </c>
      <c r="E32" s="43"/>
      <c r="F32" s="41" t="s">
        <v>367</v>
      </c>
      <c r="G32" s="42">
        <v>45000</v>
      </c>
      <c r="H32" s="43"/>
      <c r="I32" s="41" t="s">
        <v>459</v>
      </c>
      <c r="J32" s="42">
        <v>10000</v>
      </c>
      <c r="K32" s="43"/>
      <c r="L32" s="41" t="s">
        <v>462</v>
      </c>
      <c r="M32" s="42">
        <v>8000</v>
      </c>
      <c r="N32" s="43"/>
      <c r="O32" s="41"/>
      <c r="P32" s="42"/>
      <c r="Q32" s="43"/>
    </row>
    <row r="33" spans="1:17" x14ac:dyDescent="0.25">
      <c r="A33" s="364"/>
      <c r="B33" s="367"/>
      <c r="C33" s="44" t="s">
        <v>451</v>
      </c>
      <c r="D33" s="44">
        <v>3000</v>
      </c>
      <c r="E33" s="43"/>
      <c r="F33" s="41" t="s">
        <v>453</v>
      </c>
      <c r="G33" s="42">
        <v>12000</v>
      </c>
      <c r="H33" s="43"/>
      <c r="I33" s="41" t="s">
        <v>456</v>
      </c>
      <c r="J33" s="42">
        <v>5000</v>
      </c>
      <c r="K33" s="43"/>
      <c r="L33" s="41" t="s">
        <v>463</v>
      </c>
      <c r="M33" s="42">
        <v>8000</v>
      </c>
      <c r="N33" s="43"/>
      <c r="O33" s="41"/>
      <c r="P33" s="42"/>
      <c r="Q33" s="43"/>
    </row>
    <row r="34" spans="1:17" x14ac:dyDescent="0.25">
      <c r="A34" s="364"/>
      <c r="B34" s="367"/>
      <c r="C34" s="41" t="s">
        <v>198</v>
      </c>
      <c r="D34" s="42">
        <v>3000</v>
      </c>
      <c r="E34" s="43"/>
      <c r="F34" s="41" t="s">
        <v>368</v>
      </c>
      <c r="G34" s="42">
        <v>5000</v>
      </c>
      <c r="H34" s="43"/>
      <c r="I34" s="41" t="s">
        <v>369</v>
      </c>
      <c r="J34" s="42">
        <v>5000</v>
      </c>
      <c r="K34" s="43"/>
      <c r="L34" s="41" t="s">
        <v>430</v>
      </c>
      <c r="M34" s="42">
        <v>5000</v>
      </c>
      <c r="N34" s="43"/>
      <c r="O34" s="41"/>
      <c r="P34" s="42"/>
      <c r="Q34" s="43"/>
    </row>
    <row r="35" spans="1:17" x14ac:dyDescent="0.25">
      <c r="A35" s="364"/>
      <c r="B35" s="367"/>
      <c r="C35" s="41" t="s">
        <v>430</v>
      </c>
      <c r="D35" s="42">
        <v>5000</v>
      </c>
      <c r="E35" s="43"/>
      <c r="F35" s="41" t="s">
        <v>365</v>
      </c>
      <c r="G35" s="42">
        <v>5000</v>
      </c>
      <c r="H35" s="43"/>
      <c r="I35" s="41" t="s">
        <v>457</v>
      </c>
      <c r="J35" s="42">
        <v>5000</v>
      </c>
      <c r="K35" s="43"/>
      <c r="L35" s="41"/>
      <c r="M35" s="42"/>
      <c r="N35" s="43"/>
      <c r="O35" s="41"/>
      <c r="P35" s="42"/>
      <c r="Q35" s="43"/>
    </row>
    <row r="36" spans="1:17" x14ac:dyDescent="0.25">
      <c r="A36" s="364"/>
      <c r="B36" s="367"/>
      <c r="C36" s="41"/>
      <c r="D36" s="42"/>
      <c r="E36" s="43"/>
      <c r="F36" s="41" t="s">
        <v>312</v>
      </c>
      <c r="G36" s="42">
        <v>5000</v>
      </c>
      <c r="H36" s="43"/>
      <c r="I36" s="41" t="s">
        <v>370</v>
      </c>
      <c r="J36" s="42">
        <v>5000</v>
      </c>
      <c r="K36" s="43"/>
      <c r="L36" s="41"/>
      <c r="M36" s="42"/>
      <c r="N36" s="43"/>
      <c r="O36" s="41"/>
      <c r="P36" s="42"/>
      <c r="Q36" s="43"/>
    </row>
    <row r="37" spans="1:17" x14ac:dyDescent="0.25">
      <c r="A37" s="364"/>
      <c r="B37" s="367"/>
      <c r="C37" s="41"/>
      <c r="D37" s="42"/>
      <c r="E37" s="43"/>
      <c r="F37" s="41" t="s">
        <v>455</v>
      </c>
      <c r="G37" s="42">
        <v>5000</v>
      </c>
      <c r="H37" s="43"/>
      <c r="I37" s="41" t="s">
        <v>460</v>
      </c>
      <c r="J37" s="42">
        <v>5000</v>
      </c>
      <c r="K37" s="43"/>
      <c r="L37" s="41"/>
      <c r="M37" s="42"/>
      <c r="N37" s="43"/>
      <c r="O37" s="41"/>
      <c r="P37" s="42"/>
      <c r="Q37" s="43"/>
    </row>
    <row r="38" spans="1:17" x14ac:dyDescent="0.25">
      <c r="A38" s="364"/>
      <c r="B38" s="367"/>
      <c r="C38" s="41"/>
      <c r="D38" s="42"/>
      <c r="E38" s="43"/>
      <c r="F38" s="41" t="s">
        <v>240</v>
      </c>
      <c r="G38" s="42">
        <v>5000</v>
      </c>
      <c r="H38" s="43"/>
      <c r="I38" s="41" t="s">
        <v>461</v>
      </c>
      <c r="J38" s="42">
        <v>5000</v>
      </c>
      <c r="K38" s="43"/>
      <c r="L38" s="41"/>
      <c r="M38" s="42"/>
      <c r="N38" s="43"/>
      <c r="O38" s="41"/>
      <c r="P38" s="42"/>
      <c r="Q38" s="43"/>
    </row>
    <row r="39" spans="1:17" x14ac:dyDescent="0.25">
      <c r="A39" s="364"/>
      <c r="B39" s="367"/>
      <c r="C39" s="41"/>
      <c r="D39" s="42"/>
      <c r="E39" s="43"/>
      <c r="F39" s="41" t="s">
        <v>366</v>
      </c>
      <c r="G39" s="42">
        <v>3000</v>
      </c>
      <c r="H39" s="43"/>
      <c r="I39" s="41" t="s">
        <v>458</v>
      </c>
      <c r="J39" s="42">
        <v>2000</v>
      </c>
      <c r="K39" s="43"/>
      <c r="L39" s="41"/>
      <c r="M39" s="42"/>
      <c r="N39" s="43"/>
      <c r="O39" s="41"/>
      <c r="P39" s="42"/>
      <c r="Q39" s="43"/>
    </row>
    <row r="40" spans="1:17" x14ac:dyDescent="0.25">
      <c r="A40" s="364"/>
      <c r="B40" s="367"/>
      <c r="C40" s="41"/>
      <c r="D40" s="42"/>
      <c r="E40" s="43"/>
      <c r="F40" s="41" t="s">
        <v>454</v>
      </c>
      <c r="G40" s="42">
        <v>3000</v>
      </c>
      <c r="H40" s="43"/>
      <c r="I40" s="41" t="s">
        <v>430</v>
      </c>
      <c r="J40" s="42">
        <v>5000</v>
      </c>
      <c r="K40" s="43"/>
      <c r="L40" s="41"/>
      <c r="M40" s="42"/>
      <c r="N40" s="43"/>
      <c r="O40" s="41"/>
      <c r="P40" s="42"/>
      <c r="Q40" s="43"/>
    </row>
    <row r="41" spans="1:17" x14ac:dyDescent="0.25">
      <c r="A41" s="364"/>
      <c r="B41" s="367"/>
      <c r="C41" s="41"/>
      <c r="D41" s="42"/>
      <c r="E41" s="43"/>
      <c r="F41" s="41" t="s">
        <v>452</v>
      </c>
      <c r="G41" s="42">
        <v>0</v>
      </c>
      <c r="H41" s="43"/>
      <c r="I41" s="41"/>
      <c r="J41" s="42"/>
      <c r="K41" s="43"/>
      <c r="L41" s="41"/>
      <c r="M41" s="42"/>
      <c r="N41" s="43"/>
      <c r="O41" s="41"/>
      <c r="P41" s="42"/>
      <c r="Q41" s="43"/>
    </row>
    <row r="42" spans="1:17" x14ac:dyDescent="0.25">
      <c r="A42" s="364"/>
      <c r="B42" s="367"/>
      <c r="C42" s="41"/>
      <c r="D42" s="42"/>
      <c r="E42" s="43"/>
      <c r="F42" s="41" t="s">
        <v>430</v>
      </c>
      <c r="G42" s="42">
        <v>5000</v>
      </c>
      <c r="H42" s="43"/>
      <c r="I42" s="41"/>
      <c r="J42" s="42"/>
      <c r="K42" s="43"/>
      <c r="L42" s="41"/>
      <c r="M42" s="42"/>
      <c r="N42" s="43"/>
      <c r="O42" s="41"/>
      <c r="P42" s="42"/>
      <c r="Q42" s="43"/>
    </row>
    <row r="43" spans="1:17" x14ac:dyDescent="0.25">
      <c r="A43" s="364"/>
      <c r="B43" s="367"/>
      <c r="C43" s="41"/>
      <c r="D43" s="42"/>
      <c r="E43" s="303" t="s">
        <v>362</v>
      </c>
      <c r="F43" s="41"/>
      <c r="G43" s="42"/>
      <c r="H43" s="303" t="s">
        <v>362</v>
      </c>
      <c r="K43" s="303" t="s">
        <v>362</v>
      </c>
      <c r="L43" s="41"/>
      <c r="M43" s="42"/>
      <c r="N43" s="303" t="s">
        <v>362</v>
      </c>
      <c r="O43" s="300"/>
      <c r="P43" s="301"/>
      <c r="Q43" s="303" t="s">
        <v>362</v>
      </c>
    </row>
    <row r="44" spans="1:17" ht="15" x14ac:dyDescent="0.4">
      <c r="A44" s="364"/>
      <c r="B44" s="367"/>
      <c r="C44" s="219" t="s">
        <v>235</v>
      </c>
      <c r="D44" s="220"/>
      <c r="E44" s="221" t="s">
        <v>363</v>
      </c>
      <c r="F44" s="219" t="s">
        <v>235</v>
      </c>
      <c r="G44" s="220"/>
      <c r="H44" s="221" t="s">
        <v>363</v>
      </c>
      <c r="I44" s="219" t="s">
        <v>235</v>
      </c>
      <c r="J44" s="220"/>
      <c r="K44" s="221" t="s">
        <v>363</v>
      </c>
      <c r="L44" s="219" t="s">
        <v>235</v>
      </c>
      <c r="M44" s="220"/>
      <c r="N44" s="221" t="s">
        <v>363</v>
      </c>
      <c r="O44" s="219" t="s">
        <v>235</v>
      </c>
      <c r="P44" s="302" t="s">
        <v>234</v>
      </c>
      <c r="Q44" s="221" t="s">
        <v>363</v>
      </c>
    </row>
    <row r="45" spans="1:17" x14ac:dyDescent="0.25">
      <c r="A45" s="365"/>
      <c r="B45" s="368"/>
      <c r="C45" s="222">
        <f>14164+8697</f>
        <v>22861</v>
      </c>
      <c r="D45" s="222">
        <f>SUM(D32:D44)</f>
        <v>21000</v>
      </c>
      <c r="E45" s="299">
        <f>+D45-C45</f>
        <v>-1861</v>
      </c>
      <c r="F45" s="222">
        <f>18664+9697</f>
        <v>28361</v>
      </c>
      <c r="G45" s="222">
        <f>SUM(G32:G44)</f>
        <v>93000</v>
      </c>
      <c r="H45" s="299">
        <f>+G45-F45</f>
        <v>64639</v>
      </c>
      <c r="I45" s="222">
        <f>18664+9697</f>
        <v>28361</v>
      </c>
      <c r="J45" s="222">
        <f>SUM(J32:J44)</f>
        <v>47000</v>
      </c>
      <c r="K45" s="299">
        <f>+J45-I45</f>
        <v>18639</v>
      </c>
      <c r="L45" s="222">
        <f>(14164*1.35)+(2697*1.35)</f>
        <v>22762.350000000002</v>
      </c>
      <c r="M45" s="222">
        <f>SUM(M32:M44)</f>
        <v>21000</v>
      </c>
      <c r="N45" s="299">
        <f>+M45-L45</f>
        <v>-1762.3500000000022</v>
      </c>
      <c r="O45" s="222">
        <f>L45+I45+F45+C45</f>
        <v>102345.35</v>
      </c>
      <c r="P45" s="222">
        <f>M45+J45+G45+D45</f>
        <v>182000</v>
      </c>
      <c r="Q45" s="299">
        <f>+P45-O45</f>
        <v>79654.649999999994</v>
      </c>
    </row>
    <row r="46" spans="1:17" ht="15" x14ac:dyDescent="0.4">
      <c r="A46" s="363" t="s">
        <v>232</v>
      </c>
      <c r="B46" s="366" t="s">
        <v>241</v>
      </c>
      <c r="C46" s="215" t="s">
        <v>233</v>
      </c>
      <c r="D46" s="216" t="s">
        <v>234</v>
      </c>
      <c r="E46" s="217"/>
      <c r="F46" s="215" t="s">
        <v>233</v>
      </c>
      <c r="G46" s="216" t="s">
        <v>234</v>
      </c>
      <c r="H46" s="217"/>
      <c r="I46" s="215" t="s">
        <v>233</v>
      </c>
      <c r="J46" s="216" t="s">
        <v>234</v>
      </c>
      <c r="K46" s="217"/>
      <c r="L46" s="215" t="s">
        <v>233</v>
      </c>
      <c r="M46" s="216" t="s">
        <v>234</v>
      </c>
      <c r="N46" s="217"/>
      <c r="O46" s="215"/>
      <c r="P46" s="216"/>
      <c r="Q46" s="217"/>
    </row>
    <row r="47" spans="1:17" ht="15" x14ac:dyDescent="0.4">
      <c r="A47" s="364"/>
      <c r="B47" s="367"/>
      <c r="C47" s="255" t="s">
        <v>249</v>
      </c>
      <c r="D47" s="257">
        <v>5000</v>
      </c>
      <c r="E47" s="221"/>
      <c r="F47" s="44"/>
      <c r="G47" s="44"/>
      <c r="H47" s="221"/>
      <c r="I47" s="255" t="s">
        <v>329</v>
      </c>
      <c r="J47" s="257">
        <v>5000</v>
      </c>
      <c r="K47" s="221"/>
      <c r="L47" s="255"/>
      <c r="M47" s="257"/>
      <c r="N47" s="258"/>
      <c r="O47" s="219"/>
      <c r="P47" s="220"/>
      <c r="Q47" s="221"/>
    </row>
    <row r="48" spans="1:17" ht="15" x14ac:dyDescent="0.4">
      <c r="A48" s="364"/>
      <c r="B48" s="367"/>
      <c r="C48" s="255" t="s">
        <v>328</v>
      </c>
      <c r="D48" s="257">
        <v>0</v>
      </c>
      <c r="E48" s="221"/>
      <c r="F48" s="255"/>
      <c r="G48" s="257"/>
      <c r="H48" s="221"/>
      <c r="I48" s="255" t="s">
        <v>333</v>
      </c>
      <c r="J48" s="257">
        <v>0</v>
      </c>
      <c r="K48" s="221"/>
      <c r="L48" s="255"/>
      <c r="M48" s="257"/>
      <c r="N48" s="258"/>
      <c r="O48" s="219"/>
      <c r="P48" s="220"/>
      <c r="Q48" s="221"/>
    </row>
    <row r="49" spans="1:17" ht="15" x14ac:dyDescent="0.4">
      <c r="A49" s="364"/>
      <c r="B49" s="367"/>
      <c r="C49" s="255"/>
      <c r="D49" s="257"/>
      <c r="E49" s="221"/>
      <c r="F49" s="255"/>
      <c r="G49" s="257"/>
      <c r="H49" s="221"/>
      <c r="I49" s="255" t="s">
        <v>464</v>
      </c>
      <c r="J49" s="257">
        <v>0</v>
      </c>
      <c r="K49" s="221"/>
      <c r="L49" s="255"/>
      <c r="M49" s="257"/>
      <c r="N49" s="258"/>
      <c r="O49" s="219"/>
      <c r="P49" s="220"/>
      <c r="Q49" s="221"/>
    </row>
    <row r="50" spans="1:17" ht="15" x14ac:dyDescent="0.4">
      <c r="A50" s="364"/>
      <c r="B50" s="367"/>
      <c r="C50" s="255"/>
      <c r="D50" s="254"/>
      <c r="E50" s="221"/>
      <c r="F50" s="255"/>
      <c r="G50" s="257"/>
      <c r="H50" s="221"/>
      <c r="I50" s="255" t="s">
        <v>334</v>
      </c>
      <c r="J50" s="257">
        <v>0</v>
      </c>
      <c r="K50" s="221"/>
      <c r="L50" s="255"/>
      <c r="M50" s="257"/>
      <c r="N50" s="258"/>
      <c r="O50" s="219"/>
      <c r="P50" s="220"/>
      <c r="Q50" s="221"/>
    </row>
    <row r="51" spans="1:17" x14ac:dyDescent="0.25">
      <c r="A51" s="364"/>
      <c r="B51" s="367"/>
      <c r="C51" s="255"/>
      <c r="D51" s="257"/>
      <c r="E51" s="43"/>
      <c r="F51" s="255"/>
      <c r="G51" s="257"/>
      <c r="H51" s="43"/>
      <c r="I51" s="255" t="s">
        <v>332</v>
      </c>
      <c r="J51" s="257">
        <v>0</v>
      </c>
      <c r="K51" s="43"/>
      <c r="L51" s="255"/>
      <c r="M51" s="257"/>
      <c r="N51" s="258"/>
      <c r="O51" s="41"/>
      <c r="P51" s="42"/>
      <c r="Q51" s="43"/>
    </row>
    <row r="52" spans="1:17" x14ac:dyDescent="0.25">
      <c r="A52" s="364"/>
      <c r="B52" s="367"/>
      <c r="C52" s="255"/>
      <c r="D52" s="257"/>
      <c r="E52" s="43"/>
      <c r="F52" s="255"/>
      <c r="G52" s="254"/>
      <c r="H52" s="43"/>
      <c r="I52" s="255" t="s">
        <v>465</v>
      </c>
      <c r="J52" s="257">
        <v>0</v>
      </c>
      <c r="K52" s="43"/>
      <c r="L52" s="255"/>
      <c r="M52" s="257"/>
      <c r="N52" s="258"/>
      <c r="O52" s="41"/>
      <c r="P52" s="42"/>
      <c r="Q52" s="43"/>
    </row>
    <row r="53" spans="1:17" x14ac:dyDescent="0.25">
      <c r="A53" s="364"/>
      <c r="B53" s="367"/>
      <c r="C53" s="257"/>
      <c r="D53" s="257"/>
      <c r="E53" s="43"/>
      <c r="F53" s="255"/>
      <c r="G53" s="254"/>
      <c r="H53" s="43"/>
      <c r="I53" s="255" t="s">
        <v>331</v>
      </c>
      <c r="J53" s="257">
        <v>0</v>
      </c>
      <c r="K53" s="43"/>
      <c r="L53" s="255"/>
      <c r="M53" s="257"/>
      <c r="N53" s="258"/>
      <c r="O53" s="41"/>
      <c r="P53" s="42"/>
      <c r="Q53" s="43"/>
    </row>
    <row r="54" spans="1:17" x14ac:dyDescent="0.25">
      <c r="A54" s="364"/>
      <c r="B54" s="367"/>
      <c r="C54" s="257"/>
      <c r="D54" s="257"/>
      <c r="E54" s="43"/>
      <c r="F54" s="255"/>
      <c r="G54" s="254"/>
      <c r="H54" s="43"/>
      <c r="I54" s="255" t="s">
        <v>330</v>
      </c>
      <c r="J54" s="257">
        <v>0</v>
      </c>
      <c r="K54" s="43"/>
      <c r="L54" s="255"/>
      <c r="M54" s="257"/>
      <c r="N54" s="258"/>
      <c r="O54" s="41"/>
      <c r="P54" s="42"/>
      <c r="Q54" s="43"/>
    </row>
    <row r="55" spans="1:17" x14ac:dyDescent="0.25">
      <c r="A55" s="364"/>
      <c r="B55" s="367"/>
      <c r="E55" s="43"/>
      <c r="F55" s="255"/>
      <c r="G55" s="254"/>
      <c r="H55" s="43"/>
      <c r="I55" s="255" t="s">
        <v>466</v>
      </c>
      <c r="J55" s="257">
        <v>0</v>
      </c>
      <c r="K55" s="43"/>
      <c r="L55" s="255"/>
      <c r="M55" s="257"/>
      <c r="N55" s="258"/>
      <c r="O55" s="41"/>
      <c r="P55" s="42"/>
      <c r="Q55" s="43"/>
    </row>
    <row r="56" spans="1:17" x14ac:dyDescent="0.25">
      <c r="A56" s="364"/>
      <c r="B56" s="367"/>
      <c r="C56" s="41"/>
      <c r="D56" s="42"/>
      <c r="E56" s="303" t="s">
        <v>362</v>
      </c>
      <c r="F56" s="41"/>
      <c r="G56" s="42"/>
      <c r="H56" s="303" t="s">
        <v>362</v>
      </c>
      <c r="K56" s="303" t="s">
        <v>362</v>
      </c>
      <c r="L56" s="41"/>
      <c r="M56" s="42"/>
      <c r="N56" s="303" t="s">
        <v>362</v>
      </c>
      <c r="O56" s="300"/>
      <c r="P56" s="301"/>
      <c r="Q56" s="303" t="s">
        <v>362</v>
      </c>
    </row>
    <row r="57" spans="1:17" ht="15" x14ac:dyDescent="0.4">
      <c r="A57" s="364"/>
      <c r="B57" s="367"/>
      <c r="C57" s="219" t="s">
        <v>235</v>
      </c>
      <c r="D57" s="220"/>
      <c r="E57" s="221" t="s">
        <v>363</v>
      </c>
      <c r="F57" s="219" t="s">
        <v>235</v>
      </c>
      <c r="G57" s="220"/>
      <c r="H57" s="221" t="s">
        <v>363</v>
      </c>
      <c r="I57" s="219" t="s">
        <v>235</v>
      </c>
      <c r="J57" s="220"/>
      <c r="K57" s="221" t="s">
        <v>363</v>
      </c>
      <c r="L57" s="219" t="s">
        <v>235</v>
      </c>
      <c r="M57" s="220"/>
      <c r="N57" s="221" t="s">
        <v>363</v>
      </c>
      <c r="O57" s="219" t="s">
        <v>235</v>
      </c>
      <c r="P57" s="302" t="s">
        <v>234</v>
      </c>
      <c r="Q57" s="221" t="s">
        <v>363</v>
      </c>
    </row>
    <row r="58" spans="1:17" x14ac:dyDescent="0.25">
      <c r="A58" s="365"/>
      <c r="B58" s="368"/>
      <c r="C58" s="222">
        <v>6477</v>
      </c>
      <c r="D58" s="222">
        <f>SUM(D47:D57)</f>
        <v>5000</v>
      </c>
      <c r="E58" s="299">
        <f>+D58-C58</f>
        <v>-1477</v>
      </c>
      <c r="F58" s="222">
        <v>6477</v>
      </c>
      <c r="G58" s="222">
        <f>SUM(G47:G57)</f>
        <v>0</v>
      </c>
      <c r="H58" s="299">
        <f>+G58-F58</f>
        <v>-6477</v>
      </c>
      <c r="I58" s="222">
        <v>6477</v>
      </c>
      <c r="J58" s="222">
        <f>SUM(J47:J57)</f>
        <v>5000</v>
      </c>
      <c r="K58" s="299">
        <f>+J58-I58</f>
        <v>-1477</v>
      </c>
      <c r="L58" s="222">
        <f>6477*1.35</f>
        <v>8743.9500000000007</v>
      </c>
      <c r="M58" s="222">
        <f>SUM(M47:M57)</f>
        <v>0</v>
      </c>
      <c r="N58" s="299">
        <f>+M58-L58</f>
        <v>-8743.9500000000007</v>
      </c>
      <c r="O58" s="222">
        <f>L58+I58+F58+C58</f>
        <v>28174.95</v>
      </c>
      <c r="P58" s="222">
        <f>M58+J58+G58+D58</f>
        <v>10000</v>
      </c>
      <c r="Q58" s="299">
        <f>+P58-O58</f>
        <v>-18174.95</v>
      </c>
    </row>
    <row r="59" spans="1:17" ht="15" x14ac:dyDescent="0.4">
      <c r="A59" s="363" t="s">
        <v>242</v>
      </c>
      <c r="B59" s="366" t="s">
        <v>243</v>
      </c>
      <c r="C59" s="215" t="s">
        <v>233</v>
      </c>
      <c r="D59" s="216" t="s">
        <v>234</v>
      </c>
      <c r="E59" s="217"/>
      <c r="F59" s="215" t="s">
        <v>233</v>
      </c>
      <c r="G59" s="216" t="s">
        <v>234</v>
      </c>
      <c r="H59" s="217"/>
      <c r="I59" s="215" t="s">
        <v>233</v>
      </c>
      <c r="J59" s="216" t="s">
        <v>234</v>
      </c>
      <c r="K59" s="217"/>
      <c r="L59" s="215" t="s">
        <v>233</v>
      </c>
      <c r="M59" s="216" t="s">
        <v>234</v>
      </c>
      <c r="N59" s="217"/>
      <c r="O59" s="215"/>
      <c r="P59" s="216"/>
      <c r="Q59" s="217"/>
    </row>
    <row r="60" spans="1:17" x14ac:dyDescent="0.25">
      <c r="A60" s="364"/>
      <c r="B60" s="367"/>
      <c r="C60" s="41" t="s">
        <v>268</v>
      </c>
      <c r="D60" s="42">
        <v>1000</v>
      </c>
      <c r="E60" s="43"/>
      <c r="F60" s="41"/>
      <c r="G60" s="42"/>
      <c r="H60" s="43"/>
      <c r="I60" s="41"/>
      <c r="J60" s="42"/>
      <c r="K60" s="43"/>
      <c r="L60" s="41"/>
      <c r="M60" s="42"/>
      <c r="N60" s="43"/>
      <c r="O60" s="41"/>
      <c r="P60" s="42"/>
      <c r="Q60" s="43"/>
    </row>
    <row r="61" spans="1:17" x14ac:dyDescent="0.25">
      <c r="A61" s="364"/>
      <c r="B61" s="367"/>
      <c r="C61" s="41" t="s">
        <v>294</v>
      </c>
      <c r="D61" s="254">
        <v>0</v>
      </c>
      <c r="E61" s="43"/>
      <c r="F61" s="41"/>
      <c r="G61" s="42"/>
      <c r="H61" s="43"/>
      <c r="I61" s="41"/>
      <c r="J61" s="42"/>
      <c r="K61" s="43"/>
      <c r="L61" s="41"/>
      <c r="M61" s="42"/>
      <c r="N61" s="43"/>
      <c r="O61" s="41"/>
      <c r="P61" s="42"/>
      <c r="Q61" s="43"/>
    </row>
    <row r="62" spans="1:17" x14ac:dyDescent="0.25">
      <c r="A62" s="364"/>
      <c r="B62" s="367"/>
      <c r="C62" s="41" t="s">
        <v>295</v>
      </c>
      <c r="D62" s="254">
        <v>0</v>
      </c>
      <c r="E62" s="43"/>
      <c r="F62" s="41"/>
      <c r="G62" s="42"/>
      <c r="H62" s="43"/>
      <c r="I62" s="41"/>
      <c r="J62" s="42"/>
      <c r="K62" s="43"/>
      <c r="L62" s="41"/>
      <c r="M62" s="42"/>
      <c r="N62" s="43"/>
      <c r="O62" s="41"/>
      <c r="P62" s="42"/>
      <c r="Q62" s="43"/>
    </row>
    <row r="63" spans="1:17" x14ac:dyDescent="0.25">
      <c r="A63" s="364"/>
      <c r="B63" s="367"/>
      <c r="C63" s="41" t="s">
        <v>296</v>
      </c>
      <c r="D63" s="254">
        <v>0</v>
      </c>
      <c r="E63" s="43"/>
      <c r="F63" s="41"/>
      <c r="G63" s="42"/>
      <c r="H63" s="43"/>
      <c r="I63" s="41"/>
      <c r="J63" s="42"/>
      <c r="K63" s="43"/>
      <c r="L63" s="41"/>
      <c r="M63" s="42"/>
      <c r="N63" s="43"/>
      <c r="O63" s="41"/>
      <c r="P63" s="42"/>
      <c r="Q63" s="43"/>
    </row>
    <row r="64" spans="1:17" x14ac:dyDescent="0.25">
      <c r="A64" s="364"/>
      <c r="B64" s="367"/>
      <c r="C64" s="41" t="s">
        <v>297</v>
      </c>
      <c r="D64" s="254">
        <v>0</v>
      </c>
      <c r="E64" s="43"/>
      <c r="F64" s="41"/>
      <c r="G64" s="42"/>
      <c r="H64" s="43"/>
      <c r="I64" s="41"/>
      <c r="J64" s="42"/>
      <c r="K64" s="43"/>
      <c r="L64" s="41"/>
      <c r="M64" s="42"/>
      <c r="N64" s="43"/>
      <c r="O64" s="300"/>
      <c r="P64" s="301"/>
      <c r="Q64" s="303"/>
    </row>
    <row r="65" spans="1:17" x14ac:dyDescent="0.25">
      <c r="A65" s="364"/>
      <c r="B65" s="367"/>
      <c r="C65" s="41"/>
      <c r="D65" s="42"/>
      <c r="E65" s="303" t="s">
        <v>362</v>
      </c>
      <c r="F65" s="41"/>
      <c r="G65" s="42"/>
      <c r="H65" s="303" t="s">
        <v>362</v>
      </c>
      <c r="K65" s="303" t="s">
        <v>362</v>
      </c>
      <c r="L65" s="41"/>
      <c r="M65" s="42"/>
      <c r="N65" s="303" t="s">
        <v>362</v>
      </c>
      <c r="O65" s="300"/>
      <c r="P65" s="301"/>
      <c r="Q65" s="303" t="s">
        <v>362</v>
      </c>
    </row>
    <row r="66" spans="1:17" ht="15" x14ac:dyDescent="0.4">
      <c r="A66" s="364"/>
      <c r="B66" s="367"/>
      <c r="C66" s="219" t="s">
        <v>235</v>
      </c>
      <c r="D66" s="220"/>
      <c r="E66" s="221" t="s">
        <v>363</v>
      </c>
      <c r="F66" s="219" t="s">
        <v>235</v>
      </c>
      <c r="G66" s="220"/>
      <c r="H66" s="221" t="s">
        <v>363</v>
      </c>
      <c r="I66" s="219" t="s">
        <v>235</v>
      </c>
      <c r="J66" s="220"/>
      <c r="K66" s="221" t="s">
        <v>363</v>
      </c>
      <c r="L66" s="219" t="s">
        <v>235</v>
      </c>
      <c r="M66" s="220"/>
      <c r="N66" s="221" t="s">
        <v>363</v>
      </c>
      <c r="O66" s="219" t="s">
        <v>235</v>
      </c>
      <c r="P66" s="302" t="s">
        <v>234</v>
      </c>
      <c r="Q66" s="221" t="s">
        <v>363</v>
      </c>
    </row>
    <row r="67" spans="1:17" x14ac:dyDescent="0.25">
      <c r="A67" s="365"/>
      <c r="B67" s="368"/>
      <c r="C67" s="222">
        <v>7712</v>
      </c>
      <c r="D67" s="222">
        <f>SUM(D60:D66)</f>
        <v>1000</v>
      </c>
      <c r="E67" s="299">
        <f>+D67-C67</f>
        <v>-6712</v>
      </c>
      <c r="F67" s="222">
        <v>7712</v>
      </c>
      <c r="G67" s="222">
        <f>SUM(G60:G66)</f>
        <v>0</v>
      </c>
      <c r="H67" s="299">
        <f>+G67-F67</f>
        <v>-7712</v>
      </c>
      <c r="I67" s="222">
        <v>7712</v>
      </c>
      <c r="J67" s="222">
        <f>SUM(J60:J66)</f>
        <v>0</v>
      </c>
      <c r="K67" s="299">
        <f>+J67-I67</f>
        <v>-7712</v>
      </c>
      <c r="L67" s="222">
        <f>7712*1.35</f>
        <v>10411.200000000001</v>
      </c>
      <c r="M67" s="222">
        <f>SUM(M60:M66)</f>
        <v>0</v>
      </c>
      <c r="N67" s="299">
        <f>+M67-L67</f>
        <v>-10411.200000000001</v>
      </c>
      <c r="O67" s="222">
        <f>L67+I67+F67+C67</f>
        <v>33547.199999999997</v>
      </c>
      <c r="P67" s="222">
        <f>M67+J67+G67+D67</f>
        <v>1000</v>
      </c>
      <c r="Q67" s="299">
        <f>+P67-O67</f>
        <v>-32547.199999999997</v>
      </c>
    </row>
    <row r="68" spans="1:17" ht="15" x14ac:dyDescent="0.4">
      <c r="A68" s="363"/>
      <c r="B68" s="366" t="s">
        <v>0</v>
      </c>
      <c r="C68" s="215" t="s">
        <v>233</v>
      </c>
      <c r="D68" s="216" t="s">
        <v>234</v>
      </c>
      <c r="E68" s="217"/>
      <c r="F68" s="215" t="s">
        <v>233</v>
      </c>
      <c r="G68" s="216" t="s">
        <v>234</v>
      </c>
      <c r="H68" s="217"/>
      <c r="I68" s="215" t="s">
        <v>233</v>
      </c>
      <c r="J68" s="216" t="s">
        <v>234</v>
      </c>
      <c r="K68" s="217"/>
      <c r="L68" s="215" t="s">
        <v>233</v>
      </c>
      <c r="M68" s="216" t="s">
        <v>234</v>
      </c>
      <c r="N68" s="217"/>
      <c r="O68" s="215"/>
      <c r="P68" s="216"/>
      <c r="Q68" s="217"/>
    </row>
    <row r="69" spans="1:17" x14ac:dyDescent="0.25">
      <c r="A69" s="364"/>
      <c r="B69" s="367"/>
      <c r="C69" s="41" t="s">
        <v>142</v>
      </c>
      <c r="D69" s="42">
        <v>850</v>
      </c>
      <c r="E69" s="43"/>
      <c r="F69" s="41"/>
      <c r="G69" s="42"/>
      <c r="H69" s="43"/>
      <c r="I69" s="41" t="s">
        <v>431</v>
      </c>
      <c r="J69" s="42">
        <v>30000</v>
      </c>
      <c r="K69" s="43"/>
      <c r="L69" s="41"/>
      <c r="M69" s="42"/>
      <c r="N69" s="43"/>
      <c r="O69" s="41"/>
      <c r="P69" s="42"/>
      <c r="Q69" s="43"/>
    </row>
    <row r="70" spans="1:17" x14ac:dyDescent="0.25">
      <c r="A70" s="364"/>
      <c r="B70" s="367"/>
      <c r="C70" s="41"/>
      <c r="D70" s="42"/>
      <c r="E70" s="43"/>
      <c r="F70" s="41"/>
      <c r="G70" s="42"/>
      <c r="H70" s="43"/>
      <c r="I70" s="41" t="s">
        <v>432</v>
      </c>
      <c r="J70" s="42">
        <v>0</v>
      </c>
      <c r="K70" s="43"/>
      <c r="L70" s="41"/>
      <c r="M70" s="42"/>
      <c r="N70" s="43"/>
      <c r="O70" s="41"/>
      <c r="P70" s="42"/>
      <c r="Q70" s="43"/>
    </row>
    <row r="71" spans="1:17" x14ac:dyDescent="0.25">
      <c r="A71" s="364"/>
      <c r="B71" s="367"/>
      <c r="C71" s="41"/>
      <c r="D71" s="42"/>
      <c r="E71" s="43"/>
      <c r="F71" s="41"/>
      <c r="G71" s="42"/>
      <c r="H71" s="43"/>
      <c r="I71" s="41" t="s">
        <v>433</v>
      </c>
      <c r="J71" s="42">
        <v>0</v>
      </c>
      <c r="K71" s="43"/>
      <c r="L71" s="41"/>
      <c r="M71" s="42"/>
      <c r="N71" s="43"/>
      <c r="O71" s="41"/>
      <c r="P71" s="42"/>
      <c r="Q71" s="43"/>
    </row>
    <row r="72" spans="1:17" x14ac:dyDescent="0.25">
      <c r="A72" s="364"/>
      <c r="B72" s="367"/>
      <c r="C72" s="41"/>
      <c r="D72" s="42"/>
      <c r="E72" s="303" t="s">
        <v>362</v>
      </c>
      <c r="F72" s="41"/>
      <c r="G72" s="42"/>
      <c r="H72" s="303" t="s">
        <v>362</v>
      </c>
      <c r="K72" s="303" t="s">
        <v>362</v>
      </c>
      <c r="L72" s="41"/>
      <c r="M72" s="42"/>
      <c r="N72" s="303" t="s">
        <v>362</v>
      </c>
      <c r="O72" s="300"/>
      <c r="P72" s="301"/>
      <c r="Q72" s="303" t="s">
        <v>362</v>
      </c>
    </row>
    <row r="73" spans="1:17" ht="15" x14ac:dyDescent="0.4">
      <c r="A73" s="364"/>
      <c r="B73" s="367"/>
      <c r="C73" s="219" t="s">
        <v>235</v>
      </c>
      <c r="D73" s="220"/>
      <c r="E73" s="221" t="s">
        <v>363</v>
      </c>
      <c r="F73" s="219" t="s">
        <v>235</v>
      </c>
      <c r="G73" s="220"/>
      <c r="H73" s="221" t="s">
        <v>363</v>
      </c>
      <c r="I73" s="219" t="s">
        <v>235</v>
      </c>
      <c r="J73" s="220"/>
      <c r="K73" s="221" t="s">
        <v>363</v>
      </c>
      <c r="L73" s="219" t="s">
        <v>235</v>
      </c>
      <c r="M73" s="220"/>
      <c r="N73" s="221" t="s">
        <v>363</v>
      </c>
      <c r="O73" s="219" t="s">
        <v>235</v>
      </c>
      <c r="P73" s="302" t="s">
        <v>234</v>
      </c>
      <c r="Q73" s="221" t="s">
        <v>363</v>
      </c>
    </row>
    <row r="74" spans="1:17" x14ac:dyDescent="0.25">
      <c r="A74" s="365"/>
      <c r="B74" s="368"/>
      <c r="C74" s="222">
        <v>4656</v>
      </c>
      <c r="D74" s="222">
        <f>SUM(D69:D73)</f>
        <v>850</v>
      </c>
      <c r="E74" s="299">
        <f>+D74-C74</f>
        <v>-3806</v>
      </c>
      <c r="F74" s="222">
        <v>4656</v>
      </c>
      <c r="G74" s="222">
        <f>SUM(G69:G73)</f>
        <v>0</v>
      </c>
      <c r="H74" s="299">
        <f>+G74-F74</f>
        <v>-4656</v>
      </c>
      <c r="I74" s="222">
        <v>4656</v>
      </c>
      <c r="J74" s="222">
        <f>SUM(J69:J73)</f>
        <v>30000</v>
      </c>
      <c r="K74" s="299">
        <f>+J74-I74</f>
        <v>25344</v>
      </c>
      <c r="L74" s="222">
        <f>4656*1.35</f>
        <v>6285.6</v>
      </c>
      <c r="M74" s="222">
        <f>SUM(M69:M73)</f>
        <v>0</v>
      </c>
      <c r="N74" s="299">
        <f>+M74-L74</f>
        <v>-6285.6</v>
      </c>
      <c r="O74" s="222">
        <f>L74+I74+F74+C74</f>
        <v>20253.599999999999</v>
      </c>
      <c r="P74" s="222">
        <f>M74+J74+G74+D74</f>
        <v>30850</v>
      </c>
      <c r="Q74" s="299">
        <f>+P74-O74</f>
        <v>10596.400000000001</v>
      </c>
    </row>
    <row r="75" spans="1:17" ht="15" x14ac:dyDescent="0.4">
      <c r="A75" s="363" t="s">
        <v>244</v>
      </c>
      <c r="B75" s="366" t="s">
        <v>245</v>
      </c>
      <c r="C75" s="215" t="s">
        <v>233</v>
      </c>
      <c r="D75" s="216" t="s">
        <v>234</v>
      </c>
      <c r="E75" s="217"/>
      <c r="F75" s="215" t="s">
        <v>233</v>
      </c>
      <c r="G75" s="216" t="s">
        <v>234</v>
      </c>
      <c r="H75" s="217"/>
      <c r="I75" s="215" t="s">
        <v>233</v>
      </c>
      <c r="J75" s="216" t="s">
        <v>234</v>
      </c>
      <c r="K75" s="217"/>
      <c r="L75" s="215" t="s">
        <v>233</v>
      </c>
      <c r="M75" s="216" t="s">
        <v>234</v>
      </c>
      <c r="N75" s="217"/>
      <c r="O75" s="215"/>
      <c r="P75" s="216"/>
      <c r="Q75" s="217"/>
    </row>
    <row r="76" spans="1:17" x14ac:dyDescent="0.25">
      <c r="A76" s="364"/>
      <c r="B76" s="367"/>
      <c r="C76" s="41" t="s">
        <v>434</v>
      </c>
      <c r="D76" s="42">
        <v>20000</v>
      </c>
      <c r="E76" s="43"/>
      <c r="F76" s="41" t="s">
        <v>248</v>
      </c>
      <c r="G76" s="42">
        <v>10000</v>
      </c>
      <c r="H76" s="43"/>
      <c r="I76" s="41" t="s">
        <v>441</v>
      </c>
      <c r="J76" s="42">
        <v>30000</v>
      </c>
      <c r="K76" s="43"/>
      <c r="L76" s="41" t="s">
        <v>247</v>
      </c>
      <c r="M76" s="42">
        <v>10000</v>
      </c>
      <c r="N76" s="43"/>
      <c r="O76" s="41"/>
      <c r="P76" s="42"/>
      <c r="Q76" s="43"/>
    </row>
    <row r="77" spans="1:17" x14ac:dyDescent="0.25">
      <c r="A77" s="364"/>
      <c r="B77" s="367"/>
      <c r="C77" s="41" t="s">
        <v>435</v>
      </c>
      <c r="D77" s="42">
        <v>2500</v>
      </c>
      <c r="E77" s="43"/>
      <c r="F77" s="41" t="s">
        <v>251</v>
      </c>
      <c r="G77" s="42">
        <v>9000</v>
      </c>
      <c r="H77" s="43"/>
      <c r="I77" s="41" t="s">
        <v>246</v>
      </c>
      <c r="J77" s="42">
        <v>20000</v>
      </c>
      <c r="K77" s="43"/>
      <c r="L77" s="41" t="s">
        <v>250</v>
      </c>
      <c r="M77" s="42">
        <v>7500</v>
      </c>
      <c r="N77" s="43"/>
      <c r="O77" s="41"/>
      <c r="P77" s="42"/>
      <c r="Q77" s="43"/>
    </row>
    <row r="78" spans="1:17" x14ac:dyDescent="0.25">
      <c r="A78" s="364"/>
      <c r="B78" s="367"/>
      <c r="C78" s="41"/>
      <c r="D78" s="42"/>
      <c r="E78" s="43"/>
      <c r="F78" s="41" t="s">
        <v>253</v>
      </c>
      <c r="G78" s="42">
        <v>5000</v>
      </c>
      <c r="H78" s="43"/>
      <c r="I78" s="41" t="s">
        <v>249</v>
      </c>
      <c r="J78" s="42">
        <v>15000</v>
      </c>
      <c r="K78" s="43"/>
      <c r="L78" s="41" t="s">
        <v>252</v>
      </c>
      <c r="M78" s="42">
        <v>5000</v>
      </c>
      <c r="N78" s="43"/>
      <c r="O78" s="41"/>
      <c r="P78" s="42"/>
      <c r="Q78" s="43"/>
    </row>
    <row r="79" spans="1:17" x14ac:dyDescent="0.25">
      <c r="A79" s="364"/>
      <c r="B79" s="367"/>
      <c r="C79" s="41"/>
      <c r="D79" s="42"/>
      <c r="E79" s="43"/>
      <c r="F79" s="41" t="s">
        <v>254</v>
      </c>
      <c r="G79" s="254">
        <v>0</v>
      </c>
      <c r="H79" s="43"/>
      <c r="I79" s="41" t="s">
        <v>220</v>
      </c>
      <c r="J79" s="42">
        <v>7500</v>
      </c>
      <c r="K79" s="43"/>
      <c r="L79" s="41"/>
      <c r="M79" s="42"/>
      <c r="N79" s="43"/>
      <c r="O79" s="41"/>
      <c r="P79" s="42"/>
      <c r="Q79" s="43"/>
    </row>
    <row r="80" spans="1:17" x14ac:dyDescent="0.25">
      <c r="A80" s="364"/>
      <c r="B80" s="367"/>
      <c r="C80" s="41"/>
      <c r="D80" s="42"/>
      <c r="E80" s="43"/>
      <c r="F80" s="41"/>
      <c r="G80" s="254"/>
      <c r="H80" s="43"/>
      <c r="I80" s="41" t="s">
        <v>293</v>
      </c>
      <c r="J80" s="42">
        <v>5000</v>
      </c>
      <c r="K80" s="43"/>
      <c r="L80" s="41"/>
      <c r="M80" s="42"/>
      <c r="N80" s="43"/>
      <c r="O80" s="41"/>
      <c r="P80" s="42"/>
      <c r="Q80" s="43"/>
    </row>
    <row r="81" spans="1:17" x14ac:dyDescent="0.25">
      <c r="A81" s="364"/>
      <c r="B81" s="367"/>
      <c r="C81" s="41"/>
      <c r="D81" s="42"/>
      <c r="E81" s="303" t="s">
        <v>362</v>
      </c>
      <c r="F81" s="41"/>
      <c r="G81" s="42"/>
      <c r="H81" s="303" t="s">
        <v>362</v>
      </c>
      <c r="K81" s="303" t="s">
        <v>362</v>
      </c>
      <c r="L81" s="41"/>
      <c r="M81" s="42"/>
      <c r="N81" s="303" t="s">
        <v>362</v>
      </c>
      <c r="O81" s="300"/>
      <c r="P81" s="301"/>
      <c r="Q81" s="303" t="s">
        <v>362</v>
      </c>
    </row>
    <row r="82" spans="1:17" ht="15" x14ac:dyDescent="0.4">
      <c r="A82" s="364"/>
      <c r="B82" s="367"/>
      <c r="C82" s="219" t="s">
        <v>235</v>
      </c>
      <c r="D82" s="220"/>
      <c r="E82" s="221" t="s">
        <v>363</v>
      </c>
      <c r="F82" s="219" t="s">
        <v>235</v>
      </c>
      <c r="G82" s="220"/>
      <c r="H82" s="221" t="s">
        <v>363</v>
      </c>
      <c r="I82" s="219" t="s">
        <v>235</v>
      </c>
      <c r="J82" s="220"/>
      <c r="K82" s="221" t="s">
        <v>363</v>
      </c>
      <c r="L82" s="219" t="s">
        <v>235</v>
      </c>
      <c r="M82" s="220"/>
      <c r="N82" s="221" t="s">
        <v>363</v>
      </c>
      <c r="O82" s="219" t="s">
        <v>235</v>
      </c>
      <c r="P82" s="302" t="s">
        <v>234</v>
      </c>
      <c r="Q82" s="221" t="s">
        <v>363</v>
      </c>
    </row>
    <row r="83" spans="1:17" ht="12" customHeight="1" x14ac:dyDescent="0.25">
      <c r="A83" s="365"/>
      <c r="B83" s="368"/>
      <c r="C83" s="222">
        <v>12234</v>
      </c>
      <c r="D83" s="222">
        <f>SUM(D76:D82)</f>
        <v>22500</v>
      </c>
      <c r="E83" s="299">
        <f>+D83-C83</f>
        <v>10266</v>
      </c>
      <c r="F83" s="222">
        <v>12235</v>
      </c>
      <c r="G83" s="222">
        <f>SUM(G76:G81)</f>
        <v>24000</v>
      </c>
      <c r="H83" s="299">
        <f>+G83-F83</f>
        <v>11765</v>
      </c>
      <c r="I83" s="222">
        <v>12236</v>
      </c>
      <c r="J83" s="222">
        <f>SUM(J76:J81)</f>
        <v>77500</v>
      </c>
      <c r="K83" s="299">
        <f>+J83-I83</f>
        <v>65264</v>
      </c>
      <c r="L83" s="222">
        <f>12234*1.35</f>
        <v>16515.900000000001</v>
      </c>
      <c r="M83" s="222">
        <f>SUM(M76:M82)</f>
        <v>22500</v>
      </c>
      <c r="N83" s="299">
        <f>+M83-L83</f>
        <v>5984.0999999999985</v>
      </c>
      <c r="O83" s="222">
        <f>C83+F83+I83+L83</f>
        <v>53220.9</v>
      </c>
      <c r="P83" s="222">
        <f>D83+G83+J83+M83</f>
        <v>146500</v>
      </c>
      <c r="Q83" s="299">
        <f>+P83-O83</f>
        <v>93279.1</v>
      </c>
    </row>
    <row r="84" spans="1:17" s="153" customFormat="1" ht="12" customHeight="1" x14ac:dyDescent="0.4">
      <c r="A84" s="372" t="s">
        <v>255</v>
      </c>
      <c r="B84" s="375" t="s">
        <v>256</v>
      </c>
      <c r="C84" s="215" t="s">
        <v>233</v>
      </c>
      <c r="D84" s="216" t="s">
        <v>234</v>
      </c>
      <c r="E84" s="217"/>
      <c r="F84" s="215" t="s">
        <v>233</v>
      </c>
      <c r="G84" s="216" t="s">
        <v>234</v>
      </c>
      <c r="H84" s="217"/>
      <c r="I84" s="215" t="s">
        <v>233</v>
      </c>
      <c r="J84" s="216" t="s">
        <v>234</v>
      </c>
      <c r="K84" s="217"/>
      <c r="L84" s="215" t="s">
        <v>233</v>
      </c>
      <c r="M84" s="216" t="s">
        <v>234</v>
      </c>
      <c r="N84" s="217"/>
      <c r="O84" s="215"/>
      <c r="P84" s="216"/>
      <c r="Q84" s="217"/>
    </row>
    <row r="85" spans="1:17" s="153" customFormat="1" ht="12" customHeight="1" x14ac:dyDescent="0.25">
      <c r="A85" s="373"/>
      <c r="B85" s="376"/>
      <c r="C85" s="41"/>
      <c r="D85" s="42"/>
      <c r="E85" s="43"/>
      <c r="F85" s="41"/>
      <c r="G85" s="42"/>
      <c r="H85" s="43"/>
      <c r="I85" s="41"/>
      <c r="J85" s="42"/>
      <c r="K85" s="43"/>
      <c r="L85" s="41"/>
      <c r="M85" s="42"/>
      <c r="N85" s="43"/>
      <c r="O85" s="41"/>
      <c r="P85" s="42"/>
      <c r="Q85" s="43"/>
    </row>
    <row r="86" spans="1:17" s="153" customFormat="1" ht="12" customHeight="1" x14ac:dyDescent="0.25">
      <c r="A86" s="373"/>
      <c r="B86" s="376"/>
      <c r="C86" s="41"/>
      <c r="D86" s="42"/>
      <c r="E86" s="43"/>
      <c r="F86" s="41"/>
      <c r="G86" s="42"/>
      <c r="H86" s="43"/>
      <c r="I86" s="41"/>
      <c r="J86" s="42"/>
      <c r="K86" s="43"/>
      <c r="L86" s="41"/>
      <c r="M86" s="42"/>
      <c r="N86" s="43"/>
      <c r="O86" s="41"/>
      <c r="P86" s="42"/>
      <c r="Q86" s="43"/>
    </row>
    <row r="87" spans="1:17" s="153" customFormat="1" ht="12" customHeight="1" x14ac:dyDescent="0.25">
      <c r="A87" s="373"/>
      <c r="B87" s="376"/>
      <c r="C87" s="41"/>
      <c r="D87" s="42"/>
      <c r="E87" s="43"/>
      <c r="F87" s="41"/>
      <c r="G87" s="42"/>
      <c r="H87" s="43"/>
      <c r="I87" s="41"/>
      <c r="J87" s="42"/>
      <c r="K87" s="43"/>
      <c r="L87" s="41"/>
      <c r="M87" s="42"/>
      <c r="N87" s="43"/>
      <c r="O87" s="41"/>
      <c r="P87" s="42"/>
      <c r="Q87" s="43"/>
    </row>
    <row r="88" spans="1:17" s="153" customFormat="1" ht="12" customHeight="1" x14ac:dyDescent="0.25">
      <c r="A88" s="373"/>
      <c r="B88" s="376"/>
      <c r="C88" s="41"/>
      <c r="D88" s="42"/>
      <c r="E88" s="43"/>
      <c r="F88" s="41"/>
      <c r="G88" s="42"/>
      <c r="H88" s="43"/>
      <c r="I88" s="41"/>
      <c r="J88" s="42"/>
      <c r="K88" s="43"/>
      <c r="L88" s="41"/>
      <c r="M88" s="42"/>
      <c r="N88" s="43"/>
      <c r="O88" s="41"/>
      <c r="P88" s="42"/>
      <c r="Q88" s="43"/>
    </row>
    <row r="89" spans="1:17" s="153" customFormat="1" ht="12" customHeight="1" x14ac:dyDescent="0.25">
      <c r="A89" s="373"/>
      <c r="B89" s="376"/>
      <c r="C89" s="41"/>
      <c r="D89" s="42"/>
      <c r="E89" s="43"/>
      <c r="F89" s="41"/>
      <c r="G89" s="42"/>
      <c r="H89" s="43"/>
      <c r="I89" s="41"/>
      <c r="J89" s="42"/>
      <c r="K89" s="43"/>
      <c r="L89" s="41"/>
      <c r="M89" s="42"/>
      <c r="N89" s="43"/>
      <c r="O89" s="41"/>
      <c r="P89" s="42"/>
      <c r="Q89" s="43"/>
    </row>
    <row r="90" spans="1:17" s="153" customFormat="1" ht="12" customHeight="1" x14ac:dyDescent="0.25">
      <c r="A90" s="373"/>
      <c r="B90" s="376"/>
      <c r="C90" s="41"/>
      <c r="D90" s="42"/>
      <c r="E90" s="303" t="s">
        <v>362</v>
      </c>
      <c r="F90" s="41"/>
      <c r="G90" s="42"/>
      <c r="H90" s="303" t="s">
        <v>362</v>
      </c>
      <c r="I90" s="27"/>
      <c r="J90" s="27"/>
      <c r="K90" s="303" t="s">
        <v>362</v>
      </c>
      <c r="L90" s="41"/>
      <c r="M90" s="42"/>
      <c r="N90" s="303" t="s">
        <v>362</v>
      </c>
      <c r="O90" s="300"/>
      <c r="P90" s="301"/>
      <c r="Q90" s="303" t="s">
        <v>362</v>
      </c>
    </row>
    <row r="91" spans="1:17" s="153" customFormat="1" ht="12" customHeight="1" x14ac:dyDescent="0.4">
      <c r="A91" s="373"/>
      <c r="B91" s="376"/>
      <c r="C91" s="219" t="s">
        <v>235</v>
      </c>
      <c r="D91" s="220"/>
      <c r="E91" s="221" t="s">
        <v>363</v>
      </c>
      <c r="F91" s="219" t="s">
        <v>235</v>
      </c>
      <c r="G91" s="220"/>
      <c r="H91" s="221" t="s">
        <v>363</v>
      </c>
      <c r="I91" s="219" t="s">
        <v>235</v>
      </c>
      <c r="J91" s="220"/>
      <c r="K91" s="221" t="s">
        <v>363</v>
      </c>
      <c r="L91" s="219" t="s">
        <v>235</v>
      </c>
      <c r="M91" s="220"/>
      <c r="N91" s="221" t="s">
        <v>363</v>
      </c>
      <c r="O91" s="219" t="s">
        <v>235</v>
      </c>
      <c r="P91" s="302" t="s">
        <v>234</v>
      </c>
      <c r="Q91" s="221" t="s">
        <v>363</v>
      </c>
    </row>
    <row r="92" spans="1:17" s="153" customFormat="1" ht="12" customHeight="1" x14ac:dyDescent="0.25">
      <c r="A92" s="374"/>
      <c r="B92" s="377"/>
      <c r="C92" s="222">
        <v>15385</v>
      </c>
      <c r="D92" s="222">
        <f>SUM(D85:D91)</f>
        <v>0</v>
      </c>
      <c r="E92" s="299">
        <f>+D92-C92</f>
        <v>-15385</v>
      </c>
      <c r="F92" s="222">
        <v>15390</v>
      </c>
      <c r="G92" s="222">
        <f>SUM(G85:G91)</f>
        <v>0</v>
      </c>
      <c r="H92" s="299">
        <f>+G92-F92</f>
        <v>-15390</v>
      </c>
      <c r="I92" s="222">
        <v>15390</v>
      </c>
      <c r="J92" s="222">
        <f>SUM(J85:J91)</f>
        <v>0</v>
      </c>
      <c r="K92" s="299">
        <f>+J92-I92</f>
        <v>-15390</v>
      </c>
      <c r="L92" s="222">
        <f>15390*1.35</f>
        <v>20776.5</v>
      </c>
      <c r="M92" s="222">
        <f>SUM(M85:M91)</f>
        <v>0</v>
      </c>
      <c r="N92" s="299">
        <f>+M92-L92</f>
        <v>-20776.5</v>
      </c>
      <c r="O92" s="222">
        <f>L92+I92+F92+C92</f>
        <v>66941.5</v>
      </c>
      <c r="P92" s="222">
        <f>M92+J92+G92+D92</f>
        <v>0</v>
      </c>
      <c r="Q92" s="299">
        <f>+P92-O92</f>
        <v>-66941.5</v>
      </c>
    </row>
    <row r="93" spans="1:17" s="153" customFormat="1" ht="12.75" customHeight="1" x14ac:dyDescent="0.4">
      <c r="A93" s="372" t="s">
        <v>257</v>
      </c>
      <c r="B93" s="375" t="s">
        <v>442</v>
      </c>
      <c r="C93" s="215" t="s">
        <v>233</v>
      </c>
      <c r="D93" s="216" t="s">
        <v>234</v>
      </c>
      <c r="E93" s="217"/>
      <c r="F93" s="215" t="s">
        <v>233</v>
      </c>
      <c r="G93" s="216" t="s">
        <v>234</v>
      </c>
      <c r="H93" s="217"/>
      <c r="I93" s="215" t="s">
        <v>233</v>
      </c>
      <c r="J93" s="216" t="s">
        <v>234</v>
      </c>
      <c r="K93" s="217"/>
      <c r="L93" s="215" t="s">
        <v>233</v>
      </c>
      <c r="M93" s="216" t="s">
        <v>234</v>
      </c>
      <c r="N93" s="217"/>
      <c r="O93" s="215"/>
      <c r="P93" s="216"/>
      <c r="Q93" s="217"/>
    </row>
    <row r="94" spans="1:17" s="153" customFormat="1" ht="12.75" customHeight="1" x14ac:dyDescent="0.4">
      <c r="A94" s="373"/>
      <c r="B94" s="376"/>
      <c r="C94" s="304" t="s">
        <v>371</v>
      </c>
      <c r="D94" s="305">
        <v>0</v>
      </c>
      <c r="E94" s="306"/>
      <c r="F94" s="304" t="s">
        <v>372</v>
      </c>
      <c r="G94" s="305">
        <v>0</v>
      </c>
      <c r="H94" s="307"/>
      <c r="I94" s="304" t="s">
        <v>376</v>
      </c>
      <c r="J94" s="305">
        <v>0</v>
      </c>
      <c r="K94" s="221"/>
      <c r="L94" s="41"/>
      <c r="M94" s="42"/>
      <c r="N94" s="43"/>
      <c r="O94" s="41"/>
      <c r="P94" s="42"/>
      <c r="Q94" s="43"/>
    </row>
    <row r="95" spans="1:17" s="153" customFormat="1" ht="12.75" customHeight="1" x14ac:dyDescent="0.4">
      <c r="A95" s="373"/>
      <c r="B95" s="376"/>
      <c r="C95" s="304" t="s">
        <v>443</v>
      </c>
      <c r="D95" s="305">
        <v>0</v>
      </c>
      <c r="E95" s="306"/>
      <c r="F95" s="304" t="s">
        <v>373</v>
      </c>
      <c r="G95" s="305">
        <v>0</v>
      </c>
      <c r="H95" s="307"/>
      <c r="I95" s="304" t="s">
        <v>377</v>
      </c>
      <c r="J95" s="305">
        <v>0</v>
      </c>
      <c r="K95" s="221"/>
      <c r="L95" s="41"/>
      <c r="M95" s="42"/>
      <c r="N95" s="43"/>
      <c r="O95" s="41"/>
      <c r="P95" s="42"/>
      <c r="Q95" s="43"/>
    </row>
    <row r="96" spans="1:17" s="153" customFormat="1" ht="12.75" customHeight="1" x14ac:dyDescent="0.4">
      <c r="A96" s="373"/>
      <c r="B96" s="376"/>
      <c r="C96" s="304"/>
      <c r="D96" s="305"/>
      <c r="E96" s="306"/>
      <c r="F96" s="304" t="s">
        <v>374</v>
      </c>
      <c r="G96" s="305">
        <v>0</v>
      </c>
      <c r="H96" s="307"/>
      <c r="I96" s="304" t="s">
        <v>378</v>
      </c>
      <c r="J96" s="305">
        <v>0</v>
      </c>
      <c r="K96" s="221"/>
      <c r="L96" s="41"/>
      <c r="M96" s="42"/>
      <c r="N96" s="43"/>
      <c r="O96" s="41"/>
      <c r="P96" s="42"/>
      <c r="Q96" s="43"/>
    </row>
    <row r="97" spans="1:17" s="153" customFormat="1" ht="12.75" customHeight="1" x14ac:dyDescent="0.4">
      <c r="A97" s="373"/>
      <c r="B97" s="376"/>
      <c r="C97" s="304"/>
      <c r="D97" s="305"/>
      <c r="E97" s="306"/>
      <c r="F97" s="304" t="s">
        <v>375</v>
      </c>
      <c r="G97" s="305">
        <v>0</v>
      </c>
      <c r="H97" s="307"/>
      <c r="I97" s="304" t="s">
        <v>379</v>
      </c>
      <c r="J97" s="305">
        <v>0</v>
      </c>
      <c r="K97" s="221"/>
      <c r="L97" s="41"/>
      <c r="M97" s="42"/>
      <c r="N97" s="43"/>
      <c r="O97" s="41"/>
      <c r="P97" s="42"/>
      <c r="Q97" s="43"/>
    </row>
    <row r="98" spans="1:17" s="153" customFormat="1" ht="12.75" customHeight="1" x14ac:dyDescent="0.4">
      <c r="A98" s="373"/>
      <c r="B98" s="376"/>
      <c r="C98" s="304"/>
      <c r="D98" s="305"/>
      <c r="E98" s="306"/>
      <c r="F98" s="304"/>
      <c r="G98" s="305"/>
      <c r="H98" s="307"/>
      <c r="I98" s="304" t="s">
        <v>380</v>
      </c>
      <c r="J98" s="305">
        <v>0</v>
      </c>
      <c r="K98" s="221"/>
      <c r="L98" s="41"/>
      <c r="M98" s="42"/>
      <c r="N98" s="43"/>
      <c r="O98" s="41"/>
      <c r="P98" s="42"/>
      <c r="Q98" s="43"/>
    </row>
    <row r="99" spans="1:17" s="153" customFormat="1" ht="12" customHeight="1" x14ac:dyDescent="0.25">
      <c r="A99" s="373"/>
      <c r="B99" s="376"/>
      <c r="C99" s="41"/>
      <c r="D99" s="42"/>
      <c r="E99" s="303" t="s">
        <v>362</v>
      </c>
      <c r="F99" s="41"/>
      <c r="G99" s="42"/>
      <c r="H99" s="303" t="s">
        <v>362</v>
      </c>
      <c r="I99" s="27"/>
      <c r="J99" s="27"/>
      <c r="K99" s="303" t="s">
        <v>362</v>
      </c>
      <c r="L99" s="41"/>
      <c r="M99" s="42"/>
      <c r="N99" s="303" t="s">
        <v>362</v>
      </c>
      <c r="O99" s="300"/>
      <c r="P99" s="301"/>
      <c r="Q99" s="303" t="s">
        <v>362</v>
      </c>
    </row>
    <row r="100" spans="1:17" s="153" customFormat="1" ht="12" customHeight="1" x14ac:dyDescent="0.4">
      <c r="A100" s="373"/>
      <c r="B100" s="376"/>
      <c r="C100" s="219" t="s">
        <v>235</v>
      </c>
      <c r="D100" s="220"/>
      <c r="E100" s="221" t="s">
        <v>363</v>
      </c>
      <c r="F100" s="219" t="s">
        <v>235</v>
      </c>
      <c r="G100" s="220"/>
      <c r="H100" s="221" t="s">
        <v>363</v>
      </c>
      <c r="I100" s="219" t="s">
        <v>235</v>
      </c>
      <c r="J100" s="220"/>
      <c r="K100" s="221" t="s">
        <v>363</v>
      </c>
      <c r="L100" s="219" t="s">
        <v>235</v>
      </c>
      <c r="M100" s="220"/>
      <c r="N100" s="221" t="s">
        <v>363</v>
      </c>
      <c r="O100" s="219" t="s">
        <v>235</v>
      </c>
      <c r="P100" s="302" t="s">
        <v>234</v>
      </c>
      <c r="Q100" s="221" t="s">
        <v>363</v>
      </c>
    </row>
    <row r="101" spans="1:17" s="153" customFormat="1" ht="12" customHeight="1" x14ac:dyDescent="0.25">
      <c r="A101" s="374"/>
      <c r="B101" s="377"/>
      <c r="C101" s="222">
        <v>16142</v>
      </c>
      <c r="D101" s="222">
        <f>SUM(D94:D100)</f>
        <v>0</v>
      </c>
      <c r="E101" s="299">
        <f>+D101-C101</f>
        <v>-16142</v>
      </c>
      <c r="F101" s="222">
        <v>10067</v>
      </c>
      <c r="G101" s="222">
        <f>SUM(G93:G100)</f>
        <v>0</v>
      </c>
      <c r="H101" s="299">
        <f>+G101-F101</f>
        <v>-10067</v>
      </c>
      <c r="I101" s="222">
        <v>11442</v>
      </c>
      <c r="J101" s="222">
        <f>SUM(J93:J100)</f>
        <v>0</v>
      </c>
      <c r="K101" s="299">
        <f>+J101-I101</f>
        <v>-11442</v>
      </c>
      <c r="L101" s="222">
        <v>13928</v>
      </c>
      <c r="M101" s="222">
        <f>SUM(M94:M100)</f>
        <v>0</v>
      </c>
      <c r="N101" s="299">
        <f>+M101-L101</f>
        <v>-13928</v>
      </c>
      <c r="O101" s="222">
        <f>L101+I101+F101+C101</f>
        <v>51579</v>
      </c>
      <c r="P101" s="222">
        <f>M101+J101+G101+D101</f>
        <v>0</v>
      </c>
      <c r="Q101" s="299">
        <f>+P101-O101</f>
        <v>-51579</v>
      </c>
    </row>
    <row r="102" spans="1:17" ht="15" x14ac:dyDescent="0.4">
      <c r="A102" s="363"/>
      <c r="B102" s="366" t="s">
        <v>82</v>
      </c>
      <c r="C102" s="215" t="s">
        <v>233</v>
      </c>
      <c r="D102" s="216" t="s">
        <v>234</v>
      </c>
      <c r="E102" s="217"/>
      <c r="F102" s="215" t="s">
        <v>233</v>
      </c>
      <c r="G102" s="216" t="s">
        <v>234</v>
      </c>
      <c r="H102" s="217"/>
      <c r="I102" s="215" t="s">
        <v>233</v>
      </c>
      <c r="J102" s="216" t="s">
        <v>234</v>
      </c>
      <c r="K102" s="217"/>
      <c r="L102" s="215" t="s">
        <v>233</v>
      </c>
      <c r="M102" s="216" t="s">
        <v>234</v>
      </c>
      <c r="N102" s="217"/>
      <c r="O102" s="215"/>
      <c r="P102" s="216"/>
      <c r="Q102" s="217"/>
    </row>
    <row r="103" spans="1:17" ht="12.75" customHeight="1" x14ac:dyDescent="0.4">
      <c r="A103" s="364"/>
      <c r="B103" s="367"/>
      <c r="C103" s="41" t="s">
        <v>381</v>
      </c>
      <c r="D103" s="42">
        <v>0</v>
      </c>
      <c r="E103" s="43"/>
      <c r="F103" s="255" t="s">
        <v>387</v>
      </c>
      <c r="G103" s="257">
        <v>1700</v>
      </c>
      <c r="H103" s="221"/>
      <c r="I103" s="255" t="s">
        <v>395</v>
      </c>
      <c r="J103" s="257">
        <v>0</v>
      </c>
      <c r="K103" s="221"/>
      <c r="L103" s="41"/>
      <c r="M103" s="42"/>
      <c r="N103" s="43"/>
      <c r="O103" s="41"/>
      <c r="P103" s="42"/>
      <c r="Q103" s="43"/>
    </row>
    <row r="104" spans="1:17" ht="12.75" customHeight="1" x14ac:dyDescent="0.4">
      <c r="A104" s="364"/>
      <c r="B104" s="367"/>
      <c r="C104" s="41" t="s">
        <v>382</v>
      </c>
      <c r="D104" s="42">
        <v>0</v>
      </c>
      <c r="E104" s="43"/>
      <c r="F104" s="255" t="s">
        <v>388</v>
      </c>
      <c r="G104" s="257">
        <v>0</v>
      </c>
      <c r="H104" s="221"/>
      <c r="I104" s="255" t="s">
        <v>396</v>
      </c>
      <c r="J104" s="257">
        <v>0</v>
      </c>
      <c r="K104" s="221"/>
      <c r="L104" s="41"/>
      <c r="M104" s="42"/>
      <c r="N104" s="43"/>
      <c r="O104" s="41"/>
      <c r="P104" s="42"/>
      <c r="Q104" s="43"/>
    </row>
    <row r="105" spans="1:17" ht="12.75" customHeight="1" x14ac:dyDescent="0.4">
      <c r="A105" s="364"/>
      <c r="B105" s="367"/>
      <c r="C105" s="41" t="s">
        <v>383</v>
      </c>
      <c r="D105" s="42">
        <v>-200</v>
      </c>
      <c r="E105" s="43"/>
      <c r="F105" s="255" t="s">
        <v>389</v>
      </c>
      <c r="G105" s="257">
        <v>0</v>
      </c>
      <c r="H105" s="221"/>
      <c r="I105" s="255" t="s">
        <v>397</v>
      </c>
      <c r="J105" s="257">
        <v>-2500</v>
      </c>
      <c r="K105" s="221"/>
      <c r="L105" s="41"/>
      <c r="M105" s="42"/>
      <c r="N105" s="43"/>
      <c r="O105" s="41"/>
      <c r="P105" s="42"/>
      <c r="Q105" s="43"/>
    </row>
    <row r="106" spans="1:17" ht="12.75" customHeight="1" x14ac:dyDescent="0.4">
      <c r="A106" s="364"/>
      <c r="B106" s="367"/>
      <c r="C106" s="41" t="s">
        <v>384</v>
      </c>
      <c r="D106" s="42">
        <v>-300</v>
      </c>
      <c r="E106" s="43"/>
      <c r="F106" s="255" t="s">
        <v>390</v>
      </c>
      <c r="G106" s="257">
        <v>0</v>
      </c>
      <c r="H106" s="221"/>
      <c r="I106" s="255"/>
      <c r="J106" s="257"/>
      <c r="K106" s="221"/>
      <c r="L106" s="41"/>
      <c r="M106" s="42"/>
      <c r="N106" s="43"/>
      <c r="O106" s="41"/>
      <c r="P106" s="42"/>
      <c r="Q106" s="43"/>
    </row>
    <row r="107" spans="1:17" ht="12.75" customHeight="1" x14ac:dyDescent="0.4">
      <c r="A107" s="364"/>
      <c r="B107" s="367"/>
      <c r="C107" s="41" t="s">
        <v>385</v>
      </c>
      <c r="D107" s="42">
        <v>-3000</v>
      </c>
      <c r="E107" s="43"/>
      <c r="F107" s="255" t="s">
        <v>391</v>
      </c>
      <c r="G107" s="257">
        <v>0</v>
      </c>
      <c r="H107" s="221"/>
      <c r="I107" s="255"/>
      <c r="J107" s="257"/>
      <c r="K107" s="221"/>
      <c r="L107" s="41"/>
      <c r="M107" s="42"/>
      <c r="N107" s="43"/>
      <c r="O107" s="41"/>
      <c r="P107" s="42"/>
      <c r="Q107" s="43"/>
    </row>
    <row r="108" spans="1:17" ht="12.75" customHeight="1" x14ac:dyDescent="0.4">
      <c r="A108" s="364"/>
      <c r="B108" s="367"/>
      <c r="C108" s="41" t="s">
        <v>386</v>
      </c>
      <c r="D108" s="42">
        <v>-4500</v>
      </c>
      <c r="E108" s="43"/>
      <c r="F108" s="255" t="s">
        <v>392</v>
      </c>
      <c r="G108" s="257">
        <v>0</v>
      </c>
      <c r="H108" s="221"/>
      <c r="I108" s="255"/>
      <c r="J108" s="257"/>
      <c r="K108" s="221"/>
      <c r="L108" s="41"/>
      <c r="M108" s="42"/>
      <c r="N108" s="43"/>
      <c r="O108" s="41"/>
      <c r="P108" s="42"/>
      <c r="Q108" s="43"/>
    </row>
    <row r="109" spans="1:17" ht="12.75" customHeight="1" x14ac:dyDescent="0.4">
      <c r="A109" s="364"/>
      <c r="B109" s="367"/>
      <c r="C109" s="41"/>
      <c r="D109" s="42"/>
      <c r="E109" s="43"/>
      <c r="F109" s="255" t="s">
        <v>393</v>
      </c>
      <c r="G109" s="257">
        <v>0</v>
      </c>
      <c r="H109" s="221"/>
      <c r="I109" s="255"/>
      <c r="J109" s="257"/>
      <c r="K109" s="221"/>
      <c r="L109" s="41"/>
      <c r="M109" s="42"/>
      <c r="N109" s="43"/>
      <c r="O109" s="41"/>
      <c r="P109" s="42"/>
      <c r="Q109" s="43"/>
    </row>
    <row r="110" spans="1:17" ht="12.75" customHeight="1" x14ac:dyDescent="0.4">
      <c r="A110" s="364"/>
      <c r="B110" s="367"/>
      <c r="C110" s="41"/>
      <c r="D110" s="42"/>
      <c r="E110" s="43"/>
      <c r="F110" s="255" t="s">
        <v>394</v>
      </c>
      <c r="G110" s="257">
        <v>0</v>
      </c>
      <c r="H110" s="221"/>
      <c r="I110" s="255"/>
      <c r="J110" s="257"/>
      <c r="K110" s="221"/>
      <c r="L110" s="41"/>
      <c r="M110" s="42"/>
      <c r="N110" s="43"/>
      <c r="O110" s="41"/>
      <c r="P110" s="42"/>
      <c r="Q110" s="43"/>
    </row>
    <row r="111" spans="1:17" ht="12.75" customHeight="1" x14ac:dyDescent="0.25">
      <c r="A111" s="364"/>
      <c r="B111" s="367"/>
      <c r="C111" s="41"/>
      <c r="D111" s="42"/>
      <c r="E111" s="303" t="s">
        <v>362</v>
      </c>
      <c r="F111" s="41"/>
      <c r="G111" s="42"/>
      <c r="H111" s="303" t="s">
        <v>362</v>
      </c>
      <c r="K111" s="303" t="s">
        <v>362</v>
      </c>
      <c r="L111" s="41"/>
      <c r="M111" s="42"/>
      <c r="N111" s="303" t="s">
        <v>362</v>
      </c>
      <c r="O111" s="300"/>
      <c r="P111" s="301"/>
      <c r="Q111" s="303" t="s">
        <v>362</v>
      </c>
    </row>
    <row r="112" spans="1:17" ht="15" x14ac:dyDescent="0.4">
      <c r="A112" s="364"/>
      <c r="B112" s="367"/>
      <c r="C112" s="219" t="s">
        <v>235</v>
      </c>
      <c r="D112" s="220"/>
      <c r="E112" s="221" t="s">
        <v>363</v>
      </c>
      <c r="F112" s="219" t="s">
        <v>235</v>
      </c>
      <c r="G112" s="220"/>
      <c r="H112" s="221" t="s">
        <v>363</v>
      </c>
      <c r="I112" s="219" t="s">
        <v>235</v>
      </c>
      <c r="J112" s="220"/>
      <c r="K112" s="221" t="s">
        <v>363</v>
      </c>
      <c r="L112" s="219" t="s">
        <v>235</v>
      </c>
      <c r="M112" s="220"/>
      <c r="N112" s="221" t="s">
        <v>363</v>
      </c>
      <c r="O112" s="219" t="s">
        <v>235</v>
      </c>
      <c r="P112" s="302" t="s">
        <v>234</v>
      </c>
      <c r="Q112" s="221" t="s">
        <v>363</v>
      </c>
    </row>
    <row r="113" spans="1:17" x14ac:dyDescent="0.25">
      <c r="A113" s="365"/>
      <c r="B113" s="368"/>
      <c r="C113" s="222">
        <v>2430</v>
      </c>
      <c r="D113" s="222">
        <f>SUM(D103:D112)</f>
        <v>-8000</v>
      </c>
      <c r="E113" s="299">
        <f>+D113-C113</f>
        <v>-10430</v>
      </c>
      <c r="F113" s="222">
        <v>2430</v>
      </c>
      <c r="G113" s="222">
        <f>SUM(G102:G112)</f>
        <v>1700</v>
      </c>
      <c r="H113" s="299">
        <f>+G113-F113</f>
        <v>-730</v>
      </c>
      <c r="I113" s="222">
        <v>2430</v>
      </c>
      <c r="J113" s="222">
        <f>SUM(J102:J112)</f>
        <v>-2500</v>
      </c>
      <c r="K113" s="299">
        <f>+J113-I113</f>
        <v>-4930</v>
      </c>
      <c r="L113" s="222">
        <f>4999*1.35</f>
        <v>6748.6500000000005</v>
      </c>
      <c r="M113" s="222">
        <f>SUM(M103:M112)</f>
        <v>0</v>
      </c>
      <c r="N113" s="299">
        <f>+M113-L113</f>
        <v>-6748.6500000000005</v>
      </c>
      <c r="O113" s="222">
        <f>L113+I113+F113+C113</f>
        <v>14038.650000000001</v>
      </c>
      <c r="P113" s="222">
        <f>M113+J113+G113+D113</f>
        <v>-8800</v>
      </c>
      <c r="Q113" s="299">
        <f>+P113-O113</f>
        <v>-22838.65</v>
      </c>
    </row>
    <row r="114" spans="1:17" ht="15" x14ac:dyDescent="0.4">
      <c r="A114" s="363" t="s">
        <v>125</v>
      </c>
      <c r="B114" s="366" t="s">
        <v>417</v>
      </c>
      <c r="C114" s="215" t="s">
        <v>233</v>
      </c>
      <c r="D114" s="216" t="s">
        <v>234</v>
      </c>
      <c r="E114" s="217"/>
      <c r="F114" s="215" t="s">
        <v>233</v>
      </c>
      <c r="G114" s="216" t="s">
        <v>234</v>
      </c>
      <c r="H114" s="217"/>
      <c r="I114" s="215" t="s">
        <v>233</v>
      </c>
      <c r="J114" s="216" t="s">
        <v>234</v>
      </c>
      <c r="K114" s="217"/>
      <c r="L114" s="215" t="s">
        <v>233</v>
      </c>
      <c r="M114" s="216" t="s">
        <v>234</v>
      </c>
      <c r="N114" s="217"/>
      <c r="O114" s="215"/>
      <c r="P114" s="216"/>
      <c r="Q114" s="217"/>
    </row>
    <row r="115" spans="1:17" x14ac:dyDescent="0.25">
      <c r="A115" s="364"/>
      <c r="B115" s="367"/>
      <c r="C115" s="41" t="s">
        <v>335</v>
      </c>
      <c r="D115" s="42">
        <v>2000</v>
      </c>
      <c r="E115" s="43"/>
      <c r="F115" s="41" t="s">
        <v>375</v>
      </c>
      <c r="G115" s="44">
        <v>20000</v>
      </c>
      <c r="H115" s="43"/>
      <c r="I115" s="41" t="s">
        <v>343</v>
      </c>
      <c r="J115" s="42">
        <v>2500</v>
      </c>
      <c r="K115" s="43"/>
      <c r="L115" s="41"/>
      <c r="M115" s="42"/>
      <c r="N115" s="43"/>
      <c r="O115" s="41"/>
      <c r="P115" s="42"/>
      <c r="Q115" s="43"/>
    </row>
    <row r="116" spans="1:17" x14ac:dyDescent="0.25">
      <c r="A116" s="364"/>
      <c r="B116" s="367"/>
      <c r="C116" s="41" t="s">
        <v>266</v>
      </c>
      <c r="D116" s="42">
        <v>2000</v>
      </c>
      <c r="E116" s="43"/>
      <c r="F116" s="41" t="s">
        <v>259</v>
      </c>
      <c r="G116" s="42">
        <v>1000</v>
      </c>
      <c r="H116" s="43"/>
      <c r="I116" s="41" t="s">
        <v>344</v>
      </c>
      <c r="J116" s="42">
        <v>1200</v>
      </c>
      <c r="K116" s="43"/>
      <c r="L116" s="41"/>
      <c r="M116" s="42"/>
      <c r="N116" s="43"/>
      <c r="O116" s="41"/>
      <c r="P116" s="42"/>
      <c r="Q116" s="43"/>
    </row>
    <row r="117" spans="1:17" x14ac:dyDescent="0.25">
      <c r="A117" s="364"/>
      <c r="B117" s="367"/>
      <c r="C117" s="41" t="s">
        <v>422</v>
      </c>
      <c r="D117" s="42">
        <v>2000</v>
      </c>
      <c r="E117" s="43"/>
      <c r="F117" s="41" t="s">
        <v>263</v>
      </c>
      <c r="G117" s="42">
        <v>1000</v>
      </c>
      <c r="H117" s="43"/>
      <c r="I117" s="41" t="s">
        <v>345</v>
      </c>
      <c r="J117" s="42">
        <v>1000</v>
      </c>
      <c r="K117" s="43"/>
      <c r="L117" s="41"/>
      <c r="M117" s="42"/>
      <c r="N117" s="43"/>
      <c r="O117" s="41"/>
      <c r="P117" s="42"/>
      <c r="Q117" s="43"/>
    </row>
    <row r="118" spans="1:17" x14ac:dyDescent="0.25">
      <c r="A118" s="364"/>
      <c r="B118" s="367"/>
      <c r="C118" s="41" t="s">
        <v>265</v>
      </c>
      <c r="D118" s="42">
        <v>1250</v>
      </c>
      <c r="E118" s="43"/>
      <c r="F118" s="41" t="s">
        <v>340</v>
      </c>
      <c r="G118" s="42">
        <v>1000</v>
      </c>
      <c r="H118" s="43"/>
      <c r="I118" s="41" t="s">
        <v>346</v>
      </c>
      <c r="J118" s="42">
        <v>1000</v>
      </c>
      <c r="K118" s="43"/>
      <c r="L118" s="41"/>
      <c r="M118" s="42"/>
      <c r="N118" s="43"/>
      <c r="O118" s="41"/>
      <c r="P118" s="42"/>
      <c r="Q118" s="43"/>
    </row>
    <row r="119" spans="1:17" x14ac:dyDescent="0.25">
      <c r="A119" s="364"/>
      <c r="B119" s="367"/>
      <c r="C119" s="41" t="s">
        <v>262</v>
      </c>
      <c r="D119" s="42">
        <v>800</v>
      </c>
      <c r="E119" s="43"/>
      <c r="F119" s="41" t="s">
        <v>261</v>
      </c>
      <c r="G119" s="42">
        <v>938</v>
      </c>
      <c r="H119" s="43"/>
      <c r="I119" s="41" t="s">
        <v>347</v>
      </c>
      <c r="J119" s="42">
        <v>938</v>
      </c>
      <c r="K119" s="43"/>
      <c r="L119" s="41"/>
      <c r="M119" s="42"/>
      <c r="N119" s="43"/>
      <c r="O119" s="41"/>
      <c r="P119" s="42"/>
      <c r="Q119" s="43"/>
    </row>
    <row r="120" spans="1:17" x14ac:dyDescent="0.25">
      <c r="A120" s="364"/>
      <c r="B120" s="367"/>
      <c r="C120" s="41" t="s">
        <v>261</v>
      </c>
      <c r="D120" s="42">
        <v>625</v>
      </c>
      <c r="E120" s="43"/>
      <c r="F120" s="41" t="s">
        <v>341</v>
      </c>
      <c r="G120" s="42">
        <v>250</v>
      </c>
      <c r="H120" s="43"/>
      <c r="I120" s="41" t="s">
        <v>348</v>
      </c>
      <c r="J120" s="42">
        <v>200</v>
      </c>
      <c r="K120" s="43"/>
      <c r="L120" s="41"/>
      <c r="M120" s="42"/>
      <c r="N120" s="43"/>
      <c r="O120" s="41"/>
      <c r="P120" s="42"/>
      <c r="Q120" s="43"/>
    </row>
    <row r="121" spans="1:17" x14ac:dyDescent="0.25">
      <c r="A121" s="364"/>
      <c r="B121" s="367"/>
      <c r="C121" s="41" t="s">
        <v>205</v>
      </c>
      <c r="D121" s="42">
        <v>527</v>
      </c>
      <c r="E121" s="43"/>
      <c r="F121" s="41" t="s">
        <v>342</v>
      </c>
      <c r="G121" s="42">
        <v>250</v>
      </c>
      <c r="H121" s="43"/>
      <c r="I121" s="41" t="s">
        <v>349</v>
      </c>
      <c r="J121" s="42">
        <v>115</v>
      </c>
      <c r="K121" s="43"/>
      <c r="L121" s="41"/>
      <c r="M121" s="42"/>
      <c r="N121" s="43"/>
      <c r="O121" s="41"/>
      <c r="P121" s="42"/>
      <c r="Q121" s="43"/>
    </row>
    <row r="122" spans="1:17" x14ac:dyDescent="0.25">
      <c r="A122" s="364"/>
      <c r="B122" s="367"/>
      <c r="C122" s="41" t="s">
        <v>264</v>
      </c>
      <c r="D122" s="42">
        <v>412</v>
      </c>
      <c r="E122" s="43"/>
      <c r="F122" s="41" t="s">
        <v>349</v>
      </c>
      <c r="G122" s="42">
        <v>405</v>
      </c>
      <c r="H122" s="43"/>
      <c r="I122" s="41"/>
      <c r="J122" s="42"/>
      <c r="K122" s="43"/>
      <c r="L122" s="41"/>
      <c r="M122" s="42"/>
      <c r="N122" s="43"/>
      <c r="O122" s="41"/>
      <c r="P122" s="42"/>
      <c r="Q122" s="43"/>
    </row>
    <row r="123" spans="1:17" x14ac:dyDescent="0.25">
      <c r="A123" s="364"/>
      <c r="B123" s="367"/>
      <c r="C123" s="41" t="s">
        <v>336</v>
      </c>
      <c r="D123" s="42">
        <v>300</v>
      </c>
      <c r="E123" s="43"/>
      <c r="F123" s="41"/>
      <c r="G123" s="42"/>
      <c r="H123" s="43"/>
      <c r="I123" s="41"/>
      <c r="J123" s="42"/>
      <c r="K123" s="43"/>
      <c r="L123" s="41"/>
      <c r="M123" s="42"/>
      <c r="N123" s="43"/>
      <c r="O123" s="41"/>
      <c r="P123" s="42"/>
      <c r="Q123" s="43"/>
    </row>
    <row r="124" spans="1:17" x14ac:dyDescent="0.25">
      <c r="A124" s="364"/>
      <c r="B124" s="367"/>
      <c r="C124" s="41" t="s">
        <v>337</v>
      </c>
      <c r="D124" s="42">
        <v>250</v>
      </c>
      <c r="E124" s="43"/>
      <c r="G124" s="44"/>
      <c r="H124" s="43"/>
      <c r="I124" s="41"/>
      <c r="J124" s="42"/>
      <c r="K124" s="43"/>
      <c r="L124" s="41"/>
      <c r="M124" s="42"/>
      <c r="N124" s="43"/>
      <c r="O124" s="41"/>
      <c r="P124" s="42"/>
      <c r="Q124" s="43"/>
    </row>
    <row r="125" spans="1:17" x14ac:dyDescent="0.25">
      <c r="A125" s="364"/>
      <c r="B125" s="367"/>
      <c r="C125" s="41" t="s">
        <v>338</v>
      </c>
      <c r="D125" s="42">
        <v>200</v>
      </c>
      <c r="E125" s="43"/>
      <c r="H125" s="43"/>
      <c r="I125" s="41"/>
      <c r="J125" s="42"/>
      <c r="K125" s="43"/>
      <c r="L125" s="41"/>
      <c r="M125" s="42"/>
      <c r="N125" s="43"/>
      <c r="O125" s="41"/>
      <c r="P125" s="42"/>
      <c r="Q125" s="43"/>
    </row>
    <row r="126" spans="1:17" x14ac:dyDescent="0.25">
      <c r="A126" s="364"/>
      <c r="B126" s="367"/>
      <c r="C126" s="41" t="s">
        <v>260</v>
      </c>
      <c r="D126" s="42">
        <v>125</v>
      </c>
      <c r="E126" s="43"/>
      <c r="F126" s="41"/>
      <c r="G126" s="42"/>
      <c r="H126" s="43"/>
      <c r="I126" s="41"/>
      <c r="J126" s="42"/>
      <c r="K126" s="43"/>
      <c r="L126" s="41"/>
      <c r="M126" s="42"/>
      <c r="N126" s="43"/>
      <c r="O126" s="41"/>
      <c r="P126" s="42"/>
      <c r="Q126" s="43"/>
    </row>
    <row r="127" spans="1:17" x14ac:dyDescent="0.25">
      <c r="A127" s="364"/>
      <c r="B127" s="367"/>
      <c r="C127" s="41" t="s">
        <v>339</v>
      </c>
      <c r="D127" s="42">
        <v>80</v>
      </c>
      <c r="E127" s="43"/>
      <c r="F127" s="41"/>
      <c r="G127" s="42"/>
      <c r="H127" s="43"/>
      <c r="I127" s="41"/>
      <c r="J127" s="42"/>
      <c r="K127" s="43"/>
      <c r="L127" s="41"/>
      <c r="M127" s="42"/>
      <c r="N127" s="43"/>
      <c r="O127" s="41"/>
      <c r="P127" s="42"/>
      <c r="Q127" s="43"/>
    </row>
    <row r="128" spans="1:17" x14ac:dyDescent="0.25">
      <c r="A128" s="364"/>
      <c r="B128" s="367"/>
      <c r="C128" s="41" t="s">
        <v>350</v>
      </c>
      <c r="D128" s="42">
        <v>1233</v>
      </c>
      <c r="E128" s="43"/>
      <c r="F128" s="41"/>
      <c r="G128" s="42"/>
      <c r="H128" s="43"/>
      <c r="I128" s="41"/>
      <c r="J128" s="42"/>
      <c r="K128" s="43"/>
      <c r="L128" s="41"/>
      <c r="M128" s="42"/>
      <c r="N128" s="43"/>
      <c r="O128" s="41"/>
      <c r="P128" s="42"/>
      <c r="Q128" s="43"/>
    </row>
    <row r="129" spans="1:17" x14ac:dyDescent="0.25">
      <c r="A129" s="364"/>
      <c r="B129" s="367"/>
      <c r="C129" s="41" t="s">
        <v>436</v>
      </c>
      <c r="D129" s="42">
        <v>15029</v>
      </c>
      <c r="E129" s="43"/>
      <c r="F129" s="41"/>
      <c r="G129" s="42"/>
      <c r="H129" s="43"/>
      <c r="I129" s="41"/>
      <c r="J129" s="42"/>
      <c r="K129" s="43"/>
      <c r="L129" s="41"/>
      <c r="M129" s="42"/>
      <c r="N129" s="43"/>
      <c r="O129" s="41"/>
      <c r="P129" s="42"/>
      <c r="Q129" s="43"/>
    </row>
    <row r="130" spans="1:17" x14ac:dyDescent="0.25">
      <c r="A130" s="364"/>
      <c r="B130" s="367"/>
      <c r="E130" s="303" t="s">
        <v>362</v>
      </c>
      <c r="F130" s="41"/>
      <c r="G130" s="42"/>
      <c r="H130" s="303" t="s">
        <v>362</v>
      </c>
      <c r="K130" s="303" t="s">
        <v>362</v>
      </c>
      <c r="L130" s="41"/>
      <c r="M130" s="42"/>
      <c r="N130" s="303" t="s">
        <v>362</v>
      </c>
      <c r="O130" s="300"/>
      <c r="P130" s="301"/>
      <c r="Q130" s="303" t="s">
        <v>362</v>
      </c>
    </row>
    <row r="131" spans="1:17" ht="15" x14ac:dyDescent="0.4">
      <c r="A131" s="364"/>
      <c r="B131" s="367"/>
      <c r="C131" s="219" t="s">
        <v>235</v>
      </c>
      <c r="D131" s="220"/>
      <c r="E131" s="221" t="s">
        <v>363</v>
      </c>
      <c r="F131" s="219" t="s">
        <v>235</v>
      </c>
      <c r="G131" s="220"/>
      <c r="H131" s="221" t="s">
        <v>363</v>
      </c>
      <c r="I131" s="219" t="s">
        <v>235</v>
      </c>
      <c r="J131" s="220"/>
      <c r="K131" s="221" t="s">
        <v>363</v>
      </c>
      <c r="L131" s="219" t="s">
        <v>235</v>
      </c>
      <c r="M131" s="220"/>
      <c r="N131" s="221" t="s">
        <v>363</v>
      </c>
      <c r="O131" s="219" t="s">
        <v>235</v>
      </c>
      <c r="P131" s="302" t="s">
        <v>234</v>
      </c>
      <c r="Q131" s="221" t="s">
        <v>363</v>
      </c>
    </row>
    <row r="132" spans="1:17" x14ac:dyDescent="0.25">
      <c r="A132" s="365"/>
      <c r="B132" s="368"/>
      <c r="C132" s="222">
        <v>30471</v>
      </c>
      <c r="D132" s="222">
        <f>SUM(D115:D131)</f>
        <v>26831</v>
      </c>
      <c r="E132" s="299">
        <f>+D132-C132</f>
        <v>-3640</v>
      </c>
      <c r="F132" s="222">
        <v>32227</v>
      </c>
      <c r="G132" s="222">
        <f>SUM(G115:G131)</f>
        <v>24843</v>
      </c>
      <c r="H132" s="299">
        <f>+G132-F132</f>
        <v>-7384</v>
      </c>
      <c r="I132" s="222">
        <v>33006</v>
      </c>
      <c r="J132" s="222">
        <f>SUM(J115:J131)</f>
        <v>6953</v>
      </c>
      <c r="K132" s="299">
        <f>+J132-I132</f>
        <v>-26053</v>
      </c>
      <c r="L132" s="222">
        <v>40262</v>
      </c>
      <c r="M132" s="222">
        <f>SUM(M115:M131)</f>
        <v>0</v>
      </c>
      <c r="N132" s="299">
        <f>+M132-L132</f>
        <v>-40262</v>
      </c>
      <c r="O132" s="222">
        <f>L132+I132+F132+C132</f>
        <v>135966</v>
      </c>
      <c r="P132" s="222">
        <f>M132+J132+G132+D132</f>
        <v>58627</v>
      </c>
      <c r="Q132" s="299">
        <f>+P132-O132</f>
        <v>-77339</v>
      </c>
    </row>
    <row r="133" spans="1:17" ht="15" x14ac:dyDescent="0.4">
      <c r="A133" s="363"/>
      <c r="B133" s="366" t="s">
        <v>5</v>
      </c>
      <c r="C133" s="215" t="s">
        <v>233</v>
      </c>
      <c r="D133" s="216" t="s">
        <v>234</v>
      </c>
      <c r="E133" s="217"/>
      <c r="F133" s="215" t="s">
        <v>233</v>
      </c>
      <c r="G133" s="216" t="s">
        <v>234</v>
      </c>
      <c r="H133" s="217"/>
      <c r="I133" s="215" t="s">
        <v>233</v>
      </c>
      <c r="J133" s="216" t="s">
        <v>234</v>
      </c>
      <c r="K133" s="217"/>
      <c r="L133" s="215" t="s">
        <v>233</v>
      </c>
      <c r="M133" s="216" t="s">
        <v>234</v>
      </c>
      <c r="N133" s="217"/>
      <c r="O133" s="215"/>
      <c r="P133" s="216"/>
      <c r="Q133" s="217"/>
    </row>
    <row r="134" spans="1:17" x14ac:dyDescent="0.25">
      <c r="A134" s="364"/>
      <c r="B134" s="367"/>
      <c r="C134" s="41" t="s">
        <v>187</v>
      </c>
      <c r="D134" s="42">
        <v>4000</v>
      </c>
      <c r="E134" s="43"/>
      <c r="F134" s="41" t="s">
        <v>400</v>
      </c>
      <c r="G134" s="42">
        <v>10000</v>
      </c>
      <c r="H134" s="43"/>
      <c r="I134" s="41" t="s">
        <v>404</v>
      </c>
      <c r="J134" s="42">
        <v>10000</v>
      </c>
      <c r="K134" s="43"/>
      <c r="L134" s="41" t="s">
        <v>405</v>
      </c>
      <c r="M134" s="42">
        <v>0</v>
      </c>
      <c r="N134" s="43"/>
      <c r="O134" s="41"/>
      <c r="P134" s="42"/>
      <c r="Q134" s="43"/>
    </row>
    <row r="135" spans="1:17" x14ac:dyDescent="0.25">
      <c r="A135" s="364"/>
      <c r="B135" s="367"/>
      <c r="C135" s="41" t="s">
        <v>184</v>
      </c>
      <c r="D135" s="42">
        <v>1000</v>
      </c>
      <c r="E135" s="43"/>
      <c r="F135" s="41" t="s">
        <v>399</v>
      </c>
      <c r="G135" s="42">
        <v>5000</v>
      </c>
      <c r="H135" s="43"/>
      <c r="I135" s="41" t="s">
        <v>469</v>
      </c>
      <c r="J135" s="42">
        <v>5000</v>
      </c>
      <c r="K135" s="43"/>
      <c r="L135" s="41" t="s">
        <v>406</v>
      </c>
      <c r="M135" s="42">
        <v>0</v>
      </c>
      <c r="N135" s="43"/>
      <c r="O135" s="41"/>
      <c r="P135" s="42"/>
      <c r="Q135" s="43"/>
    </row>
    <row r="136" spans="1:17" x14ac:dyDescent="0.25">
      <c r="A136" s="364"/>
      <c r="B136" s="367"/>
      <c r="C136" s="41" t="s">
        <v>398</v>
      </c>
      <c r="D136" s="42">
        <v>2000</v>
      </c>
      <c r="E136" s="43"/>
      <c r="F136" s="41" t="s">
        <v>403</v>
      </c>
      <c r="G136" s="42">
        <v>5000</v>
      </c>
      <c r="H136" s="43"/>
      <c r="I136" s="41"/>
      <c r="J136" s="42"/>
      <c r="K136" s="43"/>
      <c r="L136" s="41"/>
      <c r="M136" s="42"/>
      <c r="N136" s="43"/>
      <c r="O136" s="41"/>
      <c r="P136" s="42"/>
      <c r="Q136" s="43"/>
    </row>
    <row r="137" spans="1:17" x14ac:dyDescent="0.25">
      <c r="A137" s="364"/>
      <c r="B137" s="367"/>
      <c r="C137" s="41"/>
      <c r="D137" s="42"/>
      <c r="E137" s="43"/>
      <c r="F137" s="41" t="s">
        <v>468</v>
      </c>
      <c r="G137" s="42">
        <v>5000</v>
      </c>
      <c r="H137" s="43"/>
      <c r="I137" s="41"/>
      <c r="J137" s="42"/>
      <c r="K137" s="43"/>
      <c r="L137" s="41"/>
      <c r="M137" s="42"/>
      <c r="N137" s="43"/>
      <c r="O137" s="41"/>
      <c r="P137" s="42"/>
      <c r="Q137" s="43"/>
    </row>
    <row r="138" spans="1:17" x14ac:dyDescent="0.25">
      <c r="A138" s="364"/>
      <c r="B138" s="367"/>
      <c r="C138" s="41" t="s">
        <v>189</v>
      </c>
      <c r="D138" s="42">
        <v>2000</v>
      </c>
      <c r="E138" s="43"/>
      <c r="F138" s="41" t="s">
        <v>402</v>
      </c>
      <c r="G138" s="42">
        <v>3000</v>
      </c>
      <c r="H138" s="43"/>
      <c r="I138" s="41"/>
      <c r="J138" s="42"/>
      <c r="K138" s="43"/>
      <c r="L138" s="41"/>
      <c r="M138" s="42"/>
      <c r="N138" s="43"/>
      <c r="O138" s="41"/>
      <c r="P138" s="42"/>
      <c r="Q138" s="43"/>
    </row>
    <row r="139" spans="1:17" x14ac:dyDescent="0.25">
      <c r="A139" s="364"/>
      <c r="B139" s="367"/>
      <c r="C139" s="42" t="s">
        <v>186</v>
      </c>
      <c r="D139" s="42">
        <v>2000</v>
      </c>
      <c r="E139" s="43"/>
      <c r="F139" s="41" t="s">
        <v>467</v>
      </c>
      <c r="G139" s="42">
        <v>2000</v>
      </c>
      <c r="H139" s="43"/>
      <c r="I139" s="41"/>
      <c r="J139" s="42"/>
      <c r="K139" s="43"/>
      <c r="L139" s="41"/>
      <c r="M139" s="42"/>
      <c r="N139" s="43"/>
      <c r="O139" s="41"/>
      <c r="P139" s="42"/>
      <c r="Q139" s="43"/>
    </row>
    <row r="140" spans="1:17" x14ac:dyDescent="0.25">
      <c r="A140" s="364"/>
      <c r="B140" s="367"/>
      <c r="C140" s="27" t="s">
        <v>430</v>
      </c>
      <c r="D140" s="44">
        <v>3000</v>
      </c>
      <c r="E140" s="43"/>
      <c r="F140" s="41" t="s">
        <v>401</v>
      </c>
      <c r="G140" s="42">
        <v>2000</v>
      </c>
      <c r="H140" s="43"/>
      <c r="I140" s="41"/>
      <c r="J140" s="42"/>
      <c r="K140" s="43"/>
      <c r="L140" s="41"/>
      <c r="M140" s="42"/>
      <c r="N140" s="43"/>
      <c r="O140" s="41"/>
      <c r="P140" s="42"/>
      <c r="Q140" s="43"/>
    </row>
    <row r="141" spans="1:17" x14ac:dyDescent="0.25">
      <c r="A141" s="364"/>
      <c r="B141" s="367"/>
      <c r="C141" s="41"/>
      <c r="D141" s="42"/>
      <c r="E141" s="303" t="s">
        <v>362</v>
      </c>
      <c r="F141" s="41"/>
      <c r="G141" s="42"/>
      <c r="H141" s="303" t="s">
        <v>362</v>
      </c>
      <c r="K141" s="303" t="s">
        <v>362</v>
      </c>
      <c r="L141" s="41"/>
      <c r="M141" s="42"/>
      <c r="N141" s="303" t="s">
        <v>362</v>
      </c>
      <c r="O141" s="300"/>
      <c r="P141" s="301"/>
      <c r="Q141" s="303" t="s">
        <v>362</v>
      </c>
    </row>
    <row r="142" spans="1:17" ht="15" x14ac:dyDescent="0.4">
      <c r="A142" s="364"/>
      <c r="B142" s="367"/>
      <c r="C142" s="219" t="s">
        <v>235</v>
      </c>
      <c r="D142" s="220"/>
      <c r="E142" s="221" t="s">
        <v>363</v>
      </c>
      <c r="F142" s="219" t="s">
        <v>235</v>
      </c>
      <c r="G142" s="220"/>
      <c r="H142" s="221" t="s">
        <v>363</v>
      </c>
      <c r="I142" s="219" t="s">
        <v>235</v>
      </c>
      <c r="J142" s="220"/>
      <c r="K142" s="221" t="s">
        <v>363</v>
      </c>
      <c r="L142" s="219" t="s">
        <v>235</v>
      </c>
      <c r="M142" s="220"/>
      <c r="N142" s="221" t="s">
        <v>363</v>
      </c>
      <c r="O142" s="219" t="s">
        <v>235</v>
      </c>
      <c r="P142" s="302" t="s">
        <v>234</v>
      </c>
      <c r="Q142" s="221" t="s">
        <v>363</v>
      </c>
    </row>
    <row r="143" spans="1:17" x14ac:dyDescent="0.25">
      <c r="A143" s="365"/>
      <c r="B143" s="368"/>
      <c r="C143" s="222">
        <v>12747</v>
      </c>
      <c r="D143" s="222">
        <f>SUM(D134:D142)</f>
        <v>14000</v>
      </c>
      <c r="E143" s="299">
        <f>+D143-C143</f>
        <v>1253</v>
      </c>
      <c r="F143" s="222">
        <v>12747</v>
      </c>
      <c r="G143" s="222">
        <f>SUM(G134:G142)</f>
        <v>32000</v>
      </c>
      <c r="H143" s="299">
        <f>+G143-F143</f>
        <v>19253</v>
      </c>
      <c r="I143" s="222">
        <v>12747</v>
      </c>
      <c r="J143" s="222">
        <f>SUM(J134:J142)</f>
        <v>15000</v>
      </c>
      <c r="K143" s="299">
        <f>+J143-I143</f>
        <v>2253</v>
      </c>
      <c r="L143" s="222">
        <v>20493</v>
      </c>
      <c r="M143" s="222">
        <f>SUM(M134:M142)</f>
        <v>0</v>
      </c>
      <c r="N143" s="299">
        <f>+M143-L143</f>
        <v>-20493</v>
      </c>
      <c r="O143" s="222">
        <f>L143+I143+F143+C143</f>
        <v>58734</v>
      </c>
      <c r="P143" s="222">
        <f>M143+J143+G143+D143</f>
        <v>61000</v>
      </c>
      <c r="Q143" s="299">
        <f>+P143-O143</f>
        <v>2266</v>
      </c>
    </row>
    <row r="144" spans="1:17" ht="15" x14ac:dyDescent="0.4">
      <c r="A144" s="363" t="s">
        <v>114</v>
      </c>
      <c r="B144" s="366" t="s">
        <v>447</v>
      </c>
      <c r="C144" s="215" t="s">
        <v>233</v>
      </c>
      <c r="D144" s="216" t="s">
        <v>234</v>
      </c>
      <c r="E144" s="217"/>
      <c r="F144" s="215" t="s">
        <v>233</v>
      </c>
      <c r="G144" s="216" t="s">
        <v>234</v>
      </c>
      <c r="H144" s="217"/>
      <c r="I144" s="215" t="s">
        <v>233</v>
      </c>
      <c r="J144" s="216" t="s">
        <v>234</v>
      </c>
      <c r="K144" s="217"/>
      <c r="L144" s="215" t="s">
        <v>233</v>
      </c>
      <c r="M144" s="216" t="s">
        <v>234</v>
      </c>
      <c r="N144" s="217"/>
      <c r="O144" s="215"/>
      <c r="P144" s="216"/>
      <c r="Q144" s="217"/>
    </row>
    <row r="145" spans="1:17" x14ac:dyDescent="0.25">
      <c r="A145" s="364"/>
      <c r="B145" s="367"/>
      <c r="C145" s="41" t="s">
        <v>276</v>
      </c>
      <c r="D145" s="42">
        <v>10000</v>
      </c>
      <c r="E145" s="43"/>
      <c r="F145" s="41" t="s">
        <v>285</v>
      </c>
      <c r="G145" s="42">
        <v>3000</v>
      </c>
      <c r="H145" s="43"/>
      <c r="I145" s="41" t="s">
        <v>291</v>
      </c>
      <c r="J145" s="42">
        <v>6000</v>
      </c>
      <c r="K145" s="43"/>
      <c r="L145" s="41"/>
      <c r="M145" s="42"/>
      <c r="N145" s="43"/>
      <c r="O145" s="41"/>
      <c r="P145" s="42"/>
      <c r="Q145" s="43"/>
    </row>
    <row r="146" spans="1:17" x14ac:dyDescent="0.25">
      <c r="A146" s="364"/>
      <c r="B146" s="367"/>
      <c r="C146" s="41" t="s">
        <v>278</v>
      </c>
      <c r="D146" s="42">
        <v>4000</v>
      </c>
      <c r="E146" s="43"/>
      <c r="F146" s="41" t="s">
        <v>286</v>
      </c>
      <c r="G146" s="42">
        <v>2000</v>
      </c>
      <c r="H146" s="43"/>
      <c r="I146" s="41" t="s">
        <v>290</v>
      </c>
      <c r="J146" s="42">
        <v>5000</v>
      </c>
      <c r="K146" s="43"/>
      <c r="L146" s="41"/>
      <c r="M146" s="42"/>
      <c r="N146" s="43"/>
      <c r="O146" s="41"/>
      <c r="P146" s="42"/>
      <c r="Q146" s="43"/>
    </row>
    <row r="147" spans="1:17" x14ac:dyDescent="0.25">
      <c r="A147" s="364"/>
      <c r="B147" s="367"/>
      <c r="C147" s="41" t="s">
        <v>279</v>
      </c>
      <c r="D147" s="42">
        <v>2900</v>
      </c>
      <c r="E147" s="43"/>
      <c r="F147" s="41" t="s">
        <v>287</v>
      </c>
      <c r="G147" s="254">
        <v>0</v>
      </c>
      <c r="H147" s="43"/>
      <c r="I147" s="41" t="s">
        <v>292</v>
      </c>
      <c r="J147" s="42">
        <v>2000</v>
      </c>
      <c r="K147" s="43"/>
      <c r="L147" s="41"/>
      <c r="M147" s="42"/>
      <c r="N147" s="43"/>
      <c r="O147" s="41"/>
      <c r="P147" s="42"/>
      <c r="Q147" s="43"/>
    </row>
    <row r="148" spans="1:17" x14ac:dyDescent="0.25">
      <c r="A148" s="364"/>
      <c r="B148" s="367"/>
      <c r="C148" s="41" t="s">
        <v>280</v>
      </c>
      <c r="D148" s="42">
        <v>2000</v>
      </c>
      <c r="E148" s="43"/>
      <c r="F148" s="41" t="s">
        <v>288</v>
      </c>
      <c r="G148" s="254">
        <v>0</v>
      </c>
      <c r="H148" s="43"/>
      <c r="I148" s="41"/>
      <c r="J148" s="42"/>
      <c r="K148" s="43"/>
      <c r="L148" s="41"/>
      <c r="M148" s="42"/>
      <c r="N148" s="43"/>
      <c r="O148" s="41"/>
      <c r="P148" s="42"/>
      <c r="Q148" s="43"/>
    </row>
    <row r="149" spans="1:17" x14ac:dyDescent="0.25">
      <c r="A149" s="364"/>
      <c r="B149" s="367"/>
      <c r="C149" s="41" t="s">
        <v>277</v>
      </c>
      <c r="D149" s="42">
        <v>2000</v>
      </c>
      <c r="E149" s="43"/>
      <c r="F149" s="41" t="s">
        <v>289</v>
      </c>
      <c r="G149" s="254">
        <v>0</v>
      </c>
      <c r="H149" s="43"/>
      <c r="I149" s="41"/>
      <c r="J149" s="42"/>
      <c r="K149" s="43"/>
      <c r="L149" s="41"/>
      <c r="M149" s="42"/>
      <c r="N149" s="43"/>
      <c r="O149" s="41"/>
      <c r="P149" s="42"/>
      <c r="Q149" s="43"/>
    </row>
    <row r="150" spans="1:17" x14ac:dyDescent="0.25">
      <c r="A150" s="364"/>
      <c r="B150" s="367"/>
      <c r="C150" s="41" t="s">
        <v>282</v>
      </c>
      <c r="D150" s="42">
        <v>800</v>
      </c>
      <c r="E150" s="43"/>
      <c r="F150" s="41"/>
      <c r="G150" s="254"/>
      <c r="H150" s="43"/>
      <c r="I150" s="41"/>
      <c r="J150" s="42"/>
      <c r="K150" s="43"/>
      <c r="L150" s="41"/>
      <c r="M150" s="42"/>
      <c r="N150" s="43"/>
      <c r="O150" s="41"/>
      <c r="P150" s="42"/>
      <c r="Q150" s="43"/>
    </row>
    <row r="151" spans="1:17" x14ac:dyDescent="0.25">
      <c r="A151" s="364"/>
      <c r="B151" s="367"/>
      <c r="C151" s="41" t="s">
        <v>281</v>
      </c>
      <c r="D151" s="42">
        <v>500</v>
      </c>
      <c r="E151" s="43"/>
      <c r="F151" s="41"/>
      <c r="G151" s="42"/>
      <c r="H151" s="43"/>
      <c r="I151" s="41"/>
      <c r="J151" s="42"/>
      <c r="K151" s="43"/>
      <c r="L151" s="41"/>
      <c r="M151" s="42"/>
      <c r="N151" s="43"/>
      <c r="O151" s="41"/>
      <c r="P151" s="42"/>
      <c r="Q151" s="43"/>
    </row>
    <row r="152" spans="1:17" x14ac:dyDescent="0.25">
      <c r="A152" s="364"/>
      <c r="B152" s="367"/>
      <c r="C152" s="41" t="s">
        <v>283</v>
      </c>
      <c r="D152" s="42">
        <v>500</v>
      </c>
      <c r="E152" s="43"/>
      <c r="F152" s="41"/>
      <c r="G152" s="42"/>
      <c r="H152" s="43"/>
      <c r="I152" s="41"/>
      <c r="J152" s="42"/>
      <c r="K152" s="43"/>
      <c r="L152" s="41"/>
      <c r="M152" s="42"/>
      <c r="N152" s="43"/>
      <c r="O152" s="41"/>
      <c r="P152" s="42"/>
      <c r="Q152" s="43"/>
    </row>
    <row r="153" spans="1:17" x14ac:dyDescent="0.25">
      <c r="A153" s="364"/>
      <c r="B153" s="367"/>
      <c r="C153" s="41" t="s">
        <v>284</v>
      </c>
      <c r="D153" s="254">
        <v>0</v>
      </c>
      <c r="E153" s="43"/>
      <c r="F153" s="41"/>
      <c r="G153" s="42"/>
      <c r="H153" s="43"/>
      <c r="I153" s="41"/>
      <c r="J153" s="42"/>
      <c r="K153" s="43"/>
      <c r="L153" s="41"/>
      <c r="M153" s="42"/>
      <c r="N153" s="43"/>
      <c r="O153" s="300"/>
      <c r="P153" s="301"/>
      <c r="Q153" s="303"/>
    </row>
    <row r="154" spans="1:17" x14ac:dyDescent="0.25">
      <c r="A154" s="364"/>
      <c r="B154" s="367"/>
      <c r="C154" s="41"/>
      <c r="D154" s="42"/>
      <c r="E154" s="303" t="s">
        <v>362</v>
      </c>
      <c r="F154" s="41"/>
      <c r="G154" s="42"/>
      <c r="H154" s="303" t="s">
        <v>362</v>
      </c>
      <c r="K154" s="303" t="s">
        <v>362</v>
      </c>
      <c r="L154" s="41"/>
      <c r="M154" s="42"/>
      <c r="N154" s="303" t="s">
        <v>362</v>
      </c>
      <c r="O154" s="300"/>
      <c r="P154" s="301"/>
      <c r="Q154" s="303" t="s">
        <v>362</v>
      </c>
    </row>
    <row r="155" spans="1:17" ht="15" x14ac:dyDescent="0.4">
      <c r="A155" s="364"/>
      <c r="B155" s="367"/>
      <c r="C155" s="219" t="s">
        <v>235</v>
      </c>
      <c r="D155" s="220"/>
      <c r="E155" s="221" t="s">
        <v>363</v>
      </c>
      <c r="F155" s="219" t="s">
        <v>235</v>
      </c>
      <c r="G155" s="220"/>
      <c r="H155" s="221" t="s">
        <v>363</v>
      </c>
      <c r="I155" s="219" t="s">
        <v>235</v>
      </c>
      <c r="J155" s="220"/>
      <c r="K155" s="221" t="s">
        <v>363</v>
      </c>
      <c r="L155" s="219" t="s">
        <v>235</v>
      </c>
      <c r="M155" s="220"/>
      <c r="N155" s="221" t="s">
        <v>363</v>
      </c>
      <c r="O155" s="219" t="s">
        <v>235</v>
      </c>
      <c r="P155" s="302" t="s">
        <v>234</v>
      </c>
      <c r="Q155" s="221" t="s">
        <v>363</v>
      </c>
    </row>
    <row r="156" spans="1:17" x14ac:dyDescent="0.25">
      <c r="A156" s="365"/>
      <c r="B156" s="368"/>
      <c r="C156" s="222">
        <v>11556</v>
      </c>
      <c r="D156" s="222">
        <f>SUM(D145:D155)</f>
        <v>22700</v>
      </c>
      <c r="E156" s="299">
        <f>+D156-C156</f>
        <v>11144</v>
      </c>
      <c r="F156" s="222">
        <v>11556</v>
      </c>
      <c r="G156" s="222">
        <f>SUM(G145:G155)</f>
        <v>5000</v>
      </c>
      <c r="H156" s="299">
        <f>+G156-F156</f>
        <v>-6556</v>
      </c>
      <c r="I156" s="222">
        <v>11556</v>
      </c>
      <c r="J156" s="222">
        <f>SUM(J145:J155)</f>
        <v>13000</v>
      </c>
      <c r="K156" s="299">
        <f>+J156-I156</f>
        <v>1444</v>
      </c>
      <c r="L156" s="222">
        <f>11556*1.35</f>
        <v>15600.6</v>
      </c>
      <c r="M156" s="222">
        <f>SUM(M145:M155)</f>
        <v>0</v>
      </c>
      <c r="N156" s="299">
        <f>+M156-L156</f>
        <v>-15600.6</v>
      </c>
      <c r="O156" s="222">
        <f>L156+I156+F156+C156</f>
        <v>50268.6</v>
      </c>
      <c r="P156" s="222">
        <f>M156+J156+G156+D156</f>
        <v>40700</v>
      </c>
      <c r="Q156" s="299">
        <f>+P156-O156</f>
        <v>-9568.5999999999985</v>
      </c>
    </row>
    <row r="157" spans="1:17" s="153" customFormat="1" ht="12" customHeight="1" x14ac:dyDescent="0.4">
      <c r="A157" s="372" t="s">
        <v>437</v>
      </c>
      <c r="B157" s="375" t="s">
        <v>438</v>
      </c>
      <c r="C157" s="321" t="s">
        <v>233</v>
      </c>
      <c r="D157" s="322" t="s">
        <v>234</v>
      </c>
      <c r="E157" s="323"/>
      <c r="F157" s="321" t="s">
        <v>233</v>
      </c>
      <c r="G157" s="322" t="s">
        <v>234</v>
      </c>
      <c r="H157" s="323"/>
      <c r="I157" s="321" t="s">
        <v>233</v>
      </c>
      <c r="J157" s="322" t="s">
        <v>234</v>
      </c>
      <c r="K157" s="323"/>
      <c r="L157" s="321" t="s">
        <v>233</v>
      </c>
      <c r="M157" s="322" t="s">
        <v>234</v>
      </c>
      <c r="N157" s="323"/>
      <c r="O157" s="321"/>
      <c r="P157" s="322"/>
      <c r="Q157" s="323"/>
    </row>
    <row r="158" spans="1:17" s="153" customFormat="1" ht="12" customHeight="1" x14ac:dyDescent="0.25">
      <c r="A158" s="373"/>
      <c r="B158" s="376"/>
      <c r="C158" s="41"/>
      <c r="D158" s="42"/>
      <c r="E158" s="43"/>
      <c r="F158" s="41" t="s">
        <v>439</v>
      </c>
      <c r="G158" s="42">
        <v>30000</v>
      </c>
      <c r="H158" s="43"/>
      <c r="I158" s="41"/>
      <c r="J158" s="42"/>
      <c r="K158" s="43"/>
      <c r="L158" s="41"/>
      <c r="M158" s="42"/>
      <c r="N158" s="43"/>
      <c r="O158" s="41"/>
      <c r="P158" s="42"/>
      <c r="Q158" s="43"/>
    </row>
    <row r="159" spans="1:17" s="153" customFormat="1" ht="12" customHeight="1" x14ac:dyDescent="0.25">
      <c r="A159" s="373"/>
      <c r="B159" s="376"/>
      <c r="C159" s="41"/>
      <c r="D159" s="42"/>
      <c r="E159" s="277" t="s">
        <v>362</v>
      </c>
      <c r="F159" s="41"/>
      <c r="G159" s="42"/>
      <c r="H159" s="277" t="s">
        <v>362</v>
      </c>
      <c r="I159" s="27"/>
      <c r="J159" s="27"/>
      <c r="K159" s="277" t="s">
        <v>362</v>
      </c>
      <c r="L159" s="41"/>
      <c r="M159" s="42"/>
      <c r="N159" s="277" t="s">
        <v>362</v>
      </c>
      <c r="O159" s="276"/>
      <c r="P159" s="256"/>
      <c r="Q159" s="277" t="s">
        <v>362</v>
      </c>
    </row>
    <row r="160" spans="1:17" s="153" customFormat="1" ht="12" customHeight="1" x14ac:dyDescent="0.4">
      <c r="A160" s="373"/>
      <c r="B160" s="376"/>
      <c r="C160" s="324" t="s">
        <v>235</v>
      </c>
      <c r="D160" s="325"/>
      <c r="E160" s="326" t="s">
        <v>363</v>
      </c>
      <c r="F160" s="324" t="s">
        <v>235</v>
      </c>
      <c r="G160" s="325"/>
      <c r="H160" s="326" t="s">
        <v>363</v>
      </c>
      <c r="I160" s="324" t="s">
        <v>235</v>
      </c>
      <c r="J160" s="325"/>
      <c r="K160" s="326" t="s">
        <v>363</v>
      </c>
      <c r="L160" s="324" t="s">
        <v>235</v>
      </c>
      <c r="M160" s="325"/>
      <c r="N160" s="326" t="s">
        <v>363</v>
      </c>
      <c r="O160" s="324" t="s">
        <v>235</v>
      </c>
      <c r="P160" s="327" t="s">
        <v>234</v>
      </c>
      <c r="Q160" s="326" t="s">
        <v>363</v>
      </c>
    </row>
    <row r="161" spans="1:44" s="153" customFormat="1" ht="12" customHeight="1" x14ac:dyDescent="0.25">
      <c r="A161" s="374"/>
      <c r="B161" s="377"/>
      <c r="C161" s="328">
        <v>38074</v>
      </c>
      <c r="D161" s="328">
        <f>SUM(D158:D160)</f>
        <v>0</v>
      </c>
      <c r="E161" s="329">
        <f>+D161-C161</f>
        <v>-38074</v>
      </c>
      <c r="F161" s="328">
        <v>23439</v>
      </c>
      <c r="G161" s="328">
        <f>SUM(G158:G160)</f>
        <v>30000</v>
      </c>
      <c r="H161" s="329">
        <f>+G161-F161</f>
        <v>6561</v>
      </c>
      <c r="I161" s="328">
        <v>23439</v>
      </c>
      <c r="J161" s="328">
        <f>SUM(J158:J160)</f>
        <v>0</v>
      </c>
      <c r="K161" s="329">
        <f>+J161-I161</f>
        <v>-23439</v>
      </c>
      <c r="L161" s="328"/>
      <c r="M161" s="328">
        <f>SUM(M158:M160)</f>
        <v>0</v>
      </c>
      <c r="N161" s="329">
        <f>+M161-L161</f>
        <v>0</v>
      </c>
      <c r="O161" s="328">
        <f>L161+I161+F161+C161</f>
        <v>84952</v>
      </c>
      <c r="P161" s="328">
        <f>M161+J161+G161+D161</f>
        <v>30000</v>
      </c>
      <c r="Q161" s="329">
        <f>+P161-O161</f>
        <v>-54952</v>
      </c>
    </row>
    <row r="162" spans="1:44" s="153" customFormat="1" ht="12" customHeight="1" x14ac:dyDescent="0.25">
      <c r="A162" s="330"/>
      <c r="B162" s="330"/>
      <c r="C162" s="331"/>
      <c r="D162" s="331"/>
      <c r="E162" s="332"/>
      <c r="F162" s="331"/>
      <c r="G162" s="331"/>
      <c r="H162" s="332"/>
      <c r="I162" s="331"/>
      <c r="J162" s="331"/>
      <c r="K162" s="332"/>
      <c r="L162" s="331"/>
      <c r="M162" s="331"/>
      <c r="N162" s="332"/>
      <c r="O162" s="331"/>
      <c r="P162" s="331"/>
      <c r="Q162" s="332"/>
    </row>
    <row r="163" spans="1:44" x14ac:dyDescent="0.25">
      <c r="A163" s="226"/>
      <c r="B163" s="218"/>
      <c r="C163" s="222">
        <f>C156+C143+C132+C113+C92+C101+C83+C74+C67+C58+C45+C30+C19+C161</f>
        <v>214473</v>
      </c>
      <c r="D163" s="222">
        <f>D156+D143+D132+D113+D92+D101+D83+D74+D67+D58+D45+D30+D19+D161</f>
        <v>145381</v>
      </c>
      <c r="E163" s="299">
        <f>+D163-C163</f>
        <v>-69092</v>
      </c>
      <c r="F163" s="222">
        <f>F156+F143+F132+F113+F92+F101+F83+F74+F67+F58+F45+F30+F19+F161</f>
        <v>205953</v>
      </c>
      <c r="G163" s="222">
        <f>G156+G143+G132+G113+G92+G101+G83+G74+G67+G58+G45+G30+G19+G161</f>
        <v>251293</v>
      </c>
      <c r="H163" s="299">
        <f>+G163-F163</f>
        <v>45340</v>
      </c>
      <c r="I163" s="222">
        <f>I156+I143+I132+I113+I92+I101+I83+I74+I67+I58+I45+I30+I19+I161</f>
        <v>235027</v>
      </c>
      <c r="J163" s="222">
        <f>J156+J143+J132+J113+J92+J101+J83+J74+J67+J58+J45+J30+J19+J161</f>
        <v>310953</v>
      </c>
      <c r="K163" s="299">
        <f>+J163-I163</f>
        <v>75926</v>
      </c>
      <c r="L163" s="222">
        <f>L156+L143+L132+L113+L92+L101+L83+L74+L67+L58+L45+L30+L19+L161</f>
        <v>219623.05000000005</v>
      </c>
      <c r="M163" s="222">
        <f>M156+M143+M132+M113+M92+M101+M83+M74+M67+M58+M45+M30+M19+M161</f>
        <v>58500</v>
      </c>
      <c r="N163" s="299">
        <f>+M163-L163</f>
        <v>-161123.05000000005</v>
      </c>
      <c r="O163" s="222">
        <f>L163+I163+F163+C163+O161</f>
        <v>960028.05</v>
      </c>
      <c r="P163" s="222">
        <f>M163+J163+G163+D163+P161</f>
        <v>796127</v>
      </c>
      <c r="Q163" s="299">
        <f>+P163-O163</f>
        <v>-163901.05000000005</v>
      </c>
      <c r="T163" s="225"/>
      <c r="U163" s="225"/>
      <c r="V163" s="225"/>
      <c r="W163" s="225"/>
      <c r="X163" s="225"/>
      <c r="Y163" s="225"/>
      <c r="Z163" s="225"/>
      <c r="AA163" s="225"/>
      <c r="AB163" s="225"/>
      <c r="AC163" s="225"/>
      <c r="AD163" s="225"/>
      <c r="AE163" s="225"/>
      <c r="AF163" s="225"/>
      <c r="AG163" s="225"/>
      <c r="AH163" s="225"/>
      <c r="AI163" s="225"/>
      <c r="AJ163" s="225"/>
      <c r="AK163" s="225"/>
      <c r="AL163" s="225"/>
      <c r="AM163" s="225"/>
      <c r="AN163" s="225"/>
      <c r="AO163" s="225"/>
      <c r="AP163" s="225"/>
      <c r="AQ163" s="225"/>
      <c r="AR163" s="225"/>
    </row>
    <row r="164" spans="1:44" s="225" customFormat="1" ht="6.75" customHeight="1" x14ac:dyDescent="0.25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</row>
  </sheetData>
  <mergeCells count="34">
    <mergeCell ref="O5:Q5"/>
    <mergeCell ref="B84:B92"/>
    <mergeCell ref="A84:A92"/>
    <mergeCell ref="B93:B101"/>
    <mergeCell ref="A93:A101"/>
    <mergeCell ref="C5:E5"/>
    <mergeCell ref="F5:H5"/>
    <mergeCell ref="I5:K5"/>
    <mergeCell ref="L5:N5"/>
    <mergeCell ref="A6:A19"/>
    <mergeCell ref="B6:B19"/>
    <mergeCell ref="A20:A30"/>
    <mergeCell ref="B20:B30"/>
    <mergeCell ref="A157:A161"/>
    <mergeCell ref="B157:B161"/>
    <mergeCell ref="A31:A45"/>
    <mergeCell ref="B31:B45"/>
    <mergeCell ref="B102:B113"/>
    <mergeCell ref="A75:A83"/>
    <mergeCell ref="B75:B83"/>
    <mergeCell ref="A46:A58"/>
    <mergeCell ref="B46:B58"/>
    <mergeCell ref="A59:A67"/>
    <mergeCell ref="B59:B67"/>
    <mergeCell ref="L3:Q3"/>
    <mergeCell ref="A144:A156"/>
    <mergeCell ref="B144:B156"/>
    <mergeCell ref="A114:A132"/>
    <mergeCell ref="B114:B132"/>
    <mergeCell ref="A133:A143"/>
    <mergeCell ref="B133:B143"/>
    <mergeCell ref="A102:A113"/>
    <mergeCell ref="A68:A74"/>
    <mergeCell ref="B68:B74"/>
  </mergeCells>
  <printOptions horizontalCentered="1"/>
  <pageMargins left="0.28000000000000003" right="0.25" top="0.22" bottom="0.24" header="0.27" footer="0.27"/>
  <pageSetup scale="66" fitToHeight="2" orientation="portrait" r:id="rId1"/>
  <headerFooter alignWithMargins="0"/>
  <rowBreaks count="1" manualBreakCount="1">
    <brk id="83" max="16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336"/>
  <sheetViews>
    <sheetView topLeftCell="A79" workbookViewId="0">
      <selection activeCell="M121" sqref="M121:M123"/>
    </sheetView>
  </sheetViews>
  <sheetFormatPr defaultRowHeight="12.75" x14ac:dyDescent="0.2"/>
  <cols>
    <col min="1" max="1" width="1.7109375" style="85" customWidth="1"/>
    <col min="2" max="2" width="19.7109375" style="85" customWidth="1"/>
    <col min="3" max="3" width="10.7109375" style="85" customWidth="1"/>
    <col min="4" max="4" width="1.7109375" style="85" customWidth="1"/>
    <col min="5" max="5" width="8.7109375" style="85" customWidth="1"/>
    <col min="6" max="6" width="1.7109375" style="85" customWidth="1"/>
    <col min="7" max="7" width="8.7109375" style="85" customWidth="1"/>
    <col min="8" max="8" width="1.7109375" style="85" customWidth="1"/>
    <col min="9" max="9" width="8.7109375" style="85" customWidth="1"/>
    <col min="10" max="10" width="1.7109375" style="85" customWidth="1"/>
    <col min="11" max="11" width="8.7109375" style="85" customWidth="1"/>
    <col min="12" max="12" width="1.7109375" style="85" customWidth="1"/>
    <col min="13" max="13" width="8.7109375" style="85" customWidth="1"/>
    <col min="14" max="14" width="9.140625" style="150"/>
    <col min="15" max="15" width="9.140625" style="170"/>
    <col min="16" max="24" width="9.140625" style="150"/>
    <col min="25" max="16384" width="9.140625" style="85"/>
  </cols>
  <sheetData>
    <row r="1" spans="1:24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147"/>
      <c r="O1" s="167"/>
      <c r="P1" s="147"/>
      <c r="Q1" s="147"/>
      <c r="R1" s="147"/>
      <c r="S1" s="147"/>
      <c r="T1" s="147"/>
      <c r="U1" s="147"/>
      <c r="V1" s="147"/>
      <c r="W1" s="147"/>
      <c r="X1" s="147"/>
    </row>
    <row r="2" spans="1:24" ht="16.5" x14ac:dyDescent="0.3">
      <c r="A2" s="379" t="s">
        <v>158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148"/>
      <c r="O2" s="168"/>
      <c r="P2" s="148"/>
      <c r="Q2" s="148"/>
      <c r="R2" s="148"/>
      <c r="S2" s="148"/>
      <c r="T2" s="148"/>
      <c r="U2" s="148"/>
      <c r="V2" s="148"/>
      <c r="W2" s="148"/>
      <c r="X2" s="148"/>
    </row>
    <row r="3" spans="1:24" x14ac:dyDescent="0.2">
      <c r="A3" s="380" t="str">
        <f>'Old Mgmt Summary'!A3</f>
        <v>Results based on Activity through April 28, 2000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149"/>
      <c r="O3" s="169"/>
      <c r="P3" s="149"/>
      <c r="Q3" s="149"/>
      <c r="R3" s="149"/>
      <c r="S3" s="149"/>
      <c r="T3" s="149"/>
      <c r="U3" s="149"/>
      <c r="V3" s="149"/>
      <c r="W3" s="149"/>
      <c r="X3" s="149"/>
    </row>
    <row r="4" spans="1:24" ht="3" customHeight="1" x14ac:dyDescent="0.2"/>
    <row r="5" spans="1:24" s="27" customFormat="1" x14ac:dyDescent="0.25">
      <c r="A5" s="151" t="s">
        <v>94</v>
      </c>
      <c r="B5" s="152"/>
      <c r="C5" s="152"/>
      <c r="D5" s="152"/>
      <c r="E5" s="145" t="s">
        <v>95</v>
      </c>
      <c r="F5" s="152"/>
      <c r="G5" s="145" t="s">
        <v>96</v>
      </c>
      <c r="H5" s="152"/>
      <c r="I5" s="145" t="s">
        <v>97</v>
      </c>
      <c r="J5" s="152"/>
      <c r="K5" s="145" t="s">
        <v>98</v>
      </c>
      <c r="L5" s="152"/>
      <c r="M5" s="146" t="s">
        <v>14</v>
      </c>
      <c r="N5" s="153"/>
      <c r="O5" s="171"/>
      <c r="P5" s="153"/>
      <c r="Q5" s="153"/>
      <c r="R5" s="153"/>
      <c r="S5" s="173" t="s">
        <v>115</v>
      </c>
      <c r="T5" s="153"/>
      <c r="U5" s="153"/>
      <c r="V5" s="153"/>
      <c r="W5" s="153"/>
      <c r="X5" s="153"/>
    </row>
    <row r="6" spans="1:24" s="27" customFormat="1" ht="3" customHeight="1" x14ac:dyDescent="0.25">
      <c r="N6" s="153"/>
      <c r="O6" s="172"/>
      <c r="P6" s="153"/>
      <c r="Q6" s="153"/>
      <c r="R6" s="153"/>
      <c r="S6" s="153"/>
      <c r="T6" s="153"/>
      <c r="U6" s="153"/>
      <c r="V6" s="153"/>
      <c r="W6" s="153"/>
      <c r="X6" s="153"/>
    </row>
    <row r="7" spans="1:24" s="27" customFormat="1" x14ac:dyDescent="0.25">
      <c r="A7" s="154" t="s">
        <v>114</v>
      </c>
      <c r="N7" s="153"/>
      <c r="O7" s="172"/>
      <c r="P7" s="153"/>
      <c r="Q7" s="153"/>
      <c r="R7" s="153"/>
      <c r="S7" s="153"/>
      <c r="T7" s="153"/>
      <c r="U7" s="153"/>
      <c r="V7" s="153"/>
      <c r="W7" s="153"/>
      <c r="X7" s="153"/>
    </row>
    <row r="8" spans="1:24" s="27" customFormat="1" x14ac:dyDescent="0.25">
      <c r="A8" s="154"/>
      <c r="N8" s="153"/>
      <c r="O8" s="172"/>
      <c r="P8" s="153"/>
      <c r="Q8" s="153"/>
      <c r="R8" s="153"/>
      <c r="S8" s="153"/>
      <c r="T8" s="153"/>
      <c r="U8" s="153"/>
      <c r="V8" s="153"/>
      <c r="W8" s="153"/>
      <c r="X8" s="153"/>
    </row>
    <row r="9" spans="1:24" s="27" customFormat="1" x14ac:dyDescent="0.25">
      <c r="E9" s="44"/>
      <c r="F9" s="44"/>
      <c r="G9" s="44"/>
      <c r="H9" s="44"/>
      <c r="I9" s="44"/>
      <c r="J9" s="44"/>
      <c r="K9" s="44"/>
      <c r="L9" s="44"/>
      <c r="M9" s="155"/>
      <c r="N9" s="153"/>
      <c r="O9" s="172"/>
      <c r="P9" s="153"/>
      <c r="Q9" s="153"/>
      <c r="R9" s="153"/>
      <c r="S9" s="153"/>
      <c r="T9" s="153"/>
      <c r="U9" s="153"/>
      <c r="V9" s="153"/>
      <c r="W9" s="153"/>
      <c r="X9" s="153"/>
    </row>
    <row r="10" spans="1:24" s="27" customFormat="1" x14ac:dyDescent="0.25">
      <c r="A10" s="156"/>
      <c r="B10" s="156"/>
      <c r="C10" s="156"/>
      <c r="D10" s="156"/>
      <c r="E10" s="157">
        <f>SUM(E8:E9)</f>
        <v>0</v>
      </c>
      <c r="F10" s="158"/>
      <c r="G10" s="157">
        <f>SUM(G8:G9)</f>
        <v>0</v>
      </c>
      <c r="H10" s="158"/>
      <c r="I10" s="157">
        <f>SUM(I8:I9)</f>
        <v>0</v>
      </c>
      <c r="J10" s="158"/>
      <c r="K10" s="157">
        <f>SUM(K8:K9)</f>
        <v>0</v>
      </c>
      <c r="L10" s="158"/>
      <c r="M10" s="157">
        <f>SUM(E10:K10)</f>
        <v>0</v>
      </c>
      <c r="N10" s="153"/>
      <c r="O10" s="172"/>
      <c r="P10" s="153"/>
      <c r="Q10" s="153"/>
      <c r="R10" s="153"/>
      <c r="S10" s="153"/>
      <c r="T10" s="153"/>
      <c r="U10" s="153"/>
      <c r="V10" s="153"/>
      <c r="W10" s="153"/>
      <c r="X10" s="153"/>
    </row>
    <row r="11" spans="1:24" s="27" customFormat="1" x14ac:dyDescent="0.25">
      <c r="A11" s="154" t="s">
        <v>5</v>
      </c>
      <c r="N11" s="153"/>
      <c r="O11" s="172"/>
      <c r="P11" s="153"/>
      <c r="Q11" s="153"/>
      <c r="R11" s="153"/>
      <c r="S11" s="153"/>
      <c r="T11" s="153"/>
      <c r="U11" s="153"/>
      <c r="V11" s="153"/>
      <c r="W11" s="153"/>
      <c r="X11" s="153"/>
    </row>
    <row r="12" spans="1:24" s="27" customFormat="1" x14ac:dyDescent="0.25">
      <c r="A12" s="154"/>
      <c r="B12" s="27" t="s">
        <v>184</v>
      </c>
      <c r="C12" s="27" t="s">
        <v>185</v>
      </c>
      <c r="I12" s="44">
        <v>2000</v>
      </c>
      <c r="N12" s="153"/>
      <c r="O12" s="172"/>
      <c r="P12" s="153"/>
      <c r="Q12" s="153"/>
      <c r="R12" s="153"/>
      <c r="S12" s="153"/>
      <c r="T12" s="153"/>
      <c r="U12" s="153"/>
      <c r="V12" s="153"/>
      <c r="W12" s="153"/>
      <c r="X12" s="153"/>
    </row>
    <row r="13" spans="1:24" s="27" customFormat="1" x14ac:dyDescent="0.25">
      <c r="A13" s="154"/>
      <c r="B13" s="27" t="s">
        <v>186</v>
      </c>
      <c r="C13" s="27" t="s">
        <v>185</v>
      </c>
      <c r="I13" s="44">
        <v>2000</v>
      </c>
      <c r="N13" s="153"/>
      <c r="O13" s="172"/>
      <c r="P13" s="153"/>
      <c r="Q13" s="153"/>
      <c r="R13" s="153"/>
      <c r="S13" s="153"/>
      <c r="T13" s="153"/>
      <c r="U13" s="153"/>
      <c r="V13" s="153"/>
      <c r="W13" s="153"/>
      <c r="X13" s="153"/>
    </row>
    <row r="14" spans="1:24" s="27" customFormat="1" x14ac:dyDescent="0.25">
      <c r="A14" s="154"/>
      <c r="B14" s="27" t="s">
        <v>187</v>
      </c>
      <c r="C14" s="27" t="s">
        <v>188</v>
      </c>
      <c r="I14" s="44">
        <v>1000</v>
      </c>
      <c r="N14" s="153"/>
      <c r="O14" s="172"/>
      <c r="P14" s="153"/>
      <c r="Q14" s="153"/>
      <c r="R14" s="153"/>
      <c r="S14" s="153"/>
      <c r="T14" s="153"/>
      <c r="U14" s="153"/>
      <c r="V14" s="153"/>
      <c r="W14" s="153"/>
      <c r="X14" s="153"/>
    </row>
    <row r="15" spans="1:24" s="27" customFormat="1" x14ac:dyDescent="0.25">
      <c r="A15" s="154"/>
      <c r="B15" s="27" t="s">
        <v>189</v>
      </c>
      <c r="C15" s="27" t="s">
        <v>190</v>
      </c>
      <c r="I15" s="44">
        <v>2000</v>
      </c>
      <c r="N15" s="153"/>
      <c r="O15" s="172"/>
      <c r="P15" s="153"/>
      <c r="Q15" s="153"/>
      <c r="R15" s="153"/>
      <c r="S15" s="153"/>
      <c r="T15" s="153"/>
      <c r="U15" s="153"/>
      <c r="V15" s="153"/>
      <c r="W15" s="153"/>
      <c r="X15" s="153"/>
    </row>
    <row r="16" spans="1:24" s="27" customFormat="1" x14ac:dyDescent="0.25">
      <c r="A16" s="156"/>
      <c r="B16" s="156"/>
      <c r="C16" s="156"/>
      <c r="D16" s="156"/>
      <c r="E16" s="157">
        <f>SUM(E12:E15)</f>
        <v>0</v>
      </c>
      <c r="F16" s="158"/>
      <c r="G16" s="157">
        <f>SUM(G12:G15)</f>
        <v>0</v>
      </c>
      <c r="H16" s="158"/>
      <c r="I16" s="157">
        <f>SUM(I12:I15)</f>
        <v>7000</v>
      </c>
      <c r="J16" s="158"/>
      <c r="K16" s="157">
        <f>SUM(K12:K15)</f>
        <v>0</v>
      </c>
      <c r="L16" s="158"/>
      <c r="M16" s="157">
        <f>SUM(E16:K16)</f>
        <v>7000</v>
      </c>
      <c r="N16" s="153"/>
      <c r="O16" s="172"/>
      <c r="P16" s="153"/>
      <c r="Q16" s="153"/>
      <c r="R16" s="153"/>
      <c r="S16" s="153"/>
      <c r="T16" s="153"/>
      <c r="U16" s="153"/>
      <c r="V16" s="153"/>
      <c r="W16" s="153"/>
      <c r="X16" s="153"/>
    </row>
    <row r="17" spans="1:24" s="27" customFormat="1" x14ac:dyDescent="0.25">
      <c r="A17" s="154" t="s">
        <v>156</v>
      </c>
      <c r="N17" s="153"/>
      <c r="O17" s="172"/>
      <c r="P17" s="153"/>
      <c r="Q17" s="153"/>
      <c r="R17" s="153"/>
      <c r="S17" s="153"/>
      <c r="T17" s="153"/>
      <c r="U17" s="153"/>
      <c r="V17" s="153"/>
      <c r="W17" s="153"/>
      <c r="X17" s="153"/>
    </row>
    <row r="18" spans="1:24" s="27" customFormat="1" x14ac:dyDescent="0.25">
      <c r="A18" s="154"/>
      <c r="B18" s="27" t="s">
        <v>268</v>
      </c>
      <c r="C18" s="27" t="s">
        <v>269</v>
      </c>
      <c r="G18" s="44">
        <v>1000</v>
      </c>
      <c r="N18" s="153"/>
      <c r="O18" s="172"/>
      <c r="P18" s="153"/>
      <c r="Q18" s="153"/>
      <c r="R18" s="153"/>
      <c r="S18" s="153"/>
      <c r="T18" s="153"/>
      <c r="U18" s="153"/>
      <c r="V18" s="153"/>
      <c r="W18" s="153"/>
      <c r="X18" s="153"/>
    </row>
    <row r="19" spans="1:24" s="27" customFormat="1" x14ac:dyDescent="0.25">
      <c r="A19" s="154"/>
      <c r="G19" s="44"/>
      <c r="I19" s="44"/>
      <c r="N19" s="153"/>
      <c r="O19" s="172"/>
      <c r="P19" s="153"/>
      <c r="Q19" s="153"/>
      <c r="R19" s="153"/>
      <c r="S19" s="153"/>
      <c r="T19" s="153"/>
      <c r="U19" s="153"/>
      <c r="V19" s="153"/>
      <c r="W19" s="153"/>
      <c r="X19" s="153"/>
    </row>
    <row r="20" spans="1:24" s="27" customFormat="1" x14ac:dyDescent="0.25">
      <c r="A20" s="156"/>
      <c r="B20" s="156"/>
      <c r="C20" s="156"/>
      <c r="D20" s="156"/>
      <c r="E20" s="157">
        <f>SUM(E18:E19)</f>
        <v>0</v>
      </c>
      <c r="F20" s="158"/>
      <c r="G20" s="157">
        <f>SUM(G18:G19)</f>
        <v>1000</v>
      </c>
      <c r="H20" s="158"/>
      <c r="I20" s="157">
        <f>SUM(I18:I19)</f>
        <v>0</v>
      </c>
      <c r="J20" s="158"/>
      <c r="K20" s="157">
        <f>SUM(K18:K19)</f>
        <v>0</v>
      </c>
      <c r="L20" s="158"/>
      <c r="M20" s="157">
        <f>SUM(E20:K20)</f>
        <v>1000</v>
      </c>
      <c r="N20" s="153"/>
      <c r="O20" s="172"/>
      <c r="P20" s="153"/>
      <c r="Q20" s="153"/>
      <c r="R20" s="153"/>
      <c r="S20" s="153"/>
      <c r="T20" s="153"/>
      <c r="U20" s="153"/>
      <c r="V20" s="153"/>
      <c r="W20" s="153"/>
      <c r="X20" s="153"/>
    </row>
    <row r="21" spans="1:24" s="27" customFormat="1" ht="12.75" customHeight="1" x14ac:dyDescent="0.25">
      <c r="A21" s="154" t="s">
        <v>144</v>
      </c>
      <c r="E21" s="44"/>
      <c r="F21" s="44"/>
      <c r="G21" s="44"/>
      <c r="H21" s="44"/>
      <c r="I21" s="44"/>
      <c r="J21" s="44"/>
      <c r="K21" s="44"/>
      <c r="L21" s="44"/>
      <c r="M21" s="44"/>
      <c r="N21" s="153"/>
      <c r="O21" s="172"/>
      <c r="P21" s="153"/>
      <c r="Q21" s="153"/>
      <c r="R21" s="153"/>
      <c r="S21" s="153"/>
      <c r="T21" s="153"/>
      <c r="U21" s="153"/>
      <c r="V21" s="153"/>
      <c r="W21" s="153"/>
      <c r="X21" s="153"/>
    </row>
    <row r="22" spans="1:24" s="27" customFormat="1" ht="12.75" customHeight="1" x14ac:dyDescent="0.25">
      <c r="A22" s="154"/>
      <c r="B22" s="27" t="s">
        <v>170</v>
      </c>
      <c r="C22" s="27" t="s">
        <v>171</v>
      </c>
      <c r="E22" s="44"/>
      <c r="F22" s="44"/>
      <c r="G22" s="44"/>
      <c r="H22" s="44"/>
      <c r="I22" s="44">
        <v>2000</v>
      </c>
      <c r="J22" s="44"/>
      <c r="K22" s="44"/>
      <c r="L22" s="44"/>
      <c r="M22" s="44"/>
      <c r="N22" s="153"/>
      <c r="O22" s="172"/>
      <c r="P22" s="153"/>
      <c r="Q22" s="153"/>
      <c r="R22" s="153"/>
      <c r="S22" s="153" t="s">
        <v>122</v>
      </c>
      <c r="T22" s="153"/>
      <c r="U22" s="153"/>
      <c r="V22" s="153"/>
      <c r="W22" s="153"/>
      <c r="X22" s="153"/>
    </row>
    <row r="23" spans="1:24" s="27" customFormat="1" ht="12.75" customHeight="1" x14ac:dyDescent="0.25">
      <c r="E23" s="44"/>
      <c r="F23" s="44"/>
      <c r="G23" s="44"/>
      <c r="H23" s="44"/>
      <c r="I23" s="44"/>
      <c r="J23" s="44"/>
      <c r="K23" s="44"/>
      <c r="L23" s="44"/>
      <c r="M23" s="44"/>
      <c r="N23" s="153"/>
      <c r="O23" s="172"/>
      <c r="P23" s="153"/>
      <c r="Q23" s="153"/>
      <c r="R23" s="153"/>
      <c r="S23" s="153"/>
      <c r="T23" s="153"/>
      <c r="U23" s="153"/>
      <c r="V23" s="153"/>
      <c r="W23" s="153"/>
      <c r="X23" s="153"/>
    </row>
    <row r="24" spans="1:24" s="27" customFormat="1" ht="12.75" customHeight="1" x14ac:dyDescent="0.25">
      <c r="A24" s="156"/>
      <c r="B24" s="156"/>
      <c r="C24" s="156"/>
      <c r="D24" s="156"/>
      <c r="E24" s="157">
        <f>SUM(E22:E23)</f>
        <v>0</v>
      </c>
      <c r="F24" s="158"/>
      <c r="G24" s="157">
        <f>SUM(G22:G23)</f>
        <v>0</v>
      </c>
      <c r="H24" s="158"/>
      <c r="I24" s="157">
        <f>SUM(I22:I23)</f>
        <v>2000</v>
      </c>
      <c r="J24" s="158"/>
      <c r="K24" s="157">
        <f>SUM(K22:K23)</f>
        <v>0</v>
      </c>
      <c r="L24" s="158"/>
      <c r="M24" s="157">
        <f>SUM(E24:K24)</f>
        <v>2000</v>
      </c>
      <c r="N24" s="153"/>
      <c r="O24" s="172"/>
      <c r="P24" s="153"/>
      <c r="Q24" s="153"/>
      <c r="R24" s="153"/>
      <c r="S24" s="153"/>
      <c r="T24" s="153"/>
      <c r="U24" s="153"/>
      <c r="V24" s="153"/>
      <c r="W24" s="153"/>
      <c r="X24" s="153"/>
    </row>
    <row r="25" spans="1:24" s="27" customFormat="1" x14ac:dyDescent="0.25">
      <c r="A25" s="154" t="s">
        <v>145</v>
      </c>
      <c r="E25" s="44"/>
      <c r="F25" s="44"/>
      <c r="G25" s="44"/>
      <c r="H25" s="44"/>
      <c r="I25" s="44"/>
      <c r="J25" s="44"/>
      <c r="K25" s="44"/>
      <c r="L25" s="44"/>
      <c r="M25" s="44"/>
      <c r="N25" s="153"/>
      <c r="O25" s="172"/>
      <c r="P25" s="153"/>
      <c r="Q25" s="153"/>
      <c r="R25" s="153"/>
      <c r="S25" s="153"/>
      <c r="T25" s="153"/>
      <c r="U25" s="153"/>
      <c r="V25" s="153"/>
      <c r="W25" s="153"/>
      <c r="X25" s="153"/>
    </row>
    <row r="26" spans="1:24" s="27" customFormat="1" x14ac:dyDescent="0.25">
      <c r="E26" s="44"/>
      <c r="F26" s="44"/>
      <c r="G26" s="44"/>
      <c r="H26" s="44"/>
      <c r="I26" s="44"/>
      <c r="J26" s="44"/>
      <c r="K26" s="44"/>
      <c r="L26" s="44"/>
      <c r="M26" s="44"/>
      <c r="N26" s="153"/>
      <c r="O26" s="172"/>
      <c r="P26" s="153"/>
      <c r="Q26" s="153"/>
      <c r="R26" s="153"/>
      <c r="S26" s="153"/>
      <c r="T26" s="153"/>
      <c r="U26" s="153"/>
      <c r="V26" s="153"/>
      <c r="W26" s="153"/>
      <c r="X26" s="153"/>
    </row>
    <row r="27" spans="1:24" s="27" customFormat="1" x14ac:dyDescent="0.25">
      <c r="E27" s="44"/>
      <c r="F27" s="44"/>
      <c r="G27" s="44"/>
      <c r="H27" s="44"/>
      <c r="I27" s="44"/>
      <c r="J27" s="44"/>
      <c r="K27" s="44"/>
      <c r="L27" s="44"/>
      <c r="M27" s="44"/>
      <c r="N27" s="153"/>
      <c r="O27" s="172"/>
      <c r="P27" s="153"/>
      <c r="Q27" s="153"/>
      <c r="R27" s="153"/>
      <c r="S27" s="153"/>
      <c r="T27" s="153"/>
      <c r="U27" s="153"/>
      <c r="V27" s="153"/>
      <c r="W27" s="153"/>
      <c r="X27" s="153"/>
    </row>
    <row r="28" spans="1:24" s="27" customFormat="1" x14ac:dyDescent="0.25">
      <c r="A28" s="156"/>
      <c r="B28" s="156"/>
      <c r="C28" s="156"/>
      <c r="D28" s="156"/>
      <c r="E28" s="157">
        <f>SUM(E26:E27)</f>
        <v>0</v>
      </c>
      <c r="F28" s="158"/>
      <c r="G28" s="157">
        <f>SUM(G26:G27)</f>
        <v>0</v>
      </c>
      <c r="H28" s="158"/>
      <c r="I28" s="157">
        <f>SUM(I26:I27)</f>
        <v>0</v>
      </c>
      <c r="J28" s="158"/>
      <c r="K28" s="157">
        <f>SUM(K26:K27)</f>
        <v>0</v>
      </c>
      <c r="L28" s="158"/>
      <c r="M28" s="157">
        <f>SUM(E28:K28)</f>
        <v>0</v>
      </c>
      <c r="N28" s="153"/>
      <c r="O28" s="172"/>
      <c r="P28" s="153"/>
      <c r="Q28" s="153"/>
      <c r="R28" s="153"/>
      <c r="S28" s="153"/>
      <c r="T28" s="153"/>
      <c r="U28" s="153"/>
      <c r="V28" s="153"/>
      <c r="W28" s="153"/>
      <c r="X28" s="153"/>
    </row>
    <row r="29" spans="1:24" s="27" customFormat="1" x14ac:dyDescent="0.25">
      <c r="A29" s="154" t="s">
        <v>90</v>
      </c>
      <c r="E29" s="44"/>
      <c r="F29" s="44"/>
      <c r="G29" s="44"/>
      <c r="H29" s="44"/>
      <c r="I29" s="44"/>
      <c r="J29" s="44"/>
      <c r="K29" s="44"/>
      <c r="L29" s="44"/>
      <c r="M29" s="44"/>
      <c r="N29" s="153"/>
      <c r="O29" s="172"/>
      <c r="P29" s="153"/>
      <c r="Q29" s="153"/>
      <c r="R29" s="153"/>
      <c r="S29" s="153"/>
      <c r="T29" s="153"/>
      <c r="U29" s="153"/>
      <c r="V29" s="153"/>
      <c r="W29" s="153"/>
      <c r="X29" s="153"/>
    </row>
    <row r="30" spans="1:24" s="27" customFormat="1" x14ac:dyDescent="0.25">
      <c r="A30" s="154"/>
      <c r="B30" s="27" t="s">
        <v>172</v>
      </c>
      <c r="C30" s="27" t="s">
        <v>175</v>
      </c>
      <c r="E30" s="44"/>
      <c r="F30" s="44"/>
      <c r="G30" s="44"/>
      <c r="H30" s="44"/>
      <c r="I30" s="44">
        <v>10000</v>
      </c>
      <c r="J30" s="44"/>
      <c r="K30" s="44"/>
      <c r="L30" s="44"/>
      <c r="M30" s="44"/>
      <c r="N30" s="153"/>
      <c r="O30" s="172"/>
      <c r="P30" s="153"/>
      <c r="Q30" s="153"/>
      <c r="R30" s="153"/>
      <c r="S30" s="153" t="s">
        <v>124</v>
      </c>
      <c r="T30" s="153"/>
      <c r="U30" s="153"/>
      <c r="V30" s="153"/>
      <c r="W30" s="153"/>
      <c r="X30" s="153"/>
    </row>
    <row r="31" spans="1:24" s="27" customFormat="1" x14ac:dyDescent="0.25">
      <c r="A31" s="154"/>
      <c r="B31" s="27" t="s">
        <v>198</v>
      </c>
      <c r="C31" s="27" t="s">
        <v>199</v>
      </c>
      <c r="E31" s="44"/>
      <c r="F31" s="44"/>
      <c r="G31" s="44"/>
      <c r="H31" s="44"/>
      <c r="I31" s="44">
        <v>2000</v>
      </c>
      <c r="J31" s="44"/>
      <c r="K31" s="44"/>
      <c r="L31" s="44"/>
      <c r="M31" s="44"/>
      <c r="N31" s="153"/>
      <c r="O31" s="172"/>
      <c r="P31" s="153"/>
      <c r="Q31" s="153"/>
      <c r="R31" s="153"/>
      <c r="S31" s="153"/>
      <c r="T31" s="153"/>
      <c r="U31" s="153"/>
      <c r="V31" s="153"/>
      <c r="W31" s="153"/>
      <c r="X31" s="153"/>
    </row>
    <row r="32" spans="1:24" s="27" customFormat="1" x14ac:dyDescent="0.25">
      <c r="A32" s="154"/>
      <c r="B32" s="27" t="s">
        <v>200</v>
      </c>
      <c r="C32" s="27" t="s">
        <v>201</v>
      </c>
      <c r="E32" s="44"/>
      <c r="F32" s="44"/>
      <c r="G32" s="44">
        <v>50</v>
      </c>
      <c r="H32" s="44"/>
      <c r="I32" s="44"/>
      <c r="J32" s="44"/>
      <c r="K32" s="44"/>
      <c r="L32" s="44"/>
      <c r="M32" s="44"/>
      <c r="N32" s="153"/>
      <c r="O32" s="172"/>
      <c r="P32" s="153"/>
      <c r="Q32" s="153"/>
      <c r="R32" s="153"/>
      <c r="S32" s="153"/>
      <c r="T32" s="153"/>
      <c r="U32" s="153"/>
      <c r="V32" s="153"/>
      <c r="W32" s="153"/>
      <c r="X32" s="153"/>
    </row>
    <row r="33" spans="1:24" s="27" customFormat="1" x14ac:dyDescent="0.25">
      <c r="B33" s="27" t="s">
        <v>173</v>
      </c>
      <c r="C33" s="27" t="s">
        <v>174</v>
      </c>
      <c r="E33" s="44"/>
      <c r="F33" s="44"/>
      <c r="G33" s="44"/>
      <c r="H33" s="44"/>
      <c r="I33" s="44">
        <v>4000</v>
      </c>
      <c r="J33" s="44"/>
      <c r="K33" s="44"/>
      <c r="L33" s="44"/>
      <c r="M33" s="44"/>
      <c r="N33" s="153"/>
      <c r="O33" s="172"/>
      <c r="P33" s="153"/>
      <c r="Q33" s="153"/>
      <c r="R33" s="153"/>
      <c r="S33" s="153"/>
      <c r="T33" s="153"/>
      <c r="U33" s="153"/>
      <c r="V33" s="153"/>
      <c r="W33" s="153"/>
      <c r="X33" s="153"/>
    </row>
    <row r="34" spans="1:24" s="27" customFormat="1" x14ac:dyDescent="0.25">
      <c r="A34" s="156"/>
      <c r="B34" s="156"/>
      <c r="C34" s="156"/>
      <c r="D34" s="156"/>
      <c r="E34" s="157">
        <f>SUM(E30:E33)</f>
        <v>0</v>
      </c>
      <c r="F34" s="158"/>
      <c r="G34" s="157">
        <f>SUM(G30:G33)</f>
        <v>50</v>
      </c>
      <c r="H34" s="158"/>
      <c r="I34" s="157">
        <f>SUM(I30:I33)</f>
        <v>16000</v>
      </c>
      <c r="J34" s="158"/>
      <c r="K34" s="157">
        <f>SUM(K30:K33)</f>
        <v>0</v>
      </c>
      <c r="L34" s="158"/>
      <c r="M34" s="157">
        <f>SUM(E34:K34)</f>
        <v>16050</v>
      </c>
      <c r="N34" s="153"/>
      <c r="O34" s="172"/>
      <c r="P34" s="153"/>
      <c r="Q34" s="153"/>
      <c r="R34" s="153"/>
      <c r="S34" s="153"/>
      <c r="T34" s="153"/>
      <c r="U34" s="153"/>
      <c r="V34" s="153"/>
      <c r="W34" s="153"/>
      <c r="X34" s="153"/>
    </row>
    <row r="35" spans="1:24" s="27" customFormat="1" x14ac:dyDescent="0.25">
      <c r="A35" s="154" t="s">
        <v>104</v>
      </c>
      <c r="E35" s="44"/>
      <c r="F35" s="44"/>
      <c r="G35" s="44"/>
      <c r="H35" s="44"/>
      <c r="I35" s="44"/>
      <c r="J35" s="44"/>
      <c r="K35" s="44"/>
      <c r="L35" s="44"/>
      <c r="M35" s="44"/>
      <c r="N35" s="153"/>
      <c r="O35" s="172"/>
      <c r="P35" s="153"/>
      <c r="Q35" s="153"/>
      <c r="R35" s="153"/>
      <c r="S35" s="153"/>
      <c r="T35" s="153"/>
      <c r="U35" s="153"/>
      <c r="V35" s="153"/>
      <c r="W35" s="153"/>
      <c r="X35" s="153"/>
    </row>
    <row r="36" spans="1:24" s="27" customFormat="1" x14ac:dyDescent="0.25">
      <c r="A36" s="154"/>
      <c r="E36" s="44"/>
      <c r="F36" s="44"/>
      <c r="G36" s="44"/>
      <c r="H36" s="44"/>
      <c r="I36" s="44"/>
      <c r="J36" s="44"/>
      <c r="K36" s="44"/>
      <c r="L36" s="44"/>
      <c r="M36" s="44"/>
      <c r="N36" s="153"/>
      <c r="O36" s="172"/>
      <c r="P36" s="153"/>
      <c r="Q36" s="153"/>
      <c r="R36" s="153"/>
      <c r="S36" s="153"/>
      <c r="T36" s="153"/>
      <c r="U36" s="153"/>
      <c r="V36" s="153"/>
      <c r="W36" s="153"/>
      <c r="X36" s="153"/>
    </row>
    <row r="37" spans="1:24" s="27" customFormat="1" x14ac:dyDescent="0.25">
      <c r="E37" s="44"/>
      <c r="F37" s="44"/>
      <c r="G37" s="44"/>
      <c r="H37" s="44"/>
      <c r="I37" s="44"/>
      <c r="J37" s="44"/>
      <c r="K37" s="44"/>
      <c r="L37" s="44"/>
      <c r="M37" s="44"/>
      <c r="N37" s="153"/>
      <c r="O37" s="172"/>
      <c r="P37" s="153"/>
      <c r="Q37" s="153"/>
      <c r="R37" s="153"/>
      <c r="S37" s="153"/>
      <c r="T37" s="153"/>
      <c r="U37" s="153"/>
      <c r="V37" s="153"/>
      <c r="W37" s="153"/>
      <c r="X37" s="153"/>
    </row>
    <row r="38" spans="1:24" s="27" customFormat="1" x14ac:dyDescent="0.25">
      <c r="A38" s="156"/>
      <c r="B38" s="156"/>
      <c r="C38" s="156"/>
      <c r="D38" s="156"/>
      <c r="E38" s="157">
        <f>SUM(E36:E37)</f>
        <v>0</v>
      </c>
      <c r="F38" s="158"/>
      <c r="G38" s="157">
        <f>SUM(G36:G37)</f>
        <v>0</v>
      </c>
      <c r="H38" s="158"/>
      <c r="I38" s="157">
        <f>SUM(I36:I37)</f>
        <v>0</v>
      </c>
      <c r="J38" s="158"/>
      <c r="K38" s="157">
        <f>SUM(K36:K37)</f>
        <v>0</v>
      </c>
      <c r="L38" s="158"/>
      <c r="M38" s="157">
        <f>SUM(E38:K38)</f>
        <v>0</v>
      </c>
      <c r="N38" s="153"/>
      <c r="O38" s="172"/>
      <c r="P38" s="153"/>
      <c r="Q38" s="153"/>
      <c r="R38" s="153"/>
      <c r="S38" s="153"/>
      <c r="T38" s="153"/>
      <c r="U38" s="153"/>
      <c r="V38" s="153"/>
      <c r="W38" s="153"/>
      <c r="X38" s="153"/>
    </row>
    <row r="39" spans="1:24" s="27" customFormat="1" x14ac:dyDescent="0.25">
      <c r="A39" s="154" t="s">
        <v>0</v>
      </c>
      <c r="E39" s="44"/>
      <c r="F39" s="44"/>
      <c r="G39" s="44"/>
      <c r="H39" s="44"/>
      <c r="I39" s="44"/>
      <c r="J39" s="44"/>
      <c r="K39" s="44"/>
      <c r="L39" s="44"/>
      <c r="M39" s="44"/>
      <c r="N39" s="153"/>
      <c r="O39" s="172"/>
      <c r="P39" s="153"/>
      <c r="Q39" s="153"/>
      <c r="R39" s="153"/>
      <c r="S39" s="153"/>
      <c r="T39" s="153"/>
      <c r="U39" s="153"/>
      <c r="V39" s="153"/>
      <c r="W39" s="153"/>
      <c r="X39" s="153"/>
    </row>
    <row r="40" spans="1:24" s="27" customFormat="1" x14ac:dyDescent="0.25">
      <c r="A40" s="154"/>
      <c r="B40" s="27" t="s">
        <v>142</v>
      </c>
      <c r="C40" s="27" t="s">
        <v>146</v>
      </c>
      <c r="E40" s="44"/>
      <c r="F40" s="44"/>
      <c r="G40" s="44"/>
      <c r="H40" s="44"/>
      <c r="I40" s="44">
        <v>850</v>
      </c>
      <c r="J40" s="44"/>
      <c r="K40" s="44"/>
      <c r="L40" s="44"/>
      <c r="M40" s="44"/>
      <c r="N40" s="153"/>
      <c r="O40" s="172"/>
      <c r="P40" s="153"/>
      <c r="Q40" s="153"/>
      <c r="R40" s="153"/>
      <c r="S40" s="153"/>
      <c r="T40" s="153"/>
      <c r="U40" s="153"/>
      <c r="V40" s="153"/>
      <c r="W40" s="153"/>
      <c r="X40" s="153"/>
    </row>
    <row r="41" spans="1:24" s="27" customFormat="1" x14ac:dyDescent="0.25">
      <c r="A41" s="154"/>
      <c r="E41" s="44"/>
      <c r="F41" s="44"/>
      <c r="G41" s="44"/>
      <c r="H41" s="44"/>
      <c r="I41" s="44"/>
      <c r="J41" s="44"/>
      <c r="K41" s="44"/>
      <c r="L41" s="44"/>
      <c r="M41" s="44"/>
      <c r="N41" s="153"/>
      <c r="O41" s="172"/>
      <c r="P41" s="153"/>
      <c r="Q41" s="153"/>
      <c r="R41" s="153"/>
      <c r="S41" s="153"/>
      <c r="T41" s="153"/>
      <c r="U41" s="153"/>
      <c r="V41" s="153"/>
      <c r="W41" s="153"/>
      <c r="X41" s="153"/>
    </row>
    <row r="42" spans="1:24" s="27" customFormat="1" x14ac:dyDescent="0.25">
      <c r="A42" s="156"/>
      <c r="B42" s="156"/>
      <c r="C42" s="156"/>
      <c r="D42" s="156"/>
      <c r="E42" s="157">
        <f>SUM(E40:E41)</f>
        <v>0</v>
      </c>
      <c r="F42" s="158"/>
      <c r="G42" s="157">
        <f>SUM(G40:G41)</f>
        <v>0</v>
      </c>
      <c r="H42" s="158"/>
      <c r="I42" s="157">
        <f>SUM(I40:I41)</f>
        <v>850</v>
      </c>
      <c r="J42" s="158"/>
      <c r="K42" s="157">
        <f>SUM(K40:K41)</f>
        <v>0</v>
      </c>
      <c r="L42" s="158"/>
      <c r="M42" s="157">
        <f>SUM(E42:K42)</f>
        <v>850</v>
      </c>
      <c r="N42" s="153"/>
      <c r="O42" s="172"/>
      <c r="P42" s="153"/>
      <c r="Q42" s="153"/>
      <c r="R42" s="153"/>
      <c r="S42" s="153"/>
      <c r="T42" s="153"/>
      <c r="U42" s="153"/>
      <c r="V42" s="153"/>
      <c r="W42" s="153"/>
      <c r="X42" s="153"/>
    </row>
    <row r="43" spans="1:24" s="27" customFormat="1" x14ac:dyDescent="0.25">
      <c r="A43" s="154" t="s">
        <v>67</v>
      </c>
      <c r="E43" s="44"/>
      <c r="F43" s="44"/>
      <c r="G43" s="44"/>
      <c r="H43" s="44"/>
      <c r="I43" s="44"/>
      <c r="J43" s="44"/>
      <c r="K43" s="44"/>
      <c r="L43" s="44"/>
      <c r="M43" s="44"/>
      <c r="N43" s="153"/>
      <c r="O43" s="172"/>
      <c r="P43" s="153"/>
      <c r="Q43" s="153"/>
      <c r="R43" s="153"/>
      <c r="S43" s="153"/>
      <c r="T43" s="153"/>
      <c r="U43" s="153"/>
      <c r="V43" s="153"/>
      <c r="W43" s="153"/>
      <c r="X43" s="153"/>
    </row>
    <row r="44" spans="1:24" s="27" customFormat="1" x14ac:dyDescent="0.25">
      <c r="B44" s="27" t="s">
        <v>176</v>
      </c>
      <c r="C44" s="27" t="s">
        <v>177</v>
      </c>
      <c r="E44" s="44">
        <v>9000</v>
      </c>
      <c r="F44" s="44"/>
      <c r="G44" s="44"/>
      <c r="H44" s="44"/>
      <c r="I44" s="44"/>
      <c r="J44" s="44"/>
      <c r="K44" s="44"/>
      <c r="L44" s="44"/>
      <c r="M44" s="44"/>
      <c r="N44" s="153"/>
      <c r="O44" s="172"/>
      <c r="P44" s="153"/>
      <c r="Q44" s="153"/>
      <c r="R44" s="153"/>
      <c r="S44" s="153" t="s">
        <v>116</v>
      </c>
      <c r="T44" s="153"/>
      <c r="U44" s="153"/>
      <c r="V44" s="153"/>
      <c r="W44" s="153"/>
      <c r="X44" s="153"/>
    </row>
    <row r="45" spans="1:24" s="27" customFormat="1" x14ac:dyDescent="0.25">
      <c r="A45" s="38"/>
      <c r="B45" s="227" t="s">
        <v>220</v>
      </c>
      <c r="E45" s="44"/>
      <c r="F45" s="44"/>
      <c r="G45" s="44"/>
      <c r="H45" s="44"/>
      <c r="I45" s="42">
        <v>7500</v>
      </c>
      <c r="J45" s="44"/>
      <c r="K45" s="44"/>
      <c r="L45" s="44"/>
      <c r="M45" s="44"/>
      <c r="N45" s="153"/>
      <c r="O45" s="172"/>
      <c r="P45" s="153"/>
      <c r="Q45" s="153"/>
      <c r="R45" s="153"/>
      <c r="S45" s="153"/>
      <c r="T45" s="153"/>
      <c r="U45" s="153"/>
      <c r="V45" s="153"/>
      <c r="W45" s="153"/>
      <c r="X45" s="153"/>
    </row>
    <row r="46" spans="1:24" s="27" customFormat="1" x14ac:dyDescent="0.25">
      <c r="A46" s="38"/>
      <c r="B46" s="227" t="s">
        <v>221</v>
      </c>
      <c r="E46" s="44"/>
      <c r="F46" s="44"/>
      <c r="G46" s="44"/>
      <c r="H46" s="44"/>
      <c r="I46" s="42">
        <v>5000</v>
      </c>
      <c r="J46" s="44"/>
      <c r="K46" s="44"/>
      <c r="L46" s="44"/>
      <c r="M46" s="44"/>
      <c r="N46" s="153"/>
      <c r="O46" s="172"/>
      <c r="P46" s="153"/>
      <c r="Q46" s="153"/>
      <c r="R46" s="153"/>
      <c r="S46" s="153"/>
      <c r="T46" s="153"/>
      <c r="U46" s="153"/>
      <c r="V46" s="153"/>
      <c r="W46" s="153"/>
      <c r="X46" s="153"/>
    </row>
    <row r="47" spans="1:24" s="27" customFormat="1" x14ac:dyDescent="0.25">
      <c r="A47" s="38"/>
      <c r="B47" s="227" t="s">
        <v>222</v>
      </c>
      <c r="E47" s="44"/>
      <c r="F47" s="44"/>
      <c r="G47" s="44"/>
      <c r="H47" s="44"/>
      <c r="I47" s="42">
        <v>4000</v>
      </c>
      <c r="J47" s="44"/>
      <c r="K47" s="44"/>
      <c r="L47" s="44"/>
      <c r="M47" s="44"/>
      <c r="N47" s="153"/>
      <c r="O47" s="172"/>
      <c r="P47" s="153"/>
      <c r="Q47" s="153"/>
      <c r="R47" s="153"/>
      <c r="S47" s="153"/>
      <c r="T47" s="153"/>
      <c r="U47" s="153"/>
      <c r="V47" s="153"/>
      <c r="W47" s="153"/>
      <c r="X47" s="153"/>
    </row>
    <row r="48" spans="1:24" s="27" customFormat="1" x14ac:dyDescent="0.25">
      <c r="A48" s="53"/>
      <c r="B48" s="227" t="s">
        <v>222</v>
      </c>
      <c r="E48" s="44"/>
      <c r="F48" s="44"/>
      <c r="G48" s="44"/>
      <c r="H48" s="44"/>
      <c r="I48" s="42">
        <v>2500</v>
      </c>
      <c r="J48" s="44"/>
      <c r="K48" s="44"/>
      <c r="L48" s="44"/>
      <c r="M48" s="44"/>
      <c r="N48" s="153"/>
      <c r="O48" s="172"/>
      <c r="P48" s="153"/>
      <c r="Q48" s="153"/>
      <c r="R48" s="153"/>
      <c r="S48" s="153"/>
      <c r="T48" s="153"/>
      <c r="U48" s="153"/>
      <c r="V48" s="153"/>
      <c r="W48" s="153"/>
      <c r="X48" s="153"/>
    </row>
    <row r="49" spans="1:24" s="27" customFormat="1" x14ac:dyDescent="0.25">
      <c r="A49" s="156"/>
      <c r="B49" s="156"/>
      <c r="C49" s="156"/>
      <c r="D49" s="156"/>
      <c r="E49" s="157">
        <f>SUM(E44:E48)</f>
        <v>9000</v>
      </c>
      <c r="F49" s="158"/>
      <c r="G49" s="157">
        <f>SUM(G44:G48)</f>
        <v>0</v>
      </c>
      <c r="H49" s="158"/>
      <c r="I49" s="157">
        <f>SUM(I44:I48)</f>
        <v>19000</v>
      </c>
      <c r="J49" s="158"/>
      <c r="K49" s="157">
        <f>SUM(K44:K48)</f>
        <v>0</v>
      </c>
      <c r="L49" s="158"/>
      <c r="M49" s="157">
        <f>SUM(E49:K49)</f>
        <v>28000</v>
      </c>
      <c r="N49" s="153"/>
      <c r="O49" s="172"/>
      <c r="P49" s="153"/>
      <c r="Q49" s="153"/>
      <c r="R49" s="153"/>
      <c r="S49" s="153"/>
      <c r="T49" s="153"/>
      <c r="U49" s="153"/>
      <c r="V49" s="153"/>
      <c r="W49" s="153"/>
      <c r="X49" s="153"/>
    </row>
    <row r="50" spans="1:24" s="27" customFormat="1" x14ac:dyDescent="0.25">
      <c r="A50" s="154" t="s">
        <v>92</v>
      </c>
      <c r="E50" s="44"/>
      <c r="F50" s="44"/>
      <c r="G50" s="44"/>
      <c r="H50" s="44"/>
      <c r="I50" s="44"/>
      <c r="J50" s="44"/>
      <c r="K50" s="44"/>
      <c r="L50" s="44"/>
      <c r="M50" s="44"/>
      <c r="N50" s="153"/>
      <c r="O50" s="172"/>
      <c r="P50" s="153"/>
      <c r="Q50" s="153"/>
      <c r="R50" s="153"/>
      <c r="S50" s="153"/>
      <c r="T50" s="153"/>
      <c r="U50" s="153"/>
      <c r="V50" s="153"/>
      <c r="W50" s="153"/>
      <c r="X50" s="153"/>
    </row>
    <row r="51" spans="1:24" s="27" customFormat="1" x14ac:dyDescent="0.25">
      <c r="A51" s="154"/>
      <c r="B51" s="27" t="s">
        <v>202</v>
      </c>
      <c r="C51" s="27" t="s">
        <v>140</v>
      </c>
      <c r="E51" s="44"/>
      <c r="F51" s="44"/>
      <c r="G51" s="44">
        <v>1000</v>
      </c>
      <c r="H51" s="44"/>
      <c r="I51" s="44"/>
      <c r="J51" s="44"/>
      <c r="K51" s="44"/>
      <c r="L51" s="44"/>
      <c r="M51" s="44"/>
      <c r="N51" s="153"/>
      <c r="O51" s="172"/>
      <c r="P51" s="153"/>
      <c r="Q51" s="153"/>
      <c r="R51" s="153"/>
      <c r="S51" s="153" t="s">
        <v>117</v>
      </c>
      <c r="T51" s="153"/>
      <c r="U51" s="153"/>
      <c r="V51" s="153"/>
      <c r="W51" s="153"/>
      <c r="X51" s="153"/>
    </row>
    <row r="52" spans="1:24" s="27" customFormat="1" x14ac:dyDescent="0.25">
      <c r="A52" s="154"/>
      <c r="B52" s="27" t="s">
        <v>179</v>
      </c>
      <c r="C52" s="27" t="s">
        <v>113</v>
      </c>
      <c r="E52" s="44">
        <v>500</v>
      </c>
      <c r="F52" s="44"/>
      <c r="G52" s="44"/>
      <c r="H52" s="44"/>
      <c r="I52" s="44"/>
      <c r="J52" s="44"/>
      <c r="K52" s="44"/>
      <c r="L52" s="44"/>
      <c r="M52" s="44"/>
      <c r="N52" s="153"/>
      <c r="O52" s="172"/>
      <c r="P52" s="153"/>
      <c r="Q52" s="153"/>
      <c r="R52" s="153"/>
      <c r="S52" s="153" t="s">
        <v>117</v>
      </c>
      <c r="T52" s="153"/>
      <c r="U52" s="153"/>
      <c r="V52" s="153"/>
      <c r="W52" s="153"/>
      <c r="X52" s="153"/>
    </row>
    <row r="53" spans="1:24" s="27" customFormat="1" x14ac:dyDescent="0.25">
      <c r="A53" s="154"/>
      <c r="B53" s="27" t="s">
        <v>203</v>
      </c>
      <c r="C53" s="27" t="s">
        <v>204</v>
      </c>
      <c r="E53" s="44"/>
      <c r="F53" s="44"/>
      <c r="G53" s="44"/>
      <c r="H53" s="44"/>
      <c r="I53" s="44">
        <v>500</v>
      </c>
      <c r="J53" s="44"/>
      <c r="K53" s="44"/>
      <c r="L53" s="44"/>
      <c r="M53" s="44"/>
      <c r="N53" s="153"/>
      <c r="O53" s="172"/>
      <c r="P53" s="153"/>
      <c r="Q53" s="153"/>
      <c r="R53" s="153"/>
      <c r="S53" s="153" t="s">
        <v>117</v>
      </c>
      <c r="T53" s="153"/>
      <c r="U53" s="153"/>
      <c r="V53" s="153"/>
      <c r="W53" s="153"/>
      <c r="X53" s="153"/>
    </row>
    <row r="54" spans="1:24" s="27" customFormat="1" x14ac:dyDescent="0.25">
      <c r="A54" s="154"/>
      <c r="B54" s="27" t="s">
        <v>206</v>
      </c>
      <c r="C54" s="27" t="s">
        <v>207</v>
      </c>
      <c r="E54" s="44">
        <v>2000</v>
      </c>
      <c r="F54" s="44"/>
      <c r="G54" s="44"/>
      <c r="H54" s="44"/>
      <c r="I54" s="44"/>
      <c r="J54" s="44"/>
      <c r="K54" s="44"/>
      <c r="L54" s="44"/>
      <c r="M54" s="44"/>
      <c r="N54" s="153"/>
      <c r="O54" s="172"/>
      <c r="P54" s="153"/>
      <c r="Q54" s="153"/>
      <c r="R54" s="153"/>
      <c r="S54" s="153" t="s">
        <v>117</v>
      </c>
      <c r="T54" s="153"/>
      <c r="U54" s="153"/>
      <c r="V54" s="153"/>
      <c r="W54" s="153"/>
      <c r="X54" s="153"/>
    </row>
    <row r="55" spans="1:24" s="27" customFormat="1" x14ac:dyDescent="0.25">
      <c r="A55" s="154"/>
      <c r="B55" s="27" t="s">
        <v>208</v>
      </c>
      <c r="C55" s="27" t="s">
        <v>207</v>
      </c>
      <c r="E55" s="44">
        <v>625</v>
      </c>
      <c r="F55" s="44"/>
      <c r="G55" s="44"/>
      <c r="H55" s="44"/>
      <c r="I55" s="44"/>
      <c r="J55" s="44"/>
      <c r="K55" s="44"/>
      <c r="L55" s="44"/>
      <c r="M55" s="44"/>
      <c r="N55" s="153"/>
      <c r="O55" s="172"/>
      <c r="P55" s="153"/>
      <c r="Q55" s="153"/>
      <c r="R55" s="153"/>
      <c r="S55" s="153" t="s">
        <v>117</v>
      </c>
      <c r="T55" s="153"/>
      <c r="U55" s="153"/>
      <c r="V55" s="153"/>
      <c r="W55" s="153"/>
      <c r="X55" s="153"/>
    </row>
    <row r="56" spans="1:24" s="27" customFormat="1" x14ac:dyDescent="0.25">
      <c r="A56" s="154"/>
      <c r="B56" s="27" t="s">
        <v>209</v>
      </c>
      <c r="C56" s="27" t="s">
        <v>210</v>
      </c>
      <c r="E56" s="44"/>
      <c r="F56" s="44"/>
      <c r="G56" s="44"/>
      <c r="H56" s="44"/>
      <c r="I56" s="44">
        <v>1000</v>
      </c>
      <c r="J56" s="44"/>
      <c r="K56" s="44"/>
      <c r="L56" s="44"/>
      <c r="M56" s="44"/>
      <c r="N56" s="153"/>
      <c r="O56" s="172"/>
      <c r="P56" s="153"/>
      <c r="Q56" s="153"/>
      <c r="R56" s="153"/>
      <c r="S56" s="153" t="s">
        <v>117</v>
      </c>
      <c r="T56" s="153"/>
      <c r="U56" s="153"/>
      <c r="V56" s="153"/>
      <c r="W56" s="153"/>
      <c r="X56" s="153"/>
    </row>
    <row r="57" spans="1:24" s="27" customFormat="1" x14ac:dyDescent="0.25">
      <c r="A57" s="154"/>
      <c r="B57" s="27" t="s">
        <v>211</v>
      </c>
      <c r="C57" s="27" t="s">
        <v>178</v>
      </c>
      <c r="E57" s="44"/>
      <c r="F57" s="44"/>
      <c r="G57" s="44">
        <v>2000</v>
      </c>
      <c r="H57" s="44"/>
      <c r="I57" s="44"/>
      <c r="J57" s="44"/>
      <c r="K57" s="44"/>
      <c r="L57" s="44"/>
      <c r="M57" s="44"/>
      <c r="N57" s="153"/>
      <c r="O57" s="172"/>
      <c r="P57" s="153"/>
      <c r="Q57" s="153"/>
      <c r="R57" s="153"/>
      <c r="S57" s="153" t="s">
        <v>117</v>
      </c>
      <c r="T57" s="153"/>
      <c r="U57" s="153"/>
      <c r="V57" s="153"/>
      <c r="W57" s="153"/>
      <c r="X57" s="153"/>
    </row>
    <row r="58" spans="1:24" s="27" customFormat="1" x14ac:dyDescent="0.25">
      <c r="A58" s="154"/>
      <c r="B58" s="27" t="s">
        <v>212</v>
      </c>
      <c r="C58" s="27" t="s">
        <v>213</v>
      </c>
      <c r="E58" s="44">
        <v>1250</v>
      </c>
      <c r="F58" s="44"/>
      <c r="G58" s="44"/>
      <c r="H58" s="44"/>
      <c r="I58" s="44"/>
      <c r="J58" s="44"/>
      <c r="K58" s="44"/>
      <c r="L58" s="44"/>
      <c r="M58" s="44"/>
      <c r="N58" s="153"/>
      <c r="O58" s="172"/>
      <c r="P58" s="153"/>
      <c r="Q58" s="153"/>
      <c r="R58" s="153"/>
      <c r="S58" s="153" t="s">
        <v>117</v>
      </c>
      <c r="T58" s="153"/>
      <c r="U58" s="153"/>
      <c r="V58" s="153"/>
      <c r="W58" s="153"/>
      <c r="X58" s="153"/>
    </row>
    <row r="59" spans="1:24" s="27" customFormat="1" x14ac:dyDescent="0.25">
      <c r="A59" s="154"/>
      <c r="B59" s="27" t="s">
        <v>205</v>
      </c>
      <c r="C59" s="27" t="s">
        <v>214</v>
      </c>
      <c r="E59" s="44">
        <v>1500</v>
      </c>
      <c r="F59" s="44"/>
      <c r="G59" s="44"/>
      <c r="H59" s="44"/>
      <c r="I59" s="44"/>
      <c r="J59" s="44"/>
      <c r="K59" s="44"/>
      <c r="L59" s="44"/>
      <c r="M59" s="44"/>
      <c r="N59" s="153"/>
      <c r="O59" s="172"/>
      <c r="P59" s="153"/>
      <c r="Q59" s="153"/>
      <c r="R59" s="153"/>
      <c r="S59" s="153" t="s">
        <v>117</v>
      </c>
      <c r="T59" s="153"/>
      <c r="U59" s="153"/>
      <c r="V59" s="153"/>
      <c r="W59" s="153"/>
      <c r="X59" s="153"/>
    </row>
    <row r="60" spans="1:24" s="27" customFormat="1" x14ac:dyDescent="0.25">
      <c r="A60" s="154"/>
      <c r="B60" s="27" t="s">
        <v>223</v>
      </c>
      <c r="E60" s="44"/>
      <c r="F60" s="44"/>
      <c r="G60" s="44"/>
      <c r="H60" s="44"/>
      <c r="I60" s="44">
        <v>1000</v>
      </c>
      <c r="J60" s="44"/>
      <c r="K60" s="44"/>
      <c r="L60" s="44"/>
      <c r="M60" s="44"/>
      <c r="N60" s="153"/>
      <c r="O60" s="172"/>
      <c r="P60" s="153"/>
      <c r="Q60" s="153"/>
      <c r="R60" s="153"/>
      <c r="S60" s="153"/>
      <c r="T60" s="153"/>
      <c r="U60" s="153"/>
      <c r="V60" s="153"/>
      <c r="W60" s="153"/>
      <c r="X60" s="153"/>
    </row>
    <row r="61" spans="1:24" s="27" customFormat="1" x14ac:dyDescent="0.25">
      <c r="A61" s="154"/>
      <c r="B61" s="27" t="s">
        <v>224</v>
      </c>
      <c r="E61" s="44"/>
      <c r="F61" s="44"/>
      <c r="G61" s="44"/>
      <c r="H61" s="44"/>
      <c r="I61" s="44">
        <v>1000</v>
      </c>
      <c r="J61" s="44"/>
      <c r="K61" s="44"/>
      <c r="L61" s="44"/>
      <c r="M61" s="44"/>
      <c r="N61" s="153"/>
      <c r="O61" s="172"/>
      <c r="P61" s="153"/>
      <c r="Q61" s="153"/>
      <c r="R61" s="153"/>
      <c r="S61" s="153"/>
      <c r="T61" s="153"/>
      <c r="U61" s="153"/>
      <c r="V61" s="153"/>
      <c r="W61" s="153"/>
      <c r="X61" s="153"/>
    </row>
    <row r="62" spans="1:24" s="27" customFormat="1" x14ac:dyDescent="0.25">
      <c r="A62" s="154"/>
      <c r="B62" s="27" t="s">
        <v>225</v>
      </c>
      <c r="C62" s="27" t="s">
        <v>215</v>
      </c>
      <c r="E62" s="44"/>
      <c r="F62" s="44"/>
      <c r="G62" s="44"/>
      <c r="H62" s="44"/>
      <c r="I62" s="44"/>
      <c r="J62" s="44"/>
      <c r="K62" s="44">
        <v>2105</v>
      </c>
      <c r="L62" s="44"/>
      <c r="M62" s="44"/>
      <c r="N62" s="153"/>
      <c r="O62" s="172"/>
      <c r="P62" s="153"/>
      <c r="Q62" s="153"/>
      <c r="R62" s="153"/>
      <c r="S62" s="153" t="s">
        <v>117</v>
      </c>
      <c r="T62" s="153"/>
      <c r="U62" s="153"/>
      <c r="V62" s="153"/>
      <c r="W62" s="153"/>
      <c r="X62" s="153"/>
    </row>
    <row r="63" spans="1:24" s="27" customFormat="1" hidden="1" x14ac:dyDescent="0.25">
      <c r="A63" s="154"/>
      <c r="E63" s="44"/>
      <c r="F63" s="44"/>
      <c r="G63" s="44"/>
      <c r="H63" s="44"/>
      <c r="I63" s="44"/>
      <c r="J63" s="44"/>
      <c r="K63" s="44"/>
      <c r="L63" s="44"/>
      <c r="M63" s="44"/>
      <c r="N63" s="153"/>
      <c r="O63" s="172"/>
      <c r="P63" s="153"/>
      <c r="Q63" s="153"/>
      <c r="R63" s="153"/>
      <c r="S63" s="153" t="s">
        <v>117</v>
      </c>
      <c r="T63" s="153"/>
      <c r="U63" s="153"/>
      <c r="V63" s="153"/>
      <c r="W63" s="153"/>
      <c r="X63" s="153"/>
    </row>
    <row r="64" spans="1:24" s="27" customFormat="1" hidden="1" x14ac:dyDescent="0.25">
      <c r="A64" s="154"/>
      <c r="E64" s="44"/>
      <c r="F64" s="44"/>
      <c r="G64" s="44"/>
      <c r="H64" s="44"/>
      <c r="I64" s="44"/>
      <c r="J64" s="44"/>
      <c r="K64" s="44"/>
      <c r="L64" s="44"/>
      <c r="M64" s="44"/>
      <c r="N64" s="153"/>
      <c r="O64" s="172"/>
      <c r="P64" s="153"/>
      <c r="Q64" s="153"/>
      <c r="R64" s="153"/>
      <c r="S64" s="153" t="s">
        <v>117</v>
      </c>
      <c r="T64" s="153"/>
      <c r="U64" s="153"/>
      <c r="V64" s="153"/>
      <c r="W64" s="153"/>
      <c r="X64" s="153"/>
    </row>
    <row r="65" spans="1:24" s="27" customFormat="1" hidden="1" x14ac:dyDescent="0.25">
      <c r="A65" s="154"/>
      <c r="E65" s="44"/>
      <c r="F65" s="44"/>
      <c r="G65" s="44"/>
      <c r="H65" s="44"/>
      <c r="I65" s="44"/>
      <c r="J65" s="44"/>
      <c r="K65" s="44"/>
      <c r="L65" s="44"/>
      <c r="M65" s="44"/>
      <c r="N65" s="153"/>
      <c r="O65" s="172"/>
      <c r="P65" s="153"/>
      <c r="Q65" s="153"/>
      <c r="R65" s="153"/>
      <c r="S65" s="153" t="s">
        <v>117</v>
      </c>
      <c r="T65" s="153"/>
      <c r="U65" s="153"/>
      <c r="V65" s="153"/>
      <c r="W65" s="153"/>
      <c r="X65" s="153"/>
    </row>
    <row r="66" spans="1:24" s="27" customFormat="1" hidden="1" x14ac:dyDescent="0.25">
      <c r="A66" s="154"/>
      <c r="E66" s="44"/>
      <c r="F66" s="44"/>
      <c r="G66" s="44"/>
      <c r="H66" s="44"/>
      <c r="I66" s="44"/>
      <c r="J66" s="44"/>
      <c r="K66" s="44"/>
      <c r="L66" s="44"/>
      <c r="M66" s="44"/>
      <c r="N66" s="153"/>
      <c r="O66" s="172"/>
      <c r="P66" s="153"/>
      <c r="Q66" s="153"/>
      <c r="R66" s="153"/>
      <c r="S66" s="153" t="s">
        <v>117</v>
      </c>
      <c r="T66" s="153"/>
      <c r="U66" s="153"/>
      <c r="V66" s="153"/>
      <c r="W66" s="153"/>
      <c r="X66" s="153"/>
    </row>
    <row r="67" spans="1:24" s="27" customFormat="1" hidden="1" x14ac:dyDescent="0.25">
      <c r="A67" s="154"/>
      <c r="E67" s="44"/>
      <c r="F67" s="44"/>
      <c r="G67" s="44"/>
      <c r="H67" s="44"/>
      <c r="I67" s="44"/>
      <c r="J67" s="44"/>
      <c r="K67" s="44"/>
      <c r="L67" s="44"/>
      <c r="M67" s="44"/>
      <c r="N67" s="153"/>
      <c r="O67" s="172"/>
      <c r="P67" s="153"/>
      <c r="Q67" s="153"/>
      <c r="R67" s="153"/>
      <c r="S67" s="153" t="s">
        <v>117</v>
      </c>
      <c r="T67" s="153"/>
      <c r="U67" s="153"/>
      <c r="V67" s="153"/>
      <c r="W67" s="153"/>
      <c r="X67" s="153"/>
    </row>
    <row r="68" spans="1:24" s="27" customFormat="1" hidden="1" x14ac:dyDescent="0.25">
      <c r="A68" s="154"/>
      <c r="E68" s="44"/>
      <c r="F68" s="44"/>
      <c r="G68" s="44"/>
      <c r="H68" s="44"/>
      <c r="I68" s="44"/>
      <c r="J68" s="44"/>
      <c r="K68" s="44"/>
      <c r="L68" s="44"/>
      <c r="M68" s="44"/>
      <c r="N68" s="153"/>
      <c r="O68" s="172"/>
      <c r="P68" s="153"/>
      <c r="Q68" s="153"/>
      <c r="R68" s="153"/>
      <c r="S68" s="153" t="s">
        <v>117</v>
      </c>
      <c r="T68" s="153"/>
      <c r="U68" s="153"/>
      <c r="V68" s="153"/>
      <c r="W68" s="153"/>
      <c r="X68" s="153"/>
    </row>
    <row r="69" spans="1:24" s="27" customFormat="1" hidden="1" x14ac:dyDescent="0.25">
      <c r="A69" s="154"/>
      <c r="E69" s="44"/>
      <c r="F69" s="44"/>
      <c r="G69" s="44"/>
      <c r="H69" s="44"/>
      <c r="I69" s="44"/>
      <c r="J69" s="44"/>
      <c r="K69" s="44"/>
      <c r="L69" s="44"/>
      <c r="M69" s="44"/>
      <c r="N69" s="153"/>
      <c r="O69" s="172"/>
      <c r="P69" s="153"/>
      <c r="Q69" s="153"/>
      <c r="R69" s="153"/>
      <c r="S69" s="153" t="s">
        <v>117</v>
      </c>
      <c r="T69" s="153"/>
      <c r="U69" s="153"/>
      <c r="V69" s="153"/>
      <c r="W69" s="153"/>
      <c r="X69" s="153"/>
    </row>
    <row r="70" spans="1:24" s="27" customFormat="1" hidden="1" x14ac:dyDescent="0.25">
      <c r="A70" s="154"/>
      <c r="L70" s="44"/>
      <c r="M70" s="44"/>
      <c r="N70" s="153"/>
      <c r="O70" s="172"/>
      <c r="P70" s="153"/>
      <c r="Q70" s="153"/>
      <c r="R70" s="153"/>
      <c r="S70" s="153" t="s">
        <v>117</v>
      </c>
      <c r="T70" s="153"/>
      <c r="U70" s="153"/>
      <c r="V70" s="153"/>
      <c r="W70" s="153"/>
      <c r="X70" s="153"/>
    </row>
    <row r="71" spans="1:24" s="27" customFormat="1" hidden="1" x14ac:dyDescent="0.25">
      <c r="A71" s="154"/>
      <c r="L71" s="44"/>
      <c r="M71" s="44"/>
      <c r="N71" s="153"/>
      <c r="O71" s="172"/>
      <c r="P71" s="153"/>
      <c r="Q71" s="153"/>
      <c r="R71" s="153"/>
      <c r="S71" s="153" t="s">
        <v>117</v>
      </c>
      <c r="T71" s="153"/>
      <c r="U71" s="153"/>
      <c r="V71" s="153"/>
      <c r="W71" s="153"/>
      <c r="X71" s="153"/>
    </row>
    <row r="72" spans="1:24" s="27" customFormat="1" hidden="1" x14ac:dyDescent="0.25">
      <c r="A72" s="154"/>
      <c r="E72" s="44"/>
      <c r="F72" s="44"/>
      <c r="G72" s="44"/>
      <c r="H72" s="44"/>
      <c r="I72" s="44"/>
      <c r="J72" s="44"/>
      <c r="K72" s="44"/>
      <c r="L72" s="44"/>
      <c r="M72" s="44"/>
      <c r="N72" s="153"/>
      <c r="O72" s="172"/>
      <c r="P72" s="153"/>
      <c r="Q72" s="153"/>
      <c r="R72" s="153"/>
      <c r="S72" s="153"/>
      <c r="T72" s="153"/>
      <c r="U72" s="153"/>
      <c r="V72" s="153"/>
      <c r="W72" s="153"/>
      <c r="X72" s="153"/>
    </row>
    <row r="73" spans="1:24" s="27" customFormat="1" hidden="1" x14ac:dyDescent="0.25">
      <c r="A73" s="154"/>
      <c r="E73" s="44"/>
      <c r="F73" s="44"/>
      <c r="G73" s="44"/>
      <c r="H73" s="44"/>
      <c r="I73" s="44"/>
      <c r="J73" s="44"/>
      <c r="K73" s="44"/>
      <c r="L73" s="44"/>
      <c r="M73" s="44"/>
      <c r="N73" s="153"/>
      <c r="O73" s="172"/>
      <c r="P73" s="153"/>
      <c r="Q73" s="153"/>
      <c r="R73" s="153"/>
      <c r="S73" s="153"/>
      <c r="T73" s="153"/>
      <c r="U73" s="153"/>
      <c r="V73" s="153"/>
      <c r="W73" s="153"/>
      <c r="X73" s="153"/>
    </row>
    <row r="74" spans="1:24" s="27" customFormat="1" hidden="1" x14ac:dyDescent="0.25">
      <c r="A74" s="154"/>
      <c r="E74" s="44"/>
      <c r="F74" s="44"/>
      <c r="G74" s="44"/>
      <c r="H74" s="44"/>
      <c r="I74" s="44"/>
      <c r="J74" s="44"/>
      <c r="K74" s="44"/>
      <c r="L74" s="44"/>
      <c r="M74" s="44"/>
      <c r="N74" s="153"/>
      <c r="O74" s="172"/>
      <c r="P74" s="153"/>
      <c r="Q74" s="153"/>
      <c r="R74" s="153"/>
      <c r="S74" s="153"/>
      <c r="T74" s="153"/>
      <c r="U74" s="153"/>
      <c r="V74" s="153"/>
      <c r="W74" s="153"/>
      <c r="X74" s="153"/>
    </row>
    <row r="75" spans="1:24" s="27" customFormat="1" hidden="1" x14ac:dyDescent="0.25">
      <c r="A75" s="154"/>
      <c r="J75" s="44"/>
      <c r="K75" s="44"/>
      <c r="L75" s="44"/>
      <c r="M75" s="44"/>
      <c r="N75" s="153"/>
      <c r="O75" s="172"/>
      <c r="P75" s="153"/>
      <c r="Q75" s="153"/>
      <c r="R75" s="153"/>
      <c r="T75" s="153"/>
      <c r="U75" s="153"/>
      <c r="V75" s="153"/>
      <c r="W75" s="153"/>
      <c r="X75" s="153"/>
    </row>
    <row r="76" spans="1:24" s="27" customFormat="1" x14ac:dyDescent="0.25">
      <c r="A76" s="156"/>
      <c r="B76" s="156"/>
      <c r="C76" s="156"/>
      <c r="D76" s="156"/>
      <c r="E76" s="157">
        <f>SUM(E51:E72)</f>
        <v>5875</v>
      </c>
      <c r="F76" s="158"/>
      <c r="G76" s="157">
        <f>SUM(G51:G72)</f>
        <v>3000</v>
      </c>
      <c r="H76" s="158"/>
      <c r="I76" s="157">
        <f>SUM(I51:I72)</f>
        <v>3500</v>
      </c>
      <c r="J76" s="158"/>
      <c r="K76" s="157">
        <f>SUM(K51:K72)</f>
        <v>2105</v>
      </c>
      <c r="L76" s="158"/>
      <c r="M76" s="157">
        <f>SUM(E76:K76)</f>
        <v>14480</v>
      </c>
      <c r="N76" s="153"/>
      <c r="O76" s="172"/>
      <c r="P76" s="153"/>
      <c r="Q76" s="153"/>
      <c r="R76" s="153"/>
      <c r="S76" s="153"/>
      <c r="T76" s="153"/>
      <c r="U76" s="153"/>
      <c r="V76" s="153"/>
      <c r="W76" s="153"/>
      <c r="X76" s="153"/>
    </row>
    <row r="77" spans="1:24" s="27" customFormat="1" x14ac:dyDescent="0.25">
      <c r="A77" s="154" t="s">
        <v>9</v>
      </c>
      <c r="E77" s="44"/>
      <c r="F77" s="44"/>
      <c r="G77" s="44"/>
      <c r="H77" s="44"/>
      <c r="I77" s="44"/>
      <c r="J77" s="44"/>
      <c r="K77" s="44"/>
      <c r="L77" s="44"/>
      <c r="M77" s="44"/>
      <c r="N77" s="153"/>
      <c r="O77" s="172"/>
      <c r="P77" s="153"/>
      <c r="Q77" s="153"/>
      <c r="R77" s="153"/>
      <c r="S77" s="153"/>
      <c r="T77" s="153"/>
      <c r="U77" s="153"/>
      <c r="V77" s="153"/>
      <c r="W77" s="153"/>
      <c r="X77" s="153"/>
    </row>
    <row r="78" spans="1:24" s="27" customFormat="1" x14ac:dyDescent="0.25">
      <c r="A78" s="154"/>
      <c r="E78" s="44"/>
      <c r="F78" s="44"/>
      <c r="G78" s="44"/>
      <c r="H78" s="44"/>
      <c r="I78" s="44"/>
      <c r="J78" s="44"/>
      <c r="K78" s="44"/>
      <c r="L78" s="44"/>
      <c r="M78" s="44"/>
      <c r="N78" s="153"/>
      <c r="O78" s="172"/>
      <c r="P78" s="153"/>
      <c r="Q78" s="153"/>
      <c r="R78" s="153"/>
      <c r="S78" s="153"/>
      <c r="T78" s="153"/>
      <c r="U78" s="153"/>
      <c r="V78" s="153"/>
      <c r="W78" s="153"/>
      <c r="X78" s="153"/>
    </row>
    <row r="79" spans="1:24" s="27" customFormat="1" x14ac:dyDescent="0.25">
      <c r="E79" s="44"/>
      <c r="F79" s="44"/>
      <c r="G79" s="44"/>
      <c r="H79" s="44"/>
      <c r="I79" s="44"/>
      <c r="J79" s="44"/>
      <c r="K79" s="44"/>
      <c r="L79" s="44"/>
      <c r="M79" s="44"/>
      <c r="N79" s="153"/>
      <c r="O79" s="172"/>
      <c r="P79" s="153"/>
      <c r="Q79" s="153"/>
      <c r="R79" s="153"/>
      <c r="S79" s="153"/>
      <c r="T79" s="153"/>
      <c r="U79" s="153"/>
      <c r="V79" s="153"/>
      <c r="W79" s="153"/>
      <c r="X79" s="153"/>
    </row>
    <row r="80" spans="1:24" s="27" customFormat="1" x14ac:dyDescent="0.25">
      <c r="A80" s="156"/>
      <c r="B80" s="156"/>
      <c r="C80" s="156"/>
      <c r="D80" s="156"/>
      <c r="E80" s="157">
        <f>SUM(E78:E79)</f>
        <v>0</v>
      </c>
      <c r="F80" s="158"/>
      <c r="G80" s="157">
        <f>SUM(G78:G79)</f>
        <v>0</v>
      </c>
      <c r="H80" s="158"/>
      <c r="I80" s="157">
        <f>SUM(I78:I79)</f>
        <v>0</v>
      </c>
      <c r="J80" s="158"/>
      <c r="K80" s="157">
        <f>SUM(K78:K79)</f>
        <v>0</v>
      </c>
      <c r="L80" s="158"/>
      <c r="M80" s="157">
        <f>SUM(E80:K80)</f>
        <v>0</v>
      </c>
      <c r="N80" s="153"/>
      <c r="O80" s="172"/>
      <c r="P80" s="153"/>
      <c r="Q80" s="153"/>
      <c r="R80" s="153"/>
      <c r="S80" s="153"/>
      <c r="T80" s="153"/>
      <c r="U80" s="153"/>
      <c r="V80" s="153"/>
      <c r="W80" s="153"/>
      <c r="X80" s="153"/>
    </row>
    <row r="81" spans="1:26" s="27" customFormat="1" x14ac:dyDescent="0.25">
      <c r="A81" s="154" t="s">
        <v>151</v>
      </c>
      <c r="E81" s="44"/>
      <c r="F81" s="44"/>
      <c r="G81" s="44"/>
      <c r="H81" s="44"/>
      <c r="I81" s="44"/>
      <c r="J81" s="44"/>
      <c r="K81" s="44"/>
      <c r="L81" s="44"/>
      <c r="M81" s="44"/>
      <c r="N81" s="153"/>
      <c r="O81" s="172"/>
      <c r="P81" s="153"/>
      <c r="Q81" s="153"/>
      <c r="R81" s="153"/>
      <c r="S81" s="153"/>
      <c r="T81" s="153"/>
      <c r="U81" s="153"/>
      <c r="V81" s="153"/>
      <c r="W81" s="153"/>
      <c r="X81" s="153"/>
    </row>
    <row r="82" spans="1:26" s="27" customFormat="1" x14ac:dyDescent="0.25">
      <c r="A82" s="154"/>
      <c r="E82" s="44"/>
      <c r="F82" s="44"/>
      <c r="G82" s="44"/>
      <c r="H82" s="44"/>
      <c r="I82" s="44"/>
      <c r="J82" s="44"/>
      <c r="K82" s="44"/>
      <c r="L82" s="44"/>
      <c r="M82" s="44"/>
      <c r="N82" s="153"/>
      <c r="O82" s="172"/>
      <c r="P82" s="153"/>
      <c r="Q82" s="153"/>
      <c r="R82" s="153"/>
      <c r="S82" s="153"/>
      <c r="T82" s="153"/>
      <c r="U82" s="153"/>
      <c r="V82" s="153"/>
      <c r="W82" s="153"/>
      <c r="X82" s="153"/>
    </row>
    <row r="83" spans="1:26" s="27" customFormat="1" x14ac:dyDescent="0.25">
      <c r="E83" s="44"/>
      <c r="F83" s="44"/>
      <c r="G83" s="44"/>
      <c r="H83" s="44"/>
      <c r="I83" s="44"/>
      <c r="J83" s="44"/>
      <c r="K83" s="44"/>
      <c r="L83" s="44"/>
      <c r="M83" s="44"/>
      <c r="N83" s="153"/>
      <c r="O83" s="172"/>
      <c r="P83" s="153"/>
      <c r="Q83" s="153"/>
      <c r="R83" s="153"/>
      <c r="S83" s="153"/>
      <c r="T83" s="153"/>
      <c r="U83" s="153"/>
      <c r="V83" s="153"/>
      <c r="W83" s="153"/>
      <c r="X83" s="153"/>
    </row>
    <row r="84" spans="1:26" s="27" customFormat="1" x14ac:dyDescent="0.25">
      <c r="A84" s="156"/>
      <c r="B84" s="156"/>
      <c r="C84" s="156"/>
      <c r="D84" s="156"/>
      <c r="E84" s="157">
        <f>SUM(E82:E83)</f>
        <v>0</v>
      </c>
      <c r="F84" s="158"/>
      <c r="G84" s="157">
        <f>SUM(G82:G83)</f>
        <v>0</v>
      </c>
      <c r="H84" s="158"/>
      <c r="I84" s="157">
        <f>SUM(I82:I83)</f>
        <v>0</v>
      </c>
      <c r="J84" s="158"/>
      <c r="K84" s="157">
        <f>SUM(K82:K83)</f>
        <v>0</v>
      </c>
      <c r="L84" s="158"/>
      <c r="M84" s="157">
        <f>SUM(E84:K84)</f>
        <v>0</v>
      </c>
      <c r="N84" s="153"/>
      <c r="O84" s="172"/>
      <c r="P84" s="153"/>
      <c r="Q84" s="153"/>
      <c r="R84" s="153"/>
      <c r="S84" s="153"/>
      <c r="T84" s="153"/>
      <c r="U84" s="153"/>
      <c r="V84" s="153"/>
      <c r="W84" s="153"/>
      <c r="X84" s="153"/>
    </row>
    <row r="85" spans="1:26" s="27" customFormat="1" x14ac:dyDescent="0.25">
      <c r="A85" s="154" t="s">
        <v>180</v>
      </c>
      <c r="E85" s="44"/>
      <c r="F85" s="44"/>
      <c r="G85" s="44"/>
      <c r="H85" s="44"/>
      <c r="I85" s="44"/>
      <c r="J85" s="44"/>
      <c r="K85" s="44"/>
      <c r="L85" s="44"/>
      <c r="M85" s="44"/>
      <c r="N85" s="153"/>
      <c r="O85" s="172"/>
      <c r="P85" s="153"/>
      <c r="Q85" s="153"/>
      <c r="R85" s="153"/>
      <c r="S85" s="153"/>
      <c r="T85" s="153"/>
      <c r="U85" s="153"/>
      <c r="V85" s="153"/>
      <c r="W85" s="153"/>
      <c r="X85" s="153"/>
    </row>
    <row r="86" spans="1:26" s="27" customFormat="1" x14ac:dyDescent="0.25">
      <c r="A86" s="154"/>
      <c r="E86" s="44"/>
      <c r="F86" s="44"/>
      <c r="G86" s="44"/>
      <c r="H86" s="44"/>
      <c r="I86" s="44"/>
      <c r="J86" s="44"/>
      <c r="K86" s="44"/>
      <c r="L86" s="44"/>
      <c r="M86" s="44"/>
      <c r="N86" s="153"/>
      <c r="O86" s="172"/>
      <c r="P86" s="153"/>
      <c r="Q86" s="153"/>
      <c r="R86" s="153"/>
      <c r="S86" s="153"/>
      <c r="T86" s="153"/>
      <c r="U86" s="153"/>
      <c r="V86" s="153"/>
      <c r="W86" s="153"/>
      <c r="X86" s="153"/>
    </row>
    <row r="87" spans="1:26" s="27" customFormat="1" x14ac:dyDescent="0.25">
      <c r="E87" s="44"/>
      <c r="F87" s="44"/>
      <c r="G87" s="44"/>
      <c r="H87" s="44"/>
      <c r="I87" s="44"/>
      <c r="J87" s="44"/>
      <c r="K87" s="44"/>
      <c r="L87" s="44"/>
      <c r="M87" s="44"/>
      <c r="N87" s="153"/>
      <c r="O87" s="172"/>
      <c r="P87" s="153"/>
      <c r="Q87" s="153"/>
      <c r="R87" s="153"/>
      <c r="S87" s="153"/>
      <c r="T87" s="153"/>
      <c r="U87" s="153"/>
      <c r="V87" s="153"/>
      <c r="W87" s="153"/>
      <c r="X87" s="153"/>
    </row>
    <row r="88" spans="1:26" s="27" customFormat="1" x14ac:dyDescent="0.25">
      <c r="A88" s="156"/>
      <c r="B88" s="156"/>
      <c r="C88" s="156"/>
      <c r="D88" s="156"/>
      <c r="E88" s="157">
        <f>SUM(E86:E87)</f>
        <v>0</v>
      </c>
      <c r="F88" s="158"/>
      <c r="G88" s="157">
        <f>SUM(G86:G87)</f>
        <v>0</v>
      </c>
      <c r="H88" s="158"/>
      <c r="I88" s="157">
        <f>SUM(I86:I87)</f>
        <v>0</v>
      </c>
      <c r="J88" s="158"/>
      <c r="K88" s="157">
        <f>SUM(K86:K87)</f>
        <v>0</v>
      </c>
      <c r="L88" s="158"/>
      <c r="M88" s="157">
        <f>SUM(E88:K88)</f>
        <v>0</v>
      </c>
      <c r="N88" s="153"/>
      <c r="O88" s="172"/>
      <c r="P88" s="153"/>
      <c r="Q88" s="153"/>
      <c r="R88" s="153"/>
      <c r="S88" s="153"/>
      <c r="T88" s="153"/>
      <c r="U88" s="153"/>
      <c r="V88" s="153"/>
      <c r="W88" s="153"/>
      <c r="X88" s="153"/>
    </row>
    <row r="89" spans="1:26" s="27" customFormat="1" ht="3" customHeight="1" x14ac:dyDescent="0.25">
      <c r="E89" s="44"/>
      <c r="F89" s="44"/>
      <c r="G89" s="44"/>
      <c r="H89" s="44"/>
      <c r="I89" s="44"/>
      <c r="J89" s="44"/>
      <c r="K89" s="44"/>
      <c r="L89" s="44"/>
      <c r="M89" s="44"/>
      <c r="N89" s="153"/>
      <c r="O89" s="172"/>
      <c r="P89" s="153"/>
      <c r="Q89" s="153"/>
      <c r="R89" s="153"/>
      <c r="S89" s="153"/>
      <c r="T89" s="153"/>
      <c r="U89" s="153"/>
      <c r="V89" s="153"/>
      <c r="W89" s="153"/>
      <c r="X89" s="153"/>
    </row>
    <row r="90" spans="1:26" s="27" customFormat="1" ht="13.5" thickBot="1" x14ac:dyDescent="0.3">
      <c r="A90" s="159" t="s">
        <v>100</v>
      </c>
      <c r="B90" s="160"/>
      <c r="C90" s="160"/>
      <c r="D90" s="160"/>
      <c r="E90" s="161" t="e">
        <f>E10+E16+E20+E24+E28+E34+#REF!+E38+E42+E49+E76+E80+E84+E88</f>
        <v>#REF!</v>
      </c>
      <c r="F90" s="162"/>
      <c r="G90" s="161" t="e">
        <f>G10+G16+G20+G24+G28+G34+#REF!+G38+G42+G49+G76+G80+G84+G88</f>
        <v>#REF!</v>
      </c>
      <c r="H90" s="162"/>
      <c r="I90" s="161" t="e">
        <f>I10+I16+I20+I24+I28+I34+#REF!+I38+I42+I49+I76+I80+I84+I88</f>
        <v>#REF!</v>
      </c>
      <c r="J90" s="162"/>
      <c r="K90" s="161" t="e">
        <f>K10+K16+K20+K24+K28+K34+#REF!+K38+K42+K49+K76+K80+K84+K88</f>
        <v>#REF!</v>
      </c>
      <c r="L90" s="162"/>
      <c r="M90" s="161" t="e">
        <f>SUM(E90:K90)</f>
        <v>#REF!</v>
      </c>
      <c r="N90" s="153"/>
      <c r="O90" s="172"/>
      <c r="P90" s="153"/>
      <c r="Q90" s="153"/>
      <c r="R90" s="153"/>
      <c r="S90" s="153"/>
      <c r="T90" s="153"/>
      <c r="U90" s="153"/>
      <c r="V90" s="153"/>
      <c r="W90" s="153"/>
      <c r="X90" s="153"/>
    </row>
    <row r="91" spans="1:26" ht="3" customHeight="1" thickTop="1" x14ac:dyDescent="0.2"/>
    <row r="92" spans="1:26" ht="12" customHeight="1" x14ac:dyDescent="0.2"/>
    <row r="93" spans="1:26" s="27" customFormat="1" x14ac:dyDescent="0.25">
      <c r="A93" s="151" t="s">
        <v>126</v>
      </c>
      <c r="B93" s="152"/>
      <c r="C93" s="152"/>
      <c r="D93" s="152"/>
      <c r="E93" s="145"/>
      <c r="F93" s="152"/>
      <c r="G93" s="145"/>
      <c r="H93" s="152"/>
      <c r="I93" s="145"/>
      <c r="J93" s="152"/>
      <c r="K93" s="145"/>
      <c r="L93" s="152"/>
      <c r="M93" s="146" t="s">
        <v>14</v>
      </c>
      <c r="N93" s="153"/>
      <c r="O93" s="172"/>
      <c r="P93" s="153"/>
      <c r="Q93" s="153"/>
      <c r="R93" s="153"/>
      <c r="S93" s="173" t="s">
        <v>115</v>
      </c>
      <c r="T93" s="166" t="s">
        <v>118</v>
      </c>
      <c r="U93" s="166" t="s">
        <v>119</v>
      </c>
      <c r="V93" s="166" t="s">
        <v>123</v>
      </c>
      <c r="W93" s="166" t="s">
        <v>99</v>
      </c>
      <c r="X93" s="166" t="s">
        <v>120</v>
      </c>
      <c r="Y93" s="173" t="s">
        <v>121</v>
      </c>
      <c r="Z93" s="173" t="s">
        <v>14</v>
      </c>
    </row>
    <row r="94" spans="1:26" s="27" customFormat="1" ht="3" customHeight="1" x14ac:dyDescent="0.25">
      <c r="N94" s="153"/>
      <c r="O94" s="172"/>
      <c r="P94" s="153"/>
      <c r="Q94" s="153"/>
      <c r="R94" s="153"/>
      <c r="S94" s="153"/>
      <c r="T94" s="153"/>
      <c r="U94" s="153"/>
      <c r="V94" s="153"/>
      <c r="W94" s="153"/>
      <c r="X94" s="153"/>
    </row>
    <row r="95" spans="1:26" s="27" customFormat="1" hidden="1" x14ac:dyDescent="0.25">
      <c r="A95" s="154" t="s">
        <v>144</v>
      </c>
      <c r="N95" s="153"/>
      <c r="O95" s="172"/>
      <c r="P95" s="153"/>
      <c r="Q95" s="153"/>
      <c r="R95" s="153"/>
      <c r="S95" s="153"/>
      <c r="T95" s="153"/>
      <c r="U95" s="153"/>
      <c r="V95" s="153"/>
      <c r="W95" s="153"/>
      <c r="X95" s="153"/>
    </row>
    <row r="96" spans="1:26" s="27" customFormat="1" hidden="1" x14ac:dyDescent="0.25">
      <c r="E96" s="44"/>
      <c r="F96" s="44"/>
      <c r="G96" s="44"/>
      <c r="H96" s="44"/>
      <c r="I96" s="44"/>
      <c r="J96" s="44"/>
      <c r="K96" s="44"/>
      <c r="L96" s="44"/>
      <c r="M96" s="44"/>
      <c r="N96" s="153"/>
      <c r="O96" s="172"/>
      <c r="P96" s="153"/>
      <c r="Q96" s="153"/>
      <c r="R96" s="153"/>
      <c r="S96" s="153"/>
      <c r="T96" s="174"/>
      <c r="U96" s="174"/>
      <c r="V96" s="174"/>
      <c r="W96" s="174"/>
      <c r="X96" s="174"/>
      <c r="Y96" s="174"/>
      <c r="Z96" s="175"/>
    </row>
    <row r="97" spans="1:26" s="27" customFormat="1" hidden="1" x14ac:dyDescent="0.25">
      <c r="E97" s="44"/>
      <c r="F97" s="44"/>
      <c r="G97" s="44"/>
      <c r="H97" s="44"/>
      <c r="I97" s="44"/>
      <c r="J97" s="44"/>
      <c r="K97" s="44"/>
      <c r="L97" s="44"/>
      <c r="M97" s="44"/>
      <c r="N97" s="153"/>
      <c r="O97" s="172"/>
      <c r="P97" s="153"/>
      <c r="Q97" s="153"/>
      <c r="R97" s="153"/>
      <c r="S97" s="153"/>
      <c r="T97" s="174"/>
      <c r="U97" s="174"/>
      <c r="V97" s="174"/>
      <c r="W97" s="174"/>
      <c r="X97" s="174"/>
      <c r="Y97" s="174"/>
      <c r="Z97" s="175"/>
    </row>
    <row r="98" spans="1:26" s="27" customFormat="1" hidden="1" x14ac:dyDescent="0.25">
      <c r="E98" s="44"/>
      <c r="F98" s="44"/>
      <c r="G98" s="44"/>
      <c r="H98" s="44"/>
      <c r="I98" s="44"/>
      <c r="J98" s="44"/>
      <c r="K98" s="44"/>
      <c r="L98" s="44"/>
      <c r="M98" s="44"/>
      <c r="N98" s="153"/>
      <c r="O98" s="172"/>
      <c r="P98" s="153"/>
      <c r="Q98" s="153"/>
      <c r="R98" s="153"/>
      <c r="S98" s="153"/>
      <c r="T98" s="174"/>
      <c r="U98" s="174"/>
      <c r="V98" s="174"/>
      <c r="W98" s="174"/>
      <c r="X98" s="174"/>
      <c r="Y98" s="174"/>
      <c r="Z98" s="175"/>
    </row>
    <row r="99" spans="1:26" s="27" customFormat="1" ht="3" hidden="1" customHeight="1" x14ac:dyDescent="0.25">
      <c r="E99" s="44"/>
      <c r="F99" s="44"/>
      <c r="G99" s="44"/>
      <c r="H99" s="44"/>
      <c r="I99" s="44"/>
      <c r="J99" s="44"/>
      <c r="K99" s="44"/>
      <c r="L99" s="44"/>
      <c r="M99" s="44"/>
      <c r="N99" s="153"/>
      <c r="O99" s="172"/>
      <c r="P99" s="153"/>
      <c r="Q99" s="153"/>
      <c r="R99" s="153"/>
      <c r="S99" s="153"/>
      <c r="T99" s="153"/>
      <c r="U99" s="153"/>
      <c r="V99" s="153"/>
      <c r="W99" s="153"/>
      <c r="X99" s="153"/>
    </row>
    <row r="100" spans="1:26" s="27" customFormat="1" hidden="1" x14ac:dyDescent="0.25">
      <c r="A100" s="156"/>
      <c r="B100" s="156"/>
      <c r="C100" s="156"/>
      <c r="D100" s="156"/>
      <c r="E100" s="157"/>
      <c r="F100" s="158"/>
      <c r="G100" s="157"/>
      <c r="H100" s="158"/>
      <c r="I100" s="157"/>
      <c r="J100" s="158"/>
      <c r="K100" s="157"/>
      <c r="L100" s="158"/>
      <c r="M100" s="157">
        <f>SUM(M96:M98)</f>
        <v>0</v>
      </c>
      <c r="N100" s="153"/>
      <c r="O100" s="172"/>
      <c r="P100" s="153"/>
      <c r="Q100" s="153"/>
      <c r="R100" s="153"/>
      <c r="S100" s="153"/>
      <c r="T100" s="153"/>
      <c r="U100" s="153"/>
      <c r="V100" s="153"/>
      <c r="W100" s="153"/>
      <c r="X100" s="153"/>
    </row>
    <row r="101" spans="1:26" s="27" customFormat="1" ht="3" hidden="1" customHeight="1" x14ac:dyDescent="0.25">
      <c r="E101" s="44"/>
      <c r="F101" s="44"/>
      <c r="G101" s="44"/>
      <c r="H101" s="44"/>
      <c r="I101" s="44"/>
      <c r="J101" s="44"/>
      <c r="K101" s="44"/>
      <c r="L101" s="44"/>
      <c r="M101" s="44"/>
      <c r="N101" s="153"/>
      <c r="O101" s="172"/>
      <c r="P101" s="153"/>
      <c r="Q101" s="153"/>
      <c r="R101" s="153"/>
      <c r="S101" s="153"/>
      <c r="T101" s="153"/>
      <c r="U101" s="153"/>
      <c r="V101" s="153"/>
      <c r="W101" s="153"/>
      <c r="X101" s="153"/>
    </row>
    <row r="102" spans="1:26" s="27" customFormat="1" hidden="1" x14ac:dyDescent="0.25">
      <c r="A102" s="154" t="s">
        <v>145</v>
      </c>
      <c r="N102" s="153"/>
      <c r="O102" s="172"/>
      <c r="P102" s="153"/>
      <c r="Q102" s="153"/>
      <c r="R102" s="153"/>
      <c r="S102" s="153"/>
      <c r="T102" s="153"/>
      <c r="U102" s="153"/>
      <c r="V102" s="153"/>
      <c r="W102" s="153"/>
      <c r="X102" s="153"/>
    </row>
    <row r="103" spans="1:26" s="27" customFormat="1" hidden="1" x14ac:dyDescent="0.25">
      <c r="E103" s="44"/>
      <c r="F103" s="44"/>
      <c r="G103" s="44"/>
      <c r="H103" s="44"/>
      <c r="I103" s="44"/>
      <c r="J103" s="44"/>
      <c r="K103" s="44"/>
      <c r="L103" s="44"/>
      <c r="M103" s="44"/>
      <c r="N103" s="153"/>
      <c r="O103" s="172"/>
      <c r="P103" s="153"/>
      <c r="Q103" s="153"/>
      <c r="R103" s="153"/>
      <c r="S103" s="153"/>
      <c r="T103" s="174"/>
      <c r="U103" s="174"/>
      <c r="V103" s="174"/>
      <c r="W103" s="174"/>
      <c r="X103" s="174"/>
      <c r="Y103" s="174"/>
      <c r="Z103" s="175"/>
    </row>
    <row r="104" spans="1:26" s="27" customFormat="1" ht="3" hidden="1" customHeight="1" x14ac:dyDescent="0.25">
      <c r="E104" s="44"/>
      <c r="F104" s="44"/>
      <c r="G104" s="44"/>
      <c r="H104" s="44"/>
      <c r="I104" s="44"/>
      <c r="J104" s="44"/>
      <c r="K104" s="44"/>
      <c r="L104" s="44"/>
      <c r="M104" s="44"/>
      <c r="N104" s="153"/>
      <c r="O104" s="172"/>
      <c r="P104" s="153"/>
      <c r="Q104" s="153"/>
      <c r="R104" s="153"/>
      <c r="S104" s="153"/>
      <c r="T104" s="153"/>
      <c r="U104" s="153"/>
      <c r="V104" s="153"/>
      <c r="W104" s="153"/>
      <c r="X104" s="153"/>
    </row>
    <row r="105" spans="1:26" s="27" customFormat="1" hidden="1" x14ac:dyDescent="0.25">
      <c r="A105" s="156"/>
      <c r="B105" s="156"/>
      <c r="C105" s="156"/>
      <c r="D105" s="156"/>
      <c r="E105" s="157"/>
      <c r="F105" s="158"/>
      <c r="G105" s="157"/>
      <c r="H105" s="158"/>
      <c r="I105" s="157"/>
      <c r="J105" s="158"/>
      <c r="K105" s="157"/>
      <c r="L105" s="158"/>
      <c r="M105" s="157">
        <f>SUM(M103:M103)</f>
        <v>0</v>
      </c>
      <c r="N105" s="153"/>
      <c r="O105" s="172"/>
      <c r="P105" s="153"/>
      <c r="Q105" s="153"/>
      <c r="R105" s="153"/>
      <c r="S105" s="153"/>
      <c r="T105" s="153"/>
      <c r="U105" s="153"/>
      <c r="V105" s="153"/>
      <c r="W105" s="153"/>
      <c r="X105" s="153"/>
    </row>
    <row r="106" spans="1:26" s="27" customFormat="1" ht="3" customHeight="1" x14ac:dyDescent="0.25">
      <c r="E106" s="44"/>
      <c r="F106" s="44"/>
      <c r="G106" s="44"/>
      <c r="H106" s="44"/>
      <c r="I106" s="44"/>
      <c r="J106" s="44"/>
      <c r="K106" s="44"/>
      <c r="L106" s="44"/>
      <c r="M106" s="44"/>
      <c r="N106" s="153"/>
      <c r="O106" s="172"/>
      <c r="P106" s="153"/>
      <c r="Q106" s="153"/>
      <c r="R106" s="153"/>
      <c r="S106" s="153"/>
      <c r="T106" s="153"/>
      <c r="U106" s="153"/>
      <c r="V106" s="153"/>
      <c r="W106" s="153"/>
      <c r="X106" s="153"/>
    </row>
    <row r="107" spans="1:26" s="27" customFormat="1" x14ac:dyDescent="0.25">
      <c r="A107" s="154" t="s">
        <v>90</v>
      </c>
      <c r="N107" s="153"/>
      <c r="O107" s="172"/>
      <c r="P107" s="153"/>
      <c r="Q107" s="153"/>
      <c r="R107" s="153"/>
      <c r="S107" s="153"/>
      <c r="T107" s="153"/>
      <c r="U107" s="153"/>
      <c r="V107" s="153"/>
      <c r="W107" s="153"/>
      <c r="X107" s="153"/>
    </row>
    <row r="108" spans="1:26" s="27" customFormat="1" x14ac:dyDescent="0.25">
      <c r="A108" s="154"/>
      <c r="B108" s="27" t="s">
        <v>194</v>
      </c>
      <c r="C108" s="27" t="s">
        <v>196</v>
      </c>
      <c r="M108" s="44">
        <v>116</v>
      </c>
      <c r="N108" s="153"/>
      <c r="O108" s="172"/>
      <c r="P108" s="153"/>
      <c r="Q108" s="153"/>
      <c r="R108" s="153"/>
      <c r="S108" s="153"/>
      <c r="T108" s="174"/>
      <c r="U108" s="174"/>
      <c r="V108" s="174"/>
      <c r="W108" s="174"/>
      <c r="X108" s="174"/>
      <c r="Y108" s="174"/>
      <c r="Z108" s="175"/>
    </row>
    <row r="109" spans="1:26" s="27" customFormat="1" x14ac:dyDescent="0.25">
      <c r="B109" s="27" t="s">
        <v>195</v>
      </c>
      <c r="C109" s="27" t="s">
        <v>197</v>
      </c>
      <c r="E109" s="44"/>
      <c r="F109" s="44"/>
      <c r="G109" s="44"/>
      <c r="H109" s="44"/>
      <c r="I109" s="44"/>
      <c r="J109" s="44"/>
      <c r="K109" s="44"/>
      <c r="L109" s="44"/>
      <c r="M109" s="44">
        <v>220</v>
      </c>
      <c r="N109" s="153"/>
      <c r="O109" s="172"/>
      <c r="P109" s="153"/>
      <c r="Q109" s="153"/>
      <c r="R109" s="153"/>
      <c r="S109" s="153"/>
      <c r="T109" s="174"/>
      <c r="U109" s="174"/>
      <c r="V109" s="174"/>
      <c r="W109" s="174"/>
      <c r="X109" s="174"/>
      <c r="Y109" s="174"/>
      <c r="Z109" s="175"/>
    </row>
    <row r="110" spans="1:26" s="27" customFormat="1" x14ac:dyDescent="0.25">
      <c r="A110" s="154"/>
      <c r="M110" s="44"/>
      <c r="N110" s="153"/>
      <c r="O110" s="172"/>
      <c r="P110" s="153"/>
      <c r="Q110" s="153"/>
      <c r="R110" s="153"/>
      <c r="S110" s="153"/>
      <c r="T110" s="174"/>
      <c r="U110" s="174"/>
      <c r="V110" s="174"/>
      <c r="W110" s="174"/>
      <c r="X110" s="174"/>
      <c r="Y110" s="174"/>
      <c r="Z110" s="175"/>
    </row>
    <row r="111" spans="1:26" s="27" customFormat="1" x14ac:dyDescent="0.25">
      <c r="A111" s="154"/>
      <c r="M111" s="44"/>
      <c r="N111" s="153"/>
      <c r="O111" s="172"/>
      <c r="P111" s="153"/>
      <c r="Q111" s="153"/>
      <c r="R111" s="153"/>
      <c r="S111" s="153"/>
      <c r="T111" s="174"/>
      <c r="U111" s="174"/>
      <c r="V111" s="174"/>
      <c r="W111" s="174"/>
      <c r="X111" s="174"/>
      <c r="Y111" s="174"/>
      <c r="Z111" s="175"/>
    </row>
    <row r="112" spans="1:26" s="27" customFormat="1" ht="3" customHeight="1" x14ac:dyDescent="0.25">
      <c r="E112" s="44"/>
      <c r="F112" s="44"/>
      <c r="G112" s="44"/>
      <c r="H112" s="44"/>
      <c r="I112" s="44"/>
      <c r="J112" s="44"/>
      <c r="K112" s="44"/>
      <c r="L112" s="44"/>
      <c r="M112" s="44"/>
      <c r="N112" s="153"/>
      <c r="O112" s="172"/>
      <c r="P112" s="153"/>
      <c r="Q112" s="153"/>
      <c r="R112" s="153"/>
      <c r="S112" s="153"/>
      <c r="T112" s="153"/>
      <c r="U112" s="153"/>
      <c r="V112" s="153"/>
      <c r="W112" s="153"/>
      <c r="X112" s="153"/>
    </row>
    <row r="113" spans="1:26" s="27" customFormat="1" x14ac:dyDescent="0.25">
      <c r="A113" s="156"/>
      <c r="B113" s="156"/>
      <c r="C113" s="156"/>
      <c r="D113" s="156"/>
      <c r="E113" s="157"/>
      <c r="F113" s="158"/>
      <c r="G113" s="157"/>
      <c r="H113" s="158"/>
      <c r="I113" s="157"/>
      <c r="J113" s="158"/>
      <c r="K113" s="157"/>
      <c r="L113" s="158"/>
      <c r="M113" s="157">
        <f>SUM(M108:M112)</f>
        <v>336</v>
      </c>
      <c r="N113" s="153"/>
      <c r="O113" s="172"/>
      <c r="P113" s="153"/>
      <c r="Q113" s="153"/>
      <c r="R113" s="153"/>
      <c r="S113" s="153"/>
      <c r="T113" s="153"/>
      <c r="U113" s="153"/>
      <c r="V113" s="153"/>
      <c r="W113" s="153"/>
      <c r="X113" s="153"/>
    </row>
    <row r="114" spans="1:26" s="27" customFormat="1" ht="3" customHeight="1" x14ac:dyDescent="0.25">
      <c r="E114" s="44"/>
      <c r="F114" s="44"/>
      <c r="G114" s="44"/>
      <c r="H114" s="44"/>
      <c r="I114" s="44"/>
      <c r="J114" s="44"/>
      <c r="K114" s="44"/>
      <c r="L114" s="44"/>
      <c r="M114" s="44"/>
      <c r="N114" s="153"/>
      <c r="O114" s="172"/>
      <c r="P114" s="153"/>
      <c r="Q114" s="153"/>
      <c r="R114" s="153"/>
      <c r="S114" s="153"/>
      <c r="T114" s="153"/>
      <c r="U114" s="153"/>
      <c r="V114" s="153"/>
      <c r="W114" s="153"/>
      <c r="X114" s="153"/>
    </row>
    <row r="115" spans="1:26" s="27" customFormat="1" hidden="1" x14ac:dyDescent="0.25">
      <c r="A115" s="154" t="s">
        <v>114</v>
      </c>
      <c r="N115" s="153"/>
      <c r="O115" s="172"/>
      <c r="P115" s="153"/>
      <c r="Q115" s="153"/>
      <c r="R115" s="153"/>
      <c r="S115" s="153"/>
      <c r="T115" s="153"/>
      <c r="U115" s="153"/>
      <c r="V115" s="153"/>
      <c r="W115" s="153"/>
      <c r="X115" s="153"/>
    </row>
    <row r="116" spans="1:26" s="27" customFormat="1" hidden="1" x14ac:dyDescent="0.25">
      <c r="A116" s="154"/>
      <c r="M116" s="44"/>
      <c r="N116" s="153"/>
      <c r="O116" s="172"/>
      <c r="P116" s="153"/>
      <c r="Q116" s="153"/>
      <c r="R116" s="153"/>
      <c r="S116" s="153"/>
      <c r="T116" s="174"/>
      <c r="U116" s="174"/>
      <c r="V116" s="174"/>
      <c r="W116" s="174"/>
      <c r="X116" s="174"/>
      <c r="Y116" s="174"/>
      <c r="Z116" s="175"/>
    </row>
    <row r="117" spans="1:26" s="27" customFormat="1" ht="3" hidden="1" customHeight="1" x14ac:dyDescent="0.25">
      <c r="E117" s="44"/>
      <c r="F117" s="44"/>
      <c r="G117" s="44"/>
      <c r="H117" s="44"/>
      <c r="I117" s="44"/>
      <c r="J117" s="44"/>
      <c r="K117" s="44"/>
      <c r="L117" s="44"/>
      <c r="M117" s="44"/>
      <c r="N117" s="153"/>
      <c r="O117" s="172"/>
      <c r="P117" s="153"/>
      <c r="Q117" s="153"/>
      <c r="R117" s="153"/>
      <c r="S117" s="153"/>
      <c r="T117" s="153"/>
      <c r="U117" s="153"/>
      <c r="V117" s="153"/>
      <c r="W117" s="153"/>
      <c r="X117" s="153"/>
    </row>
    <row r="118" spans="1:26" s="27" customFormat="1" hidden="1" x14ac:dyDescent="0.25">
      <c r="A118" s="156"/>
      <c r="B118" s="156"/>
      <c r="C118" s="156"/>
      <c r="D118" s="156"/>
      <c r="E118" s="157"/>
      <c r="F118" s="158"/>
      <c r="G118" s="157"/>
      <c r="H118" s="158"/>
      <c r="I118" s="157"/>
      <c r="J118" s="158"/>
      <c r="K118" s="157"/>
      <c r="L118" s="158"/>
      <c r="M118" s="157">
        <f>SUM(M116:M116)</f>
        <v>0</v>
      </c>
      <c r="N118" s="153"/>
      <c r="O118" s="172"/>
      <c r="P118" s="153"/>
      <c r="Q118" s="153"/>
      <c r="R118" s="153"/>
      <c r="S118" s="153"/>
      <c r="T118" s="153"/>
      <c r="U118" s="153"/>
      <c r="V118" s="153"/>
      <c r="W118" s="153"/>
      <c r="X118" s="153"/>
    </row>
    <row r="119" spans="1:26" s="27" customFormat="1" ht="3" customHeight="1" x14ac:dyDescent="0.25">
      <c r="E119" s="44"/>
      <c r="F119" s="44"/>
      <c r="G119" s="44"/>
      <c r="H119" s="44"/>
      <c r="I119" s="44"/>
      <c r="J119" s="44"/>
      <c r="K119" s="44"/>
      <c r="L119" s="44"/>
      <c r="M119" s="44"/>
      <c r="N119" s="153"/>
      <c r="O119" s="172"/>
      <c r="P119" s="153"/>
      <c r="Q119" s="153"/>
      <c r="R119" s="153"/>
      <c r="S119" s="153"/>
      <c r="T119" s="153"/>
      <c r="U119" s="153"/>
      <c r="V119" s="153"/>
      <c r="W119" s="153"/>
      <c r="X119" s="153"/>
    </row>
    <row r="120" spans="1:26" s="27" customFormat="1" x14ac:dyDescent="0.25">
      <c r="A120" s="154" t="s">
        <v>92</v>
      </c>
      <c r="E120" s="44"/>
      <c r="F120" s="44"/>
      <c r="G120" s="44"/>
      <c r="H120" s="44"/>
      <c r="I120" s="44"/>
      <c r="J120" s="44"/>
      <c r="K120" s="44"/>
      <c r="L120" s="44"/>
      <c r="M120" s="44"/>
      <c r="N120" s="153"/>
      <c r="O120" s="172"/>
      <c r="P120" s="153"/>
      <c r="Q120" s="153"/>
      <c r="R120" s="153"/>
      <c r="S120" s="153"/>
      <c r="T120" s="153"/>
      <c r="U120" s="153"/>
      <c r="V120" s="153"/>
      <c r="W120" s="153"/>
      <c r="X120" s="153"/>
    </row>
    <row r="121" spans="1:26" s="27" customFormat="1" x14ac:dyDescent="0.25">
      <c r="A121" s="154"/>
      <c r="B121" s="27" t="s">
        <v>216</v>
      </c>
      <c r="C121" s="27" t="s">
        <v>217</v>
      </c>
      <c r="E121" s="44"/>
      <c r="F121" s="44"/>
      <c r="G121" s="44"/>
      <c r="H121" s="44"/>
      <c r="I121" s="44"/>
      <c r="J121" s="44"/>
      <c r="K121" s="44"/>
      <c r="L121" s="44"/>
      <c r="M121" s="44">
        <v>142</v>
      </c>
      <c r="N121" s="153"/>
      <c r="O121" s="172"/>
      <c r="P121" s="153"/>
      <c r="Q121" s="153"/>
      <c r="R121" s="153"/>
      <c r="S121" s="153"/>
      <c r="T121" s="174"/>
      <c r="U121" s="174"/>
      <c r="V121" s="174"/>
      <c r="W121" s="174"/>
      <c r="X121" s="174"/>
      <c r="Y121" s="174"/>
      <c r="Z121" s="175"/>
    </row>
    <row r="122" spans="1:26" s="27" customFormat="1" x14ac:dyDescent="0.25">
      <c r="A122" s="154"/>
      <c r="B122" s="27" t="s">
        <v>218</v>
      </c>
      <c r="C122" s="27" t="s">
        <v>112</v>
      </c>
      <c r="E122" s="44"/>
      <c r="F122" s="44"/>
      <c r="G122" s="44"/>
      <c r="H122" s="44"/>
      <c r="I122" s="44"/>
      <c r="J122" s="44"/>
      <c r="K122" s="44"/>
      <c r="L122" s="44"/>
      <c r="M122" s="44">
        <v>165</v>
      </c>
      <c r="N122" s="153"/>
      <c r="O122" s="172"/>
      <c r="P122" s="153"/>
      <c r="Q122" s="153"/>
      <c r="R122" s="153"/>
      <c r="S122" s="153"/>
      <c r="T122" s="174"/>
      <c r="U122" s="174"/>
      <c r="V122" s="174"/>
      <c r="W122" s="174"/>
      <c r="X122" s="174"/>
      <c r="Y122" s="174"/>
      <c r="Z122" s="175"/>
    </row>
    <row r="123" spans="1:26" s="27" customFormat="1" x14ac:dyDescent="0.25">
      <c r="A123" s="154"/>
      <c r="B123" s="27" t="s">
        <v>219</v>
      </c>
      <c r="C123" s="27" t="s">
        <v>215</v>
      </c>
      <c r="E123" s="44"/>
      <c r="F123" s="44"/>
      <c r="G123" s="44"/>
      <c r="H123" s="44"/>
      <c r="I123" s="44"/>
      <c r="J123" s="44"/>
      <c r="K123" s="44"/>
      <c r="L123" s="44"/>
      <c r="M123" s="44">
        <v>45</v>
      </c>
      <c r="N123" s="153"/>
      <c r="O123" s="172"/>
      <c r="P123" s="153"/>
      <c r="Q123" s="153"/>
      <c r="R123" s="153"/>
      <c r="S123" s="153"/>
      <c r="T123" s="174"/>
      <c r="U123" s="174"/>
      <c r="V123" s="174"/>
      <c r="W123" s="174"/>
      <c r="X123" s="174"/>
      <c r="Y123" s="174"/>
      <c r="Z123" s="175"/>
    </row>
    <row r="124" spans="1:26" s="27" customFormat="1" x14ac:dyDescent="0.25">
      <c r="A124" s="154"/>
      <c r="E124" s="44"/>
      <c r="F124" s="44"/>
      <c r="G124" s="44"/>
      <c r="H124" s="44"/>
      <c r="I124" s="44"/>
      <c r="J124" s="44"/>
      <c r="K124" s="44"/>
      <c r="L124" s="44"/>
      <c r="M124" s="44"/>
      <c r="N124" s="153"/>
      <c r="O124" s="172"/>
      <c r="P124" s="153"/>
      <c r="Q124" s="153"/>
      <c r="R124" s="153"/>
      <c r="S124" s="153"/>
      <c r="T124" s="174"/>
      <c r="U124" s="174"/>
      <c r="V124" s="174"/>
      <c r="W124" s="174"/>
      <c r="X124" s="174"/>
      <c r="Y124" s="174"/>
      <c r="Z124" s="175"/>
    </row>
    <row r="125" spans="1:26" s="27" customFormat="1" ht="3" customHeight="1" x14ac:dyDescent="0.25">
      <c r="E125" s="44"/>
      <c r="F125" s="44"/>
      <c r="G125" s="44"/>
      <c r="H125" s="44"/>
      <c r="I125" s="44"/>
      <c r="J125" s="44"/>
      <c r="K125" s="44"/>
      <c r="L125" s="44"/>
      <c r="M125" s="44"/>
      <c r="N125" s="153"/>
      <c r="O125" s="172"/>
      <c r="P125" s="153"/>
      <c r="Q125" s="153"/>
      <c r="R125" s="153"/>
      <c r="S125" s="153"/>
      <c r="T125" s="153"/>
      <c r="U125" s="153"/>
      <c r="V125" s="153"/>
      <c r="W125" s="153"/>
      <c r="X125" s="153"/>
    </row>
    <row r="126" spans="1:26" s="27" customFormat="1" x14ac:dyDescent="0.25">
      <c r="A126" s="156"/>
      <c r="B126" s="156"/>
      <c r="C126" s="156"/>
      <c r="D126" s="156"/>
      <c r="E126" s="157"/>
      <c r="F126" s="158"/>
      <c r="G126" s="157"/>
      <c r="H126" s="158"/>
      <c r="I126" s="157"/>
      <c r="J126" s="158"/>
      <c r="K126" s="157"/>
      <c r="L126" s="158"/>
      <c r="M126" s="157">
        <f>SUM(M121:M124)</f>
        <v>352</v>
      </c>
      <c r="N126" s="153"/>
      <c r="O126" s="172"/>
      <c r="P126" s="153"/>
      <c r="Q126" s="153"/>
      <c r="R126" s="153"/>
      <c r="S126" s="153"/>
      <c r="T126" s="153"/>
      <c r="U126" s="153"/>
      <c r="V126" s="153"/>
      <c r="W126" s="153"/>
      <c r="X126" s="153"/>
    </row>
    <row r="127" spans="1:26" s="153" customFormat="1" ht="3" customHeight="1" x14ac:dyDescent="0.25">
      <c r="A127" s="172"/>
      <c r="B127" s="172"/>
      <c r="C127" s="172"/>
      <c r="D127" s="172"/>
      <c r="E127" s="189"/>
      <c r="F127" s="81"/>
      <c r="G127" s="189"/>
      <c r="H127" s="81"/>
      <c r="I127" s="189"/>
      <c r="J127" s="81"/>
      <c r="K127" s="189"/>
      <c r="L127" s="81"/>
      <c r="M127" s="189"/>
      <c r="O127" s="172"/>
    </row>
    <row r="128" spans="1:26" s="27" customFormat="1" hidden="1" x14ac:dyDescent="0.25">
      <c r="A128" s="154" t="s">
        <v>9</v>
      </c>
      <c r="E128" s="44"/>
      <c r="F128" s="44"/>
      <c r="G128" s="44"/>
      <c r="H128" s="44"/>
      <c r="I128" s="44"/>
      <c r="J128" s="44"/>
      <c r="K128" s="44"/>
      <c r="L128" s="44"/>
      <c r="M128" s="44"/>
      <c r="N128" s="153"/>
      <c r="O128" s="172"/>
      <c r="P128" s="153"/>
      <c r="Q128" s="153"/>
      <c r="R128" s="153"/>
      <c r="S128" s="153"/>
      <c r="T128" s="153"/>
      <c r="U128" s="153"/>
      <c r="V128" s="153"/>
      <c r="W128" s="153"/>
      <c r="X128" s="153"/>
    </row>
    <row r="129" spans="1:26" s="27" customFormat="1" hidden="1" x14ac:dyDescent="0.25">
      <c r="E129" s="44"/>
      <c r="F129" s="44"/>
      <c r="G129" s="44"/>
      <c r="H129" s="44"/>
      <c r="I129" s="44"/>
      <c r="J129" s="44"/>
      <c r="K129" s="44"/>
      <c r="L129" s="44"/>
      <c r="M129" s="44"/>
      <c r="N129" s="153"/>
      <c r="O129" s="172"/>
      <c r="P129" s="153"/>
      <c r="Q129" s="153"/>
      <c r="R129" s="153"/>
      <c r="S129" s="153"/>
      <c r="T129" s="174"/>
      <c r="U129" s="174"/>
      <c r="V129" s="174"/>
      <c r="W129" s="174"/>
      <c r="X129" s="174"/>
      <c r="Y129" s="174"/>
      <c r="Z129" s="175"/>
    </row>
    <row r="130" spans="1:26" s="27" customFormat="1" ht="3" hidden="1" customHeight="1" x14ac:dyDescent="0.25">
      <c r="E130" s="44"/>
      <c r="F130" s="44"/>
      <c r="G130" s="44"/>
      <c r="H130" s="44"/>
      <c r="I130" s="44"/>
      <c r="J130" s="44"/>
      <c r="K130" s="44"/>
      <c r="L130" s="44"/>
      <c r="M130" s="44"/>
      <c r="N130" s="153"/>
      <c r="O130" s="172"/>
      <c r="P130" s="153"/>
      <c r="Q130" s="153"/>
      <c r="R130" s="153"/>
      <c r="S130" s="153"/>
      <c r="T130" s="153"/>
      <c r="U130" s="153"/>
      <c r="V130" s="153"/>
      <c r="W130" s="153"/>
      <c r="X130" s="153"/>
    </row>
    <row r="131" spans="1:26" s="27" customFormat="1" hidden="1" x14ac:dyDescent="0.25">
      <c r="A131" s="156"/>
      <c r="B131" s="156"/>
      <c r="C131" s="156"/>
      <c r="D131" s="156"/>
      <c r="E131" s="157"/>
      <c r="F131" s="158"/>
      <c r="G131" s="157"/>
      <c r="H131" s="158"/>
      <c r="I131" s="157"/>
      <c r="J131" s="158"/>
      <c r="K131" s="157"/>
      <c r="L131" s="158"/>
      <c r="M131" s="157">
        <f>SUM(M129:M130)</f>
        <v>0</v>
      </c>
      <c r="N131" s="153"/>
      <c r="O131" s="172"/>
      <c r="P131" s="153"/>
      <c r="Q131" s="153"/>
      <c r="R131" s="153"/>
      <c r="S131" s="153"/>
      <c r="T131" s="153"/>
      <c r="U131" s="153"/>
      <c r="V131" s="153"/>
      <c r="W131" s="153"/>
      <c r="X131" s="153"/>
    </row>
    <row r="132" spans="1:26" s="27" customFormat="1" ht="3" hidden="1" customHeight="1" x14ac:dyDescent="0.25">
      <c r="E132" s="44"/>
      <c r="F132" s="44"/>
      <c r="G132" s="44"/>
      <c r="H132" s="44"/>
      <c r="I132" s="44"/>
      <c r="J132" s="44"/>
      <c r="K132" s="44"/>
      <c r="L132" s="44"/>
      <c r="M132" s="44"/>
      <c r="N132" s="153"/>
      <c r="O132" s="172"/>
      <c r="P132" s="153"/>
      <c r="Q132" s="153"/>
      <c r="R132" s="153"/>
      <c r="S132" s="153"/>
      <c r="T132" s="153"/>
      <c r="U132" s="153"/>
      <c r="V132" s="153"/>
      <c r="W132" s="153"/>
      <c r="X132" s="153"/>
    </row>
    <row r="133" spans="1:26" s="27" customFormat="1" hidden="1" x14ac:dyDescent="0.25">
      <c r="A133" s="154" t="s">
        <v>151</v>
      </c>
      <c r="E133" s="44"/>
      <c r="F133" s="44"/>
      <c r="G133" s="44"/>
      <c r="H133" s="44"/>
      <c r="I133" s="44"/>
      <c r="J133" s="44"/>
      <c r="K133" s="44"/>
      <c r="L133" s="44"/>
      <c r="M133" s="44"/>
      <c r="N133" s="153"/>
      <c r="O133" s="172"/>
      <c r="P133" s="153"/>
      <c r="Q133" s="153"/>
      <c r="R133" s="153"/>
      <c r="S133" s="153"/>
      <c r="T133" s="153"/>
      <c r="U133" s="153"/>
      <c r="V133" s="153"/>
      <c r="W133" s="153"/>
      <c r="X133" s="153"/>
    </row>
    <row r="134" spans="1:26" s="27" customFormat="1" hidden="1" x14ac:dyDescent="0.25">
      <c r="E134" s="44"/>
      <c r="F134" s="44"/>
      <c r="G134" s="44"/>
      <c r="H134" s="44"/>
      <c r="I134" s="44"/>
      <c r="J134" s="44"/>
      <c r="K134" s="44"/>
      <c r="L134" s="44"/>
      <c r="M134" s="44"/>
      <c r="N134" s="153"/>
      <c r="O134" s="172"/>
      <c r="P134" s="153"/>
      <c r="Q134" s="153"/>
      <c r="R134" s="153"/>
      <c r="S134" s="153"/>
      <c r="T134" s="174"/>
      <c r="U134" s="174"/>
      <c r="V134" s="174"/>
      <c r="W134" s="174"/>
      <c r="X134" s="174"/>
      <c r="Y134" s="174"/>
      <c r="Z134" s="175"/>
    </row>
    <row r="135" spans="1:26" s="27" customFormat="1" ht="3" hidden="1" customHeight="1" x14ac:dyDescent="0.25">
      <c r="E135" s="44"/>
      <c r="F135" s="44"/>
      <c r="G135" s="44"/>
      <c r="H135" s="44"/>
      <c r="I135" s="44"/>
      <c r="J135" s="44"/>
      <c r="K135" s="44"/>
      <c r="L135" s="44"/>
      <c r="M135" s="44"/>
      <c r="N135" s="153"/>
      <c r="O135" s="172"/>
      <c r="P135" s="153"/>
      <c r="Q135" s="153"/>
      <c r="R135" s="153"/>
      <c r="S135" s="153"/>
      <c r="T135" s="153"/>
      <c r="U135" s="153"/>
      <c r="V135" s="153"/>
      <c r="W135" s="153"/>
      <c r="X135" s="153"/>
    </row>
    <row r="136" spans="1:26" s="27" customFormat="1" hidden="1" x14ac:dyDescent="0.25">
      <c r="A136" s="156"/>
      <c r="B136" s="156"/>
      <c r="C136" s="156"/>
      <c r="D136" s="156"/>
      <c r="E136" s="157"/>
      <c r="F136" s="158"/>
      <c r="G136" s="157"/>
      <c r="H136" s="158"/>
      <c r="I136" s="157"/>
      <c r="J136" s="158"/>
      <c r="K136" s="157"/>
      <c r="L136" s="158"/>
      <c r="M136" s="157">
        <f>SUM(M134)</f>
        <v>0</v>
      </c>
      <c r="N136" s="153"/>
      <c r="O136" s="172"/>
      <c r="P136" s="153"/>
      <c r="Q136" s="153"/>
      <c r="R136" s="153"/>
      <c r="S136" s="153"/>
      <c r="T136" s="153"/>
      <c r="U136" s="153"/>
      <c r="V136" s="153"/>
      <c r="W136" s="153"/>
      <c r="X136" s="153"/>
    </row>
    <row r="137" spans="1:26" s="27" customFormat="1" ht="3" hidden="1" customHeight="1" x14ac:dyDescent="0.25">
      <c r="E137" s="44"/>
      <c r="F137" s="44"/>
      <c r="G137" s="44"/>
      <c r="H137" s="44"/>
      <c r="I137" s="44"/>
      <c r="J137" s="44"/>
      <c r="K137" s="44"/>
      <c r="L137" s="44"/>
      <c r="M137" s="44"/>
      <c r="N137" s="153"/>
      <c r="O137" s="172"/>
      <c r="P137" s="153"/>
      <c r="Q137" s="153"/>
      <c r="R137" s="153"/>
      <c r="S137" s="153"/>
      <c r="T137" s="153"/>
      <c r="U137" s="153"/>
      <c r="V137" s="153"/>
      <c r="W137" s="153"/>
      <c r="X137" s="153"/>
    </row>
    <row r="138" spans="1:26" s="27" customFormat="1" hidden="1" x14ac:dyDescent="0.25">
      <c r="A138" s="154" t="s">
        <v>180</v>
      </c>
      <c r="N138" s="153"/>
      <c r="O138" s="172"/>
      <c r="P138" s="153"/>
      <c r="Q138" s="153"/>
      <c r="R138" s="153"/>
      <c r="S138" s="153"/>
      <c r="T138" s="153"/>
      <c r="U138" s="153"/>
      <c r="V138" s="153"/>
      <c r="W138" s="153"/>
      <c r="X138" s="153"/>
    </row>
    <row r="139" spans="1:26" s="27" customFormat="1" hidden="1" x14ac:dyDescent="0.25">
      <c r="E139" s="44"/>
      <c r="F139" s="44"/>
      <c r="G139" s="44"/>
      <c r="H139" s="44"/>
      <c r="I139" s="44"/>
      <c r="J139" s="44"/>
      <c r="K139" s="44"/>
      <c r="L139" s="44"/>
      <c r="M139" s="44"/>
      <c r="N139" s="153"/>
      <c r="O139" s="172"/>
      <c r="P139" s="153"/>
      <c r="Q139" s="153"/>
      <c r="R139" s="153"/>
      <c r="S139" s="153"/>
      <c r="T139" s="174"/>
      <c r="U139" s="174"/>
      <c r="V139" s="174"/>
      <c r="W139" s="174"/>
      <c r="X139" s="174"/>
      <c r="Y139" s="174"/>
      <c r="Z139" s="175"/>
    </row>
    <row r="140" spans="1:26" s="27" customFormat="1" ht="3" hidden="1" customHeight="1" x14ac:dyDescent="0.25">
      <c r="E140" s="44"/>
      <c r="F140" s="44"/>
      <c r="G140" s="44"/>
      <c r="H140" s="44"/>
      <c r="I140" s="44"/>
      <c r="J140" s="44"/>
      <c r="K140" s="44"/>
      <c r="L140" s="44"/>
      <c r="M140" s="44"/>
      <c r="N140" s="153"/>
      <c r="O140" s="172"/>
      <c r="P140" s="153"/>
      <c r="Q140" s="153"/>
      <c r="R140" s="153"/>
      <c r="S140" s="153"/>
      <c r="T140" s="153"/>
      <c r="U140" s="153"/>
      <c r="V140" s="153"/>
      <c r="W140" s="153"/>
      <c r="X140" s="153"/>
    </row>
    <row r="141" spans="1:26" s="27" customFormat="1" hidden="1" x14ac:dyDescent="0.25">
      <c r="A141" s="156"/>
      <c r="B141" s="156"/>
      <c r="C141" s="156"/>
      <c r="D141" s="156"/>
      <c r="E141" s="157"/>
      <c r="F141" s="158"/>
      <c r="G141" s="157"/>
      <c r="H141" s="158"/>
      <c r="I141" s="157"/>
      <c r="J141" s="158"/>
      <c r="K141" s="157"/>
      <c r="L141" s="158"/>
      <c r="M141" s="157">
        <f>SUM(M139:M139)</f>
        <v>0</v>
      </c>
      <c r="N141" s="153"/>
      <c r="O141" s="172"/>
      <c r="P141" s="153"/>
      <c r="Q141" s="153"/>
      <c r="R141" s="153"/>
      <c r="S141" s="153"/>
      <c r="T141" s="153"/>
      <c r="U141" s="153"/>
      <c r="V141" s="153"/>
      <c r="W141" s="153"/>
      <c r="X141" s="153"/>
    </row>
    <row r="142" spans="1:26" s="27" customFormat="1" ht="3" customHeight="1" x14ac:dyDescent="0.25">
      <c r="E142" s="44"/>
      <c r="F142" s="44"/>
      <c r="G142" s="44"/>
      <c r="H142" s="44"/>
      <c r="I142" s="44"/>
      <c r="J142" s="44"/>
      <c r="K142" s="44"/>
      <c r="L142" s="44"/>
      <c r="M142" s="44"/>
      <c r="N142" s="153"/>
      <c r="O142" s="172"/>
      <c r="P142" s="153"/>
      <c r="Q142" s="153"/>
      <c r="R142" s="153"/>
      <c r="S142" s="153"/>
      <c r="T142" s="153"/>
      <c r="U142" s="153"/>
      <c r="V142" s="153"/>
      <c r="W142" s="153"/>
      <c r="X142" s="153"/>
    </row>
    <row r="143" spans="1:26" s="27" customFormat="1" ht="13.5" thickBot="1" x14ac:dyDescent="0.3">
      <c r="A143" s="159" t="s">
        <v>101</v>
      </c>
      <c r="B143" s="160"/>
      <c r="C143" s="160"/>
      <c r="D143" s="160"/>
      <c r="E143" s="161"/>
      <c r="F143" s="162"/>
      <c r="G143" s="161"/>
      <c r="H143" s="162"/>
      <c r="I143" s="161"/>
      <c r="J143" s="162"/>
      <c r="K143" s="161"/>
      <c r="L143" s="162"/>
      <c r="M143" s="161">
        <f>M105+M113+M118+M126+M141+M131+M136+M100</f>
        <v>688</v>
      </c>
      <c r="N143" s="153"/>
      <c r="O143" s="172"/>
      <c r="P143" s="153"/>
      <c r="Q143" s="153"/>
      <c r="R143" s="153"/>
      <c r="S143" s="153"/>
      <c r="T143" s="153"/>
      <c r="U143" s="153"/>
      <c r="V143" s="153"/>
      <c r="W143" s="153"/>
      <c r="X143" s="153"/>
    </row>
    <row r="144" spans="1:26" s="27" customFormat="1" ht="13.5" thickTop="1" x14ac:dyDescent="0.25">
      <c r="E144" s="44"/>
      <c r="F144" s="44"/>
      <c r="G144" s="44"/>
      <c r="H144" s="44"/>
      <c r="I144" s="44"/>
      <c r="J144" s="44"/>
      <c r="K144" s="44"/>
      <c r="L144" s="44"/>
      <c r="M144" s="44"/>
      <c r="N144" s="153"/>
      <c r="O144" s="172"/>
      <c r="P144" s="153"/>
      <c r="Q144" s="153"/>
      <c r="R144" s="153"/>
      <c r="S144" s="153"/>
      <c r="T144" s="153"/>
      <c r="U144" s="153"/>
      <c r="V144" s="153"/>
      <c r="W144" s="153"/>
      <c r="X144" s="153"/>
    </row>
    <row r="145" spans="5:24" s="27" customFormat="1" x14ac:dyDescent="0.25">
      <c r="E145" s="44"/>
      <c r="F145" s="44"/>
      <c r="G145" s="44"/>
      <c r="H145" s="44"/>
      <c r="I145" s="44"/>
      <c r="J145" s="44"/>
      <c r="K145" s="44"/>
      <c r="L145" s="44"/>
      <c r="M145" s="44"/>
      <c r="N145" s="153"/>
      <c r="O145" s="172"/>
      <c r="P145" s="153"/>
      <c r="Q145" s="153"/>
      <c r="R145" s="153"/>
      <c r="S145" s="153"/>
      <c r="T145" s="153"/>
      <c r="U145" s="153"/>
      <c r="V145" s="153"/>
      <c r="W145" s="153"/>
      <c r="X145" s="153"/>
    </row>
    <row r="146" spans="5:24" s="27" customFormat="1" x14ac:dyDescent="0.25">
      <c r="E146" s="44"/>
      <c r="F146" s="44"/>
      <c r="G146" s="44"/>
      <c r="H146" s="44"/>
      <c r="I146" s="44"/>
      <c r="J146" s="44"/>
      <c r="K146" s="44"/>
      <c r="L146" s="44"/>
      <c r="M146" s="44"/>
      <c r="N146" s="153"/>
      <c r="O146" s="172"/>
      <c r="P146" s="153"/>
      <c r="Q146" s="153"/>
      <c r="R146" s="153"/>
      <c r="S146" s="153"/>
      <c r="T146" s="153"/>
      <c r="U146" s="153"/>
      <c r="V146" s="153"/>
      <c r="W146" s="153"/>
      <c r="X146" s="153"/>
    </row>
    <row r="147" spans="5:24" s="27" customFormat="1" x14ac:dyDescent="0.25">
      <c r="E147" s="44"/>
      <c r="F147" s="44"/>
      <c r="G147" s="44"/>
      <c r="H147" s="44"/>
      <c r="I147" s="44"/>
      <c r="J147" s="44"/>
      <c r="K147" s="44"/>
      <c r="L147" s="44"/>
      <c r="M147" s="44"/>
      <c r="N147" s="153"/>
      <c r="O147" s="172"/>
      <c r="P147" s="153"/>
      <c r="Q147" s="153"/>
      <c r="R147" s="153"/>
      <c r="S147" s="153"/>
      <c r="T147" s="153"/>
      <c r="U147" s="153"/>
      <c r="V147" s="153"/>
      <c r="W147" s="153"/>
      <c r="X147" s="153"/>
    </row>
    <row r="148" spans="5:24" s="27" customFormat="1" x14ac:dyDescent="0.25">
      <c r="E148" s="44"/>
      <c r="F148" s="44"/>
      <c r="G148" s="44"/>
      <c r="H148" s="44"/>
      <c r="I148" s="44"/>
      <c r="J148" s="44"/>
      <c r="K148" s="44"/>
      <c r="L148" s="44"/>
      <c r="M148" s="44"/>
      <c r="N148" s="153"/>
      <c r="O148" s="172"/>
      <c r="P148" s="153"/>
      <c r="Q148" s="153"/>
      <c r="R148" s="153"/>
      <c r="S148" s="153"/>
      <c r="T148" s="153"/>
      <c r="U148" s="153"/>
      <c r="V148" s="153"/>
      <c r="W148" s="153"/>
      <c r="X148" s="153"/>
    </row>
    <row r="149" spans="5:24" s="27" customFormat="1" x14ac:dyDescent="0.25">
      <c r="E149" s="44"/>
      <c r="F149" s="44"/>
      <c r="G149" s="44"/>
      <c r="H149" s="44"/>
      <c r="I149" s="44"/>
      <c r="J149" s="44"/>
      <c r="K149" s="44"/>
      <c r="L149" s="44"/>
      <c r="M149" s="44"/>
      <c r="N149" s="153"/>
      <c r="O149" s="172"/>
      <c r="P149" s="153"/>
      <c r="Q149" s="153"/>
      <c r="R149" s="153"/>
      <c r="S149" s="153"/>
      <c r="T149" s="153"/>
      <c r="U149" s="153"/>
      <c r="V149" s="153"/>
      <c r="W149" s="153"/>
      <c r="X149" s="153"/>
    </row>
    <row r="150" spans="5:24" s="27" customFormat="1" x14ac:dyDescent="0.25">
      <c r="E150" s="44"/>
      <c r="F150" s="44"/>
      <c r="G150" s="44"/>
      <c r="H150" s="44"/>
      <c r="I150" s="44"/>
      <c r="J150" s="44"/>
      <c r="K150" s="44"/>
      <c r="L150" s="44"/>
      <c r="M150" s="44"/>
      <c r="N150" s="153"/>
      <c r="O150" s="172"/>
      <c r="P150" s="153"/>
      <c r="Q150" s="153"/>
      <c r="R150" s="153"/>
      <c r="S150" s="153"/>
      <c r="T150" s="153"/>
      <c r="U150" s="153"/>
      <c r="V150" s="153"/>
      <c r="W150" s="153"/>
      <c r="X150" s="153"/>
    </row>
    <row r="151" spans="5:24" s="27" customFormat="1" x14ac:dyDescent="0.25">
      <c r="E151" s="44"/>
      <c r="F151" s="44"/>
      <c r="G151" s="44"/>
      <c r="H151" s="44"/>
      <c r="I151" s="44"/>
      <c r="J151" s="44"/>
      <c r="K151" s="44"/>
      <c r="L151" s="44"/>
      <c r="M151" s="44"/>
      <c r="N151" s="153"/>
      <c r="O151" s="172"/>
      <c r="P151" s="153"/>
      <c r="Q151" s="153"/>
      <c r="R151" s="153"/>
      <c r="S151" s="153"/>
      <c r="T151" s="153"/>
      <c r="U151" s="153"/>
      <c r="V151" s="153"/>
      <c r="W151" s="153"/>
      <c r="X151" s="153"/>
    </row>
    <row r="152" spans="5:24" s="27" customFormat="1" x14ac:dyDescent="0.25">
      <c r="E152" s="44"/>
      <c r="F152" s="44"/>
      <c r="G152" s="44"/>
      <c r="H152" s="44"/>
      <c r="I152" s="44"/>
      <c r="J152" s="44"/>
      <c r="K152" s="44"/>
      <c r="L152" s="44"/>
      <c r="M152" s="44"/>
      <c r="N152" s="153"/>
      <c r="O152" s="172"/>
      <c r="P152" s="153"/>
      <c r="Q152" s="153"/>
      <c r="R152" s="153"/>
      <c r="S152" s="153"/>
      <c r="T152" s="153"/>
      <c r="U152" s="153"/>
      <c r="V152" s="153"/>
      <c r="W152" s="153"/>
      <c r="X152" s="153"/>
    </row>
    <row r="153" spans="5:24" s="27" customFormat="1" x14ac:dyDescent="0.25">
      <c r="E153" s="44"/>
      <c r="F153" s="44"/>
      <c r="G153" s="44"/>
      <c r="H153" s="44"/>
      <c r="I153" s="44"/>
      <c r="J153" s="44"/>
      <c r="K153" s="44"/>
      <c r="L153" s="44"/>
      <c r="M153" s="44"/>
      <c r="N153" s="153"/>
      <c r="O153" s="172"/>
      <c r="P153" s="153"/>
      <c r="Q153" s="153"/>
      <c r="R153" s="153"/>
      <c r="S153" s="153"/>
      <c r="T153" s="153"/>
      <c r="U153" s="153"/>
      <c r="V153" s="153"/>
      <c r="W153" s="153"/>
      <c r="X153" s="153"/>
    </row>
    <row r="154" spans="5:24" s="27" customFormat="1" x14ac:dyDescent="0.25">
      <c r="E154" s="44"/>
      <c r="F154" s="44"/>
      <c r="G154" s="44"/>
      <c r="H154" s="44"/>
      <c r="I154" s="44"/>
      <c r="J154" s="44"/>
      <c r="K154" s="44"/>
      <c r="L154" s="44"/>
      <c r="M154" s="44"/>
      <c r="N154" s="153"/>
      <c r="O154" s="172"/>
      <c r="P154" s="153"/>
      <c r="Q154" s="153"/>
      <c r="R154" s="153"/>
      <c r="S154" s="153"/>
      <c r="T154" s="153"/>
      <c r="U154" s="153"/>
      <c r="V154" s="153"/>
      <c r="W154" s="153"/>
      <c r="X154" s="153"/>
    </row>
    <row r="155" spans="5:24" s="27" customFormat="1" x14ac:dyDescent="0.25">
      <c r="E155" s="44"/>
      <c r="F155" s="44"/>
      <c r="G155" s="44"/>
      <c r="H155" s="44"/>
      <c r="I155" s="44"/>
      <c r="J155" s="44"/>
      <c r="K155" s="44"/>
      <c r="L155" s="44"/>
      <c r="M155" s="44"/>
      <c r="N155" s="153"/>
      <c r="O155" s="172"/>
      <c r="P155" s="153"/>
      <c r="Q155" s="153"/>
      <c r="R155" s="153"/>
      <c r="S155" s="153"/>
      <c r="T155" s="153"/>
      <c r="U155" s="153"/>
      <c r="V155" s="153"/>
      <c r="W155" s="153"/>
      <c r="X155" s="153"/>
    </row>
    <row r="156" spans="5:24" s="27" customFormat="1" x14ac:dyDescent="0.25">
      <c r="E156" s="44"/>
      <c r="F156" s="44"/>
      <c r="G156" s="44"/>
      <c r="H156" s="44"/>
      <c r="I156" s="44"/>
      <c r="J156" s="44"/>
      <c r="K156" s="44"/>
      <c r="L156" s="44"/>
      <c r="M156" s="44"/>
      <c r="N156" s="153"/>
      <c r="O156" s="172"/>
      <c r="P156" s="153"/>
      <c r="Q156" s="153"/>
      <c r="R156" s="153"/>
      <c r="S156" s="153"/>
      <c r="T156" s="153"/>
      <c r="U156" s="153"/>
      <c r="V156" s="153"/>
      <c r="W156" s="153"/>
      <c r="X156" s="153"/>
    </row>
    <row r="157" spans="5:24" s="27" customFormat="1" x14ac:dyDescent="0.25">
      <c r="E157" s="44"/>
      <c r="F157" s="44"/>
      <c r="G157" s="44"/>
      <c r="H157" s="44"/>
      <c r="I157" s="44"/>
      <c r="J157" s="44"/>
      <c r="K157" s="44"/>
      <c r="L157" s="44"/>
      <c r="M157" s="44"/>
      <c r="N157" s="153"/>
      <c r="O157" s="172"/>
      <c r="P157" s="153"/>
      <c r="Q157" s="153"/>
      <c r="R157" s="153"/>
      <c r="S157" s="153"/>
      <c r="T157" s="153"/>
      <c r="U157" s="153"/>
      <c r="V157" s="153"/>
      <c r="W157" s="153"/>
      <c r="X157" s="153"/>
    </row>
    <row r="158" spans="5:24" s="27" customFormat="1" x14ac:dyDescent="0.25">
      <c r="E158" s="44"/>
      <c r="F158" s="44"/>
      <c r="G158" s="44"/>
      <c r="H158" s="44"/>
      <c r="I158" s="44"/>
      <c r="J158" s="44"/>
      <c r="K158" s="44"/>
      <c r="L158" s="44"/>
      <c r="M158" s="44"/>
      <c r="N158" s="153"/>
      <c r="O158" s="172"/>
      <c r="P158" s="153"/>
      <c r="Q158" s="153"/>
      <c r="R158" s="153"/>
      <c r="S158" s="153"/>
      <c r="T158" s="153"/>
      <c r="U158" s="153"/>
      <c r="V158" s="153"/>
      <c r="W158" s="153"/>
      <c r="X158" s="153"/>
    </row>
    <row r="159" spans="5:24" s="27" customFormat="1" x14ac:dyDescent="0.25">
      <c r="E159" s="44"/>
      <c r="F159" s="44"/>
      <c r="G159" s="44"/>
      <c r="H159" s="44"/>
      <c r="I159" s="44"/>
      <c r="J159" s="44"/>
      <c r="K159" s="44"/>
      <c r="L159" s="44"/>
      <c r="M159" s="44"/>
      <c r="N159" s="153"/>
      <c r="O159" s="172"/>
      <c r="P159" s="153"/>
      <c r="Q159" s="153"/>
      <c r="R159" s="153"/>
      <c r="S159" s="153"/>
      <c r="T159" s="153"/>
      <c r="U159" s="153"/>
      <c r="V159" s="153"/>
      <c r="W159" s="153"/>
      <c r="X159" s="153"/>
    </row>
    <row r="160" spans="5:24" s="27" customFormat="1" x14ac:dyDescent="0.25">
      <c r="E160" s="44"/>
      <c r="F160" s="44"/>
      <c r="G160" s="44"/>
      <c r="H160" s="44"/>
      <c r="I160" s="44"/>
      <c r="J160" s="44"/>
      <c r="K160" s="44"/>
      <c r="L160" s="44"/>
      <c r="M160" s="44"/>
      <c r="N160" s="153"/>
      <c r="O160" s="172"/>
      <c r="P160" s="153"/>
      <c r="Q160" s="153"/>
      <c r="R160" s="153"/>
      <c r="S160" s="153"/>
      <c r="T160" s="153"/>
      <c r="U160" s="153"/>
      <c r="V160" s="153"/>
      <c r="W160" s="153"/>
      <c r="X160" s="153"/>
    </row>
    <row r="161" spans="5:24" s="27" customFormat="1" x14ac:dyDescent="0.25">
      <c r="E161" s="44"/>
      <c r="F161" s="44"/>
      <c r="G161" s="44"/>
      <c r="H161" s="44"/>
      <c r="I161" s="44"/>
      <c r="J161" s="44"/>
      <c r="K161" s="44"/>
      <c r="L161" s="44"/>
      <c r="M161" s="44"/>
      <c r="N161" s="153"/>
      <c r="O161" s="172"/>
      <c r="P161" s="153"/>
      <c r="Q161" s="153"/>
      <c r="R161" s="153"/>
      <c r="S161" s="153"/>
      <c r="T161" s="153"/>
      <c r="U161" s="153"/>
      <c r="V161" s="153"/>
      <c r="W161" s="153"/>
      <c r="X161" s="153"/>
    </row>
    <row r="162" spans="5:24" s="27" customFormat="1" x14ac:dyDescent="0.25">
      <c r="E162" s="44"/>
      <c r="F162" s="44"/>
      <c r="G162" s="44"/>
      <c r="H162" s="44"/>
      <c r="I162" s="44"/>
      <c r="J162" s="44"/>
      <c r="K162" s="44"/>
      <c r="L162" s="44"/>
      <c r="M162" s="44"/>
      <c r="N162" s="153"/>
      <c r="O162" s="172"/>
      <c r="P162" s="153"/>
      <c r="Q162" s="153"/>
      <c r="R162" s="153"/>
      <c r="S162" s="153"/>
      <c r="T162" s="153"/>
      <c r="U162" s="153"/>
      <c r="V162" s="153"/>
      <c r="W162" s="153"/>
      <c r="X162" s="153"/>
    </row>
    <row r="163" spans="5:24" s="27" customFormat="1" x14ac:dyDescent="0.25">
      <c r="E163" s="44"/>
      <c r="F163" s="44"/>
      <c r="G163" s="44"/>
      <c r="H163" s="44"/>
      <c r="I163" s="44"/>
      <c r="J163" s="44"/>
      <c r="K163" s="44"/>
      <c r="L163" s="44"/>
      <c r="M163" s="44"/>
      <c r="N163" s="153"/>
      <c r="O163" s="172"/>
      <c r="P163" s="153"/>
      <c r="Q163" s="153"/>
      <c r="R163" s="153"/>
      <c r="S163" s="153"/>
      <c r="T163" s="153"/>
      <c r="U163" s="153"/>
      <c r="V163" s="153"/>
      <c r="W163" s="153"/>
      <c r="X163" s="153"/>
    </row>
    <row r="164" spans="5:24" s="27" customFormat="1" x14ac:dyDescent="0.25">
      <c r="E164" s="44"/>
      <c r="F164" s="44"/>
      <c r="G164" s="44"/>
      <c r="H164" s="44"/>
      <c r="I164" s="44"/>
      <c r="J164" s="44"/>
      <c r="K164" s="44"/>
      <c r="L164" s="44"/>
      <c r="M164" s="44"/>
      <c r="N164" s="153"/>
      <c r="O164" s="172"/>
      <c r="P164" s="153"/>
      <c r="Q164" s="153"/>
      <c r="R164" s="153"/>
      <c r="S164" s="153"/>
      <c r="T164" s="153"/>
      <c r="U164" s="153"/>
      <c r="V164" s="153"/>
      <c r="W164" s="153"/>
      <c r="X164" s="153"/>
    </row>
    <row r="165" spans="5:24" s="27" customFormat="1" x14ac:dyDescent="0.25">
      <c r="E165" s="44"/>
      <c r="F165" s="44"/>
      <c r="G165" s="44"/>
      <c r="H165" s="44"/>
      <c r="I165" s="44"/>
      <c r="J165" s="44"/>
      <c r="K165" s="44"/>
      <c r="L165" s="44"/>
      <c r="M165" s="44"/>
      <c r="N165" s="153"/>
      <c r="O165" s="172"/>
      <c r="P165" s="153"/>
      <c r="Q165" s="153"/>
      <c r="R165" s="153"/>
      <c r="S165" s="153"/>
      <c r="T165" s="153"/>
      <c r="U165" s="153"/>
      <c r="V165" s="153"/>
      <c r="W165" s="153"/>
      <c r="X165" s="153"/>
    </row>
    <row r="166" spans="5:24" s="27" customFormat="1" x14ac:dyDescent="0.25">
      <c r="E166" s="44"/>
      <c r="F166" s="44"/>
      <c r="G166" s="44"/>
      <c r="H166" s="44"/>
      <c r="I166" s="44"/>
      <c r="J166" s="44"/>
      <c r="K166" s="44"/>
      <c r="L166" s="44"/>
      <c r="M166" s="44"/>
      <c r="N166" s="153"/>
      <c r="O166" s="172"/>
      <c r="P166" s="153"/>
      <c r="Q166" s="153"/>
      <c r="R166" s="153"/>
      <c r="S166" s="153"/>
      <c r="T166" s="153"/>
      <c r="U166" s="153"/>
      <c r="V166" s="153"/>
      <c r="W166" s="153"/>
      <c r="X166" s="153"/>
    </row>
    <row r="167" spans="5:24" s="27" customFormat="1" x14ac:dyDescent="0.25">
      <c r="E167" s="44"/>
      <c r="F167" s="44"/>
      <c r="G167" s="44"/>
      <c r="H167" s="44"/>
      <c r="I167" s="44"/>
      <c r="J167" s="44"/>
      <c r="K167" s="44"/>
      <c r="L167" s="44"/>
      <c r="M167" s="44"/>
      <c r="N167" s="153"/>
      <c r="O167" s="172"/>
      <c r="P167" s="153"/>
      <c r="Q167" s="153"/>
      <c r="R167" s="153"/>
      <c r="S167" s="153"/>
      <c r="T167" s="153"/>
      <c r="U167" s="153"/>
      <c r="V167" s="153"/>
      <c r="W167" s="153"/>
      <c r="X167" s="153"/>
    </row>
    <row r="168" spans="5:24" s="27" customFormat="1" x14ac:dyDescent="0.25">
      <c r="E168" s="44"/>
      <c r="F168" s="44"/>
      <c r="G168" s="44"/>
      <c r="H168" s="44"/>
      <c r="I168" s="44"/>
      <c r="J168" s="44"/>
      <c r="K168" s="44"/>
      <c r="L168" s="44"/>
      <c r="M168" s="44"/>
      <c r="N168" s="153"/>
      <c r="O168" s="172"/>
      <c r="P168" s="153"/>
      <c r="Q168" s="153"/>
      <c r="R168" s="153"/>
      <c r="S168" s="153"/>
      <c r="T168" s="153"/>
      <c r="U168" s="153"/>
      <c r="V168" s="153"/>
      <c r="W168" s="153"/>
      <c r="X168" s="153"/>
    </row>
    <row r="169" spans="5:24" s="27" customFormat="1" x14ac:dyDescent="0.25">
      <c r="E169" s="44"/>
      <c r="F169" s="44"/>
      <c r="G169" s="44"/>
      <c r="H169" s="44"/>
      <c r="I169" s="44"/>
      <c r="J169" s="44"/>
      <c r="K169" s="44"/>
      <c r="L169" s="44"/>
      <c r="M169" s="44"/>
      <c r="N169" s="153"/>
      <c r="O169" s="172"/>
      <c r="P169" s="153"/>
      <c r="Q169" s="153"/>
      <c r="R169" s="153"/>
      <c r="S169" s="153"/>
      <c r="T169" s="153"/>
      <c r="U169" s="153"/>
      <c r="V169" s="153"/>
      <c r="W169" s="153"/>
      <c r="X169" s="153"/>
    </row>
    <row r="170" spans="5:24" s="27" customFormat="1" x14ac:dyDescent="0.25">
      <c r="E170" s="44"/>
      <c r="F170" s="44"/>
      <c r="G170" s="44"/>
      <c r="H170" s="44"/>
      <c r="I170" s="44"/>
      <c r="J170" s="44"/>
      <c r="K170" s="44"/>
      <c r="L170" s="44"/>
      <c r="M170" s="44"/>
      <c r="N170" s="153"/>
      <c r="O170" s="172"/>
      <c r="P170" s="153"/>
      <c r="Q170" s="153"/>
      <c r="R170" s="153"/>
      <c r="S170" s="153"/>
      <c r="T170" s="153"/>
      <c r="U170" s="153"/>
      <c r="V170" s="153"/>
      <c r="W170" s="153"/>
      <c r="X170" s="153"/>
    </row>
    <row r="171" spans="5:24" s="27" customFormat="1" x14ac:dyDescent="0.25">
      <c r="E171" s="44"/>
      <c r="F171" s="44"/>
      <c r="G171" s="44"/>
      <c r="H171" s="44"/>
      <c r="I171" s="44"/>
      <c r="J171" s="44"/>
      <c r="K171" s="44"/>
      <c r="L171" s="44"/>
      <c r="M171" s="44"/>
      <c r="N171" s="153"/>
      <c r="O171" s="172"/>
      <c r="P171" s="153"/>
      <c r="Q171" s="153"/>
      <c r="R171" s="153"/>
      <c r="S171" s="153"/>
      <c r="T171" s="153"/>
      <c r="U171" s="153"/>
      <c r="V171" s="153"/>
      <c r="W171" s="153"/>
      <c r="X171" s="153"/>
    </row>
    <row r="172" spans="5:24" s="27" customFormat="1" x14ac:dyDescent="0.25">
      <c r="E172" s="44"/>
      <c r="F172" s="44"/>
      <c r="G172" s="44"/>
      <c r="H172" s="44"/>
      <c r="I172" s="44"/>
      <c r="J172" s="44"/>
      <c r="K172" s="44"/>
      <c r="L172" s="44"/>
      <c r="M172" s="44"/>
      <c r="N172" s="153"/>
      <c r="O172" s="172"/>
      <c r="P172" s="153"/>
      <c r="Q172" s="153"/>
      <c r="R172" s="153"/>
      <c r="S172" s="153"/>
      <c r="T172" s="153"/>
      <c r="U172" s="153"/>
      <c r="V172" s="153"/>
      <c r="W172" s="153"/>
      <c r="X172" s="153"/>
    </row>
    <row r="173" spans="5:24" s="27" customFormat="1" x14ac:dyDescent="0.25">
      <c r="E173" s="44"/>
      <c r="F173" s="44"/>
      <c r="G173" s="44"/>
      <c r="H173" s="44"/>
      <c r="I173" s="44"/>
      <c r="J173" s="44"/>
      <c r="K173" s="44"/>
      <c r="L173" s="44"/>
      <c r="M173" s="44"/>
      <c r="N173" s="153"/>
      <c r="O173" s="172"/>
      <c r="P173" s="153"/>
      <c r="Q173" s="153"/>
      <c r="R173" s="153"/>
      <c r="S173" s="153"/>
      <c r="T173" s="153"/>
      <c r="U173" s="153"/>
      <c r="V173" s="153"/>
      <c r="W173" s="153"/>
      <c r="X173" s="153"/>
    </row>
    <row r="174" spans="5:24" s="27" customFormat="1" x14ac:dyDescent="0.25">
      <c r="E174" s="44"/>
      <c r="F174" s="44"/>
      <c r="G174" s="44"/>
      <c r="H174" s="44"/>
      <c r="I174" s="44"/>
      <c r="J174" s="44"/>
      <c r="K174" s="44"/>
      <c r="L174" s="44"/>
      <c r="M174" s="44"/>
      <c r="N174" s="153"/>
      <c r="O174" s="172"/>
      <c r="P174" s="153"/>
      <c r="Q174" s="153"/>
      <c r="R174" s="153"/>
      <c r="S174" s="153"/>
      <c r="T174" s="153"/>
      <c r="U174" s="153"/>
      <c r="V174" s="153"/>
      <c r="W174" s="153"/>
      <c r="X174" s="153"/>
    </row>
    <row r="175" spans="5:24" s="27" customFormat="1" x14ac:dyDescent="0.25">
      <c r="E175" s="44"/>
      <c r="F175" s="44"/>
      <c r="G175" s="44"/>
      <c r="H175" s="44"/>
      <c r="I175" s="44"/>
      <c r="J175" s="44"/>
      <c r="K175" s="44"/>
      <c r="L175" s="44"/>
      <c r="M175" s="44"/>
      <c r="N175" s="153"/>
      <c r="O175" s="172"/>
      <c r="P175" s="153"/>
      <c r="Q175" s="153"/>
      <c r="R175" s="153"/>
      <c r="S175" s="153"/>
      <c r="T175" s="153"/>
      <c r="U175" s="153"/>
      <c r="V175" s="153"/>
      <c r="W175" s="153"/>
      <c r="X175" s="153"/>
    </row>
    <row r="176" spans="5:24" s="27" customFormat="1" x14ac:dyDescent="0.25">
      <c r="E176" s="44"/>
      <c r="F176" s="44"/>
      <c r="G176" s="44"/>
      <c r="H176" s="44"/>
      <c r="I176" s="44"/>
      <c r="J176" s="44"/>
      <c r="K176" s="44"/>
      <c r="L176" s="44"/>
      <c r="M176" s="44"/>
      <c r="N176" s="153"/>
      <c r="O176" s="172"/>
      <c r="P176" s="153"/>
      <c r="Q176" s="153"/>
      <c r="R176" s="153"/>
      <c r="S176" s="153"/>
      <c r="T176" s="153"/>
      <c r="U176" s="153"/>
      <c r="V176" s="153"/>
      <c r="W176" s="153"/>
      <c r="X176" s="153"/>
    </row>
    <row r="177" spans="5:24" s="27" customFormat="1" x14ac:dyDescent="0.25">
      <c r="E177" s="44"/>
      <c r="F177" s="44"/>
      <c r="G177" s="44"/>
      <c r="H177" s="44"/>
      <c r="I177" s="44"/>
      <c r="J177" s="44"/>
      <c r="K177" s="44"/>
      <c r="L177" s="44"/>
      <c r="M177" s="44"/>
      <c r="N177" s="153"/>
      <c r="O177" s="172"/>
      <c r="P177" s="153"/>
      <c r="Q177" s="153"/>
      <c r="R177" s="153"/>
      <c r="S177" s="153"/>
      <c r="T177" s="153"/>
      <c r="U177" s="153"/>
      <c r="V177" s="153"/>
      <c r="W177" s="153"/>
      <c r="X177" s="153"/>
    </row>
    <row r="178" spans="5:24" s="27" customFormat="1" x14ac:dyDescent="0.25">
      <c r="E178" s="44"/>
      <c r="F178" s="44"/>
      <c r="G178" s="44"/>
      <c r="H178" s="44"/>
      <c r="I178" s="44"/>
      <c r="J178" s="44"/>
      <c r="K178" s="44"/>
      <c r="L178" s="44"/>
      <c r="M178" s="44"/>
      <c r="N178" s="153"/>
      <c r="O178" s="172"/>
      <c r="P178" s="153"/>
      <c r="Q178" s="153"/>
      <c r="R178" s="153"/>
      <c r="S178" s="153"/>
      <c r="T178" s="153"/>
      <c r="U178" s="153"/>
      <c r="V178" s="153"/>
      <c r="W178" s="153"/>
      <c r="X178" s="153"/>
    </row>
    <row r="179" spans="5:24" s="27" customFormat="1" x14ac:dyDescent="0.25">
      <c r="E179" s="44"/>
      <c r="F179" s="44"/>
      <c r="G179" s="44"/>
      <c r="H179" s="44"/>
      <c r="I179" s="44"/>
      <c r="J179" s="44"/>
      <c r="K179" s="44"/>
      <c r="L179" s="44"/>
      <c r="M179" s="44"/>
      <c r="N179" s="153"/>
      <c r="O179" s="172"/>
      <c r="P179" s="153"/>
      <c r="Q179" s="153"/>
      <c r="R179" s="153"/>
      <c r="S179" s="153"/>
      <c r="T179" s="153"/>
      <c r="U179" s="153"/>
      <c r="V179" s="153"/>
      <c r="W179" s="153"/>
      <c r="X179" s="153"/>
    </row>
    <row r="180" spans="5:24" s="27" customFormat="1" x14ac:dyDescent="0.25">
      <c r="E180" s="44"/>
      <c r="F180" s="44"/>
      <c r="G180" s="44"/>
      <c r="H180" s="44"/>
      <c r="I180" s="44"/>
      <c r="J180" s="44"/>
      <c r="K180" s="44"/>
      <c r="L180" s="44"/>
      <c r="M180" s="44"/>
      <c r="N180" s="153"/>
      <c r="O180" s="172"/>
      <c r="P180" s="153"/>
      <c r="Q180" s="153"/>
      <c r="R180" s="153"/>
      <c r="S180" s="153"/>
      <c r="T180" s="153"/>
      <c r="U180" s="153"/>
      <c r="V180" s="153"/>
      <c r="W180" s="153"/>
      <c r="X180" s="153"/>
    </row>
    <row r="181" spans="5:24" s="27" customFormat="1" x14ac:dyDescent="0.25">
      <c r="E181" s="44"/>
      <c r="F181" s="44"/>
      <c r="G181" s="44"/>
      <c r="H181" s="44"/>
      <c r="I181" s="44"/>
      <c r="J181" s="44"/>
      <c r="K181" s="44"/>
      <c r="L181" s="44"/>
      <c r="M181" s="44"/>
      <c r="N181" s="153"/>
      <c r="O181" s="172"/>
      <c r="P181" s="153"/>
      <c r="Q181" s="153"/>
      <c r="R181" s="153"/>
      <c r="S181" s="153"/>
      <c r="T181" s="153"/>
      <c r="U181" s="153"/>
      <c r="V181" s="153"/>
      <c r="W181" s="153"/>
      <c r="X181" s="153"/>
    </row>
    <row r="182" spans="5:24" s="27" customFormat="1" x14ac:dyDescent="0.25">
      <c r="E182" s="44"/>
      <c r="F182" s="44"/>
      <c r="G182" s="44"/>
      <c r="H182" s="44"/>
      <c r="I182" s="44"/>
      <c r="J182" s="44"/>
      <c r="K182" s="44"/>
      <c r="L182" s="44"/>
      <c r="M182" s="44"/>
      <c r="N182" s="153"/>
      <c r="O182" s="172"/>
      <c r="P182" s="153"/>
      <c r="Q182" s="153"/>
      <c r="R182" s="153"/>
      <c r="S182" s="153"/>
      <c r="T182" s="153"/>
      <c r="U182" s="153"/>
      <c r="V182" s="153"/>
      <c r="W182" s="153"/>
      <c r="X182" s="153"/>
    </row>
    <row r="183" spans="5:24" s="27" customFormat="1" x14ac:dyDescent="0.25">
      <c r="E183" s="44"/>
      <c r="F183" s="44"/>
      <c r="G183" s="44"/>
      <c r="H183" s="44"/>
      <c r="I183" s="44"/>
      <c r="J183" s="44"/>
      <c r="K183" s="44"/>
      <c r="L183" s="44"/>
      <c r="M183" s="44"/>
      <c r="N183" s="153"/>
      <c r="O183" s="172"/>
      <c r="P183" s="153"/>
      <c r="Q183" s="153"/>
      <c r="R183" s="153"/>
      <c r="S183" s="153"/>
      <c r="T183" s="153"/>
      <c r="U183" s="153"/>
      <c r="V183" s="153"/>
      <c r="W183" s="153"/>
      <c r="X183" s="153"/>
    </row>
    <row r="184" spans="5:24" s="27" customFormat="1" x14ac:dyDescent="0.25">
      <c r="E184" s="44"/>
      <c r="F184" s="44"/>
      <c r="G184" s="44"/>
      <c r="H184" s="44"/>
      <c r="I184" s="44"/>
      <c r="J184" s="44"/>
      <c r="K184" s="44"/>
      <c r="L184" s="44"/>
      <c r="M184" s="44"/>
      <c r="N184" s="153"/>
      <c r="O184" s="172"/>
      <c r="P184" s="153"/>
      <c r="Q184" s="153"/>
      <c r="R184" s="153"/>
      <c r="S184" s="153"/>
      <c r="T184" s="153"/>
      <c r="U184" s="153"/>
      <c r="V184" s="153"/>
      <c r="W184" s="153"/>
      <c r="X184" s="153"/>
    </row>
    <row r="185" spans="5:24" s="27" customFormat="1" x14ac:dyDescent="0.25">
      <c r="E185" s="44"/>
      <c r="F185" s="44"/>
      <c r="G185" s="44"/>
      <c r="H185" s="44"/>
      <c r="I185" s="44"/>
      <c r="J185" s="44"/>
      <c r="K185" s="44"/>
      <c r="L185" s="44"/>
      <c r="M185" s="44"/>
      <c r="N185" s="153"/>
      <c r="O185" s="172"/>
      <c r="P185" s="153"/>
      <c r="Q185" s="153"/>
      <c r="R185" s="153"/>
      <c r="S185" s="153"/>
      <c r="T185" s="153"/>
      <c r="U185" s="153"/>
      <c r="V185" s="153"/>
      <c r="W185" s="153"/>
      <c r="X185" s="153"/>
    </row>
    <row r="186" spans="5:24" s="27" customFormat="1" x14ac:dyDescent="0.25">
      <c r="E186" s="44"/>
      <c r="F186" s="44"/>
      <c r="G186" s="44"/>
      <c r="H186" s="44"/>
      <c r="I186" s="44"/>
      <c r="J186" s="44"/>
      <c r="K186" s="44"/>
      <c r="L186" s="44"/>
      <c r="M186" s="44"/>
      <c r="N186" s="153"/>
      <c r="O186" s="172"/>
      <c r="P186" s="153"/>
      <c r="Q186" s="153"/>
      <c r="R186" s="153"/>
      <c r="S186" s="153"/>
      <c r="T186" s="153"/>
      <c r="U186" s="153"/>
      <c r="V186" s="153"/>
      <c r="W186" s="153"/>
      <c r="X186" s="153"/>
    </row>
    <row r="187" spans="5:24" s="27" customFormat="1" x14ac:dyDescent="0.25">
      <c r="E187" s="44"/>
      <c r="F187" s="44"/>
      <c r="G187" s="44"/>
      <c r="H187" s="44"/>
      <c r="I187" s="44"/>
      <c r="J187" s="44"/>
      <c r="K187" s="44"/>
      <c r="L187" s="44"/>
      <c r="M187" s="44"/>
      <c r="N187" s="153"/>
      <c r="O187" s="172"/>
      <c r="P187" s="153"/>
      <c r="Q187" s="153"/>
      <c r="R187" s="153"/>
      <c r="S187" s="153"/>
      <c r="T187" s="153"/>
      <c r="U187" s="153"/>
      <c r="V187" s="153"/>
      <c r="W187" s="153"/>
      <c r="X187" s="153"/>
    </row>
    <row r="188" spans="5:24" s="27" customFormat="1" x14ac:dyDescent="0.25">
      <c r="E188" s="44"/>
      <c r="F188" s="44"/>
      <c r="G188" s="44"/>
      <c r="H188" s="44"/>
      <c r="I188" s="44"/>
      <c r="J188" s="44"/>
      <c r="K188" s="44"/>
      <c r="L188" s="44"/>
      <c r="M188" s="44"/>
      <c r="N188" s="153"/>
      <c r="O188" s="172"/>
      <c r="P188" s="153"/>
      <c r="Q188" s="153"/>
      <c r="R188" s="153"/>
      <c r="S188" s="153"/>
      <c r="T188" s="153"/>
      <c r="U188" s="153"/>
      <c r="V188" s="153"/>
      <c r="W188" s="153"/>
      <c r="X188" s="153"/>
    </row>
    <row r="189" spans="5:24" s="27" customFormat="1" x14ac:dyDescent="0.25">
      <c r="E189" s="44"/>
      <c r="F189" s="44"/>
      <c r="G189" s="44"/>
      <c r="H189" s="44"/>
      <c r="I189" s="44"/>
      <c r="J189" s="44"/>
      <c r="K189" s="44"/>
      <c r="L189" s="44"/>
      <c r="M189" s="44"/>
      <c r="N189" s="153"/>
      <c r="O189" s="172"/>
      <c r="P189" s="153"/>
      <c r="Q189" s="153"/>
      <c r="R189" s="153"/>
      <c r="S189" s="153"/>
      <c r="T189" s="153"/>
      <c r="U189" s="153"/>
      <c r="V189" s="153"/>
      <c r="W189" s="153"/>
      <c r="X189" s="153"/>
    </row>
    <row r="190" spans="5:24" s="27" customFormat="1" x14ac:dyDescent="0.25">
      <c r="E190" s="44"/>
      <c r="F190" s="44"/>
      <c r="G190" s="44"/>
      <c r="H190" s="44"/>
      <c r="I190" s="44"/>
      <c r="J190" s="44"/>
      <c r="K190" s="44"/>
      <c r="L190" s="44"/>
      <c r="M190" s="44"/>
      <c r="N190" s="153"/>
      <c r="O190" s="172"/>
      <c r="P190" s="153"/>
      <c r="Q190" s="153"/>
      <c r="R190" s="153"/>
      <c r="S190" s="153"/>
      <c r="T190" s="153"/>
      <c r="U190" s="153"/>
      <c r="V190" s="153"/>
      <c r="W190" s="153"/>
      <c r="X190" s="153"/>
    </row>
    <row r="191" spans="5:24" s="27" customFormat="1" x14ac:dyDescent="0.25">
      <c r="E191" s="44"/>
      <c r="F191" s="44"/>
      <c r="G191" s="44"/>
      <c r="H191" s="44"/>
      <c r="I191" s="44"/>
      <c r="J191" s="44"/>
      <c r="K191" s="44"/>
      <c r="L191" s="44"/>
      <c r="M191" s="44"/>
      <c r="N191" s="153"/>
      <c r="O191" s="172"/>
      <c r="P191" s="153"/>
      <c r="Q191" s="153"/>
      <c r="R191" s="153"/>
      <c r="S191" s="153"/>
      <c r="T191" s="153"/>
      <c r="U191" s="153"/>
      <c r="V191" s="153"/>
      <c r="W191" s="153"/>
      <c r="X191" s="153"/>
    </row>
    <row r="192" spans="5:24" s="27" customFormat="1" x14ac:dyDescent="0.25">
      <c r="E192" s="44"/>
      <c r="F192" s="44"/>
      <c r="G192" s="44"/>
      <c r="H192" s="44"/>
      <c r="I192" s="44"/>
      <c r="J192" s="44"/>
      <c r="K192" s="44"/>
      <c r="L192" s="44"/>
      <c r="M192" s="44"/>
      <c r="N192" s="153"/>
      <c r="O192" s="172"/>
      <c r="P192" s="153"/>
      <c r="Q192" s="153"/>
      <c r="R192" s="153"/>
      <c r="S192" s="153"/>
      <c r="T192" s="153"/>
      <c r="U192" s="153"/>
      <c r="V192" s="153"/>
      <c r="W192" s="153"/>
      <c r="X192" s="153"/>
    </row>
    <row r="193" spans="5:24" s="27" customFormat="1" x14ac:dyDescent="0.25">
      <c r="E193" s="44"/>
      <c r="F193" s="44"/>
      <c r="G193" s="44"/>
      <c r="H193" s="44"/>
      <c r="I193" s="44"/>
      <c r="J193" s="44"/>
      <c r="K193" s="44"/>
      <c r="L193" s="44"/>
      <c r="M193" s="44"/>
      <c r="N193" s="153"/>
      <c r="O193" s="172"/>
      <c r="P193" s="153"/>
      <c r="Q193" s="153"/>
      <c r="R193" s="153"/>
      <c r="S193" s="153"/>
      <c r="T193" s="153"/>
      <c r="U193" s="153"/>
      <c r="V193" s="153"/>
      <c r="W193" s="153"/>
      <c r="X193" s="153"/>
    </row>
    <row r="194" spans="5:24" s="27" customFormat="1" x14ac:dyDescent="0.25">
      <c r="E194" s="44"/>
      <c r="F194" s="44"/>
      <c r="G194" s="44"/>
      <c r="H194" s="44"/>
      <c r="I194" s="44"/>
      <c r="J194" s="44"/>
      <c r="K194" s="44"/>
      <c r="L194" s="44"/>
      <c r="M194" s="44"/>
      <c r="N194" s="153"/>
      <c r="O194" s="172"/>
      <c r="P194" s="153"/>
      <c r="Q194" s="153"/>
      <c r="R194" s="153"/>
      <c r="S194" s="153"/>
      <c r="T194" s="153"/>
      <c r="U194" s="153"/>
      <c r="V194" s="153"/>
      <c r="W194" s="153"/>
      <c r="X194" s="153"/>
    </row>
    <row r="195" spans="5:24" s="27" customFormat="1" x14ac:dyDescent="0.25">
      <c r="E195" s="44"/>
      <c r="F195" s="44"/>
      <c r="G195" s="44"/>
      <c r="H195" s="44"/>
      <c r="I195" s="44"/>
      <c r="J195" s="44"/>
      <c r="K195" s="44"/>
      <c r="L195" s="44"/>
      <c r="M195" s="44"/>
      <c r="N195" s="153"/>
      <c r="O195" s="172"/>
      <c r="P195" s="153"/>
      <c r="Q195" s="153"/>
      <c r="R195" s="153"/>
      <c r="S195" s="153"/>
      <c r="T195" s="153"/>
      <c r="U195" s="153"/>
      <c r="V195" s="153"/>
      <c r="W195" s="153"/>
      <c r="X195" s="153"/>
    </row>
    <row r="196" spans="5:24" s="27" customFormat="1" x14ac:dyDescent="0.25">
      <c r="E196" s="44"/>
      <c r="F196" s="44"/>
      <c r="G196" s="44"/>
      <c r="H196" s="44"/>
      <c r="I196" s="44"/>
      <c r="J196" s="44"/>
      <c r="K196" s="44"/>
      <c r="L196" s="44"/>
      <c r="M196" s="44"/>
      <c r="N196" s="153"/>
      <c r="O196" s="172"/>
      <c r="P196" s="153"/>
      <c r="Q196" s="153"/>
      <c r="R196" s="153"/>
      <c r="S196" s="153"/>
      <c r="T196" s="153"/>
      <c r="U196" s="153"/>
      <c r="V196" s="153"/>
      <c r="W196" s="153"/>
      <c r="X196" s="153"/>
    </row>
    <row r="197" spans="5:24" s="27" customFormat="1" x14ac:dyDescent="0.25">
      <c r="E197" s="44"/>
      <c r="F197" s="44"/>
      <c r="G197" s="44"/>
      <c r="H197" s="44"/>
      <c r="I197" s="44"/>
      <c r="J197" s="44"/>
      <c r="K197" s="44"/>
      <c r="L197" s="44"/>
      <c r="M197" s="44"/>
      <c r="N197" s="153"/>
      <c r="O197" s="172"/>
      <c r="P197" s="153"/>
      <c r="Q197" s="153"/>
      <c r="R197" s="153"/>
      <c r="S197" s="153"/>
      <c r="T197" s="153"/>
      <c r="U197" s="153"/>
      <c r="V197" s="153"/>
      <c r="W197" s="153"/>
      <c r="X197" s="153"/>
    </row>
    <row r="198" spans="5:24" s="27" customFormat="1" x14ac:dyDescent="0.25">
      <c r="E198" s="44"/>
      <c r="F198" s="44"/>
      <c r="G198" s="44"/>
      <c r="H198" s="44"/>
      <c r="I198" s="44"/>
      <c r="J198" s="44"/>
      <c r="K198" s="44"/>
      <c r="L198" s="44"/>
      <c r="M198" s="44"/>
      <c r="N198" s="153"/>
      <c r="O198" s="172"/>
      <c r="P198" s="153"/>
      <c r="Q198" s="153"/>
      <c r="R198" s="153"/>
      <c r="S198" s="153"/>
      <c r="T198" s="153"/>
      <c r="U198" s="153"/>
      <c r="V198" s="153"/>
      <c r="W198" s="153"/>
      <c r="X198" s="153"/>
    </row>
    <row r="199" spans="5:24" s="27" customFormat="1" x14ac:dyDescent="0.25">
      <c r="N199" s="153"/>
      <c r="O199" s="172"/>
      <c r="P199" s="153"/>
      <c r="Q199" s="153"/>
      <c r="R199" s="153"/>
      <c r="S199" s="153"/>
      <c r="T199" s="153"/>
      <c r="U199" s="153"/>
      <c r="V199" s="153"/>
      <c r="W199" s="153"/>
      <c r="X199" s="153"/>
    </row>
    <row r="200" spans="5:24" s="27" customFormat="1" x14ac:dyDescent="0.25">
      <c r="N200" s="153"/>
      <c r="O200" s="172"/>
      <c r="P200" s="153"/>
      <c r="Q200" s="153"/>
      <c r="R200" s="153"/>
      <c r="S200" s="153"/>
      <c r="T200" s="153"/>
      <c r="U200" s="153"/>
      <c r="V200" s="153"/>
      <c r="W200" s="153"/>
      <c r="X200" s="153"/>
    </row>
    <row r="201" spans="5:24" s="27" customFormat="1" x14ac:dyDescent="0.25">
      <c r="N201" s="153"/>
      <c r="O201" s="172"/>
      <c r="P201" s="153"/>
      <c r="Q201" s="153"/>
      <c r="R201" s="153"/>
      <c r="S201" s="153"/>
      <c r="T201" s="153"/>
      <c r="U201" s="153"/>
      <c r="V201" s="153"/>
      <c r="W201" s="153"/>
      <c r="X201" s="153"/>
    </row>
    <row r="202" spans="5:24" s="27" customFormat="1" x14ac:dyDescent="0.25">
      <c r="N202" s="153"/>
      <c r="O202" s="172"/>
      <c r="P202" s="153"/>
      <c r="Q202" s="153"/>
      <c r="R202" s="153"/>
      <c r="S202" s="153"/>
      <c r="T202" s="153"/>
      <c r="U202" s="153"/>
      <c r="V202" s="153"/>
      <c r="W202" s="153"/>
      <c r="X202" s="153"/>
    </row>
    <row r="203" spans="5:24" s="27" customFormat="1" x14ac:dyDescent="0.25">
      <c r="N203" s="153"/>
      <c r="O203" s="172"/>
      <c r="P203" s="153"/>
      <c r="Q203" s="153"/>
      <c r="R203" s="153"/>
      <c r="S203" s="153"/>
      <c r="T203" s="153"/>
      <c r="U203" s="153"/>
      <c r="V203" s="153"/>
      <c r="W203" s="153"/>
      <c r="X203" s="153"/>
    </row>
    <row r="204" spans="5:24" s="27" customFormat="1" x14ac:dyDescent="0.25">
      <c r="N204" s="153"/>
      <c r="O204" s="172"/>
      <c r="P204" s="153"/>
      <c r="Q204" s="153"/>
      <c r="R204" s="153"/>
      <c r="S204" s="153"/>
      <c r="T204" s="153"/>
      <c r="U204" s="153"/>
      <c r="V204" s="153"/>
      <c r="W204" s="153"/>
      <c r="X204" s="153"/>
    </row>
    <row r="205" spans="5:24" s="27" customFormat="1" x14ac:dyDescent="0.25">
      <c r="N205" s="153"/>
      <c r="O205" s="172"/>
      <c r="P205" s="153"/>
      <c r="Q205" s="153"/>
      <c r="R205" s="153"/>
      <c r="S205" s="153"/>
      <c r="T205" s="153"/>
      <c r="U205" s="153"/>
      <c r="V205" s="153"/>
      <c r="W205" s="153"/>
      <c r="X205" s="153"/>
    </row>
    <row r="206" spans="5:24" s="27" customFormat="1" x14ac:dyDescent="0.25">
      <c r="N206" s="153"/>
      <c r="O206" s="172"/>
      <c r="P206" s="153"/>
      <c r="Q206" s="153"/>
      <c r="R206" s="153"/>
      <c r="S206" s="153"/>
      <c r="T206" s="153"/>
      <c r="U206" s="153"/>
      <c r="V206" s="153"/>
      <c r="W206" s="153"/>
      <c r="X206" s="153"/>
    </row>
    <row r="207" spans="5:24" s="27" customFormat="1" x14ac:dyDescent="0.25">
      <c r="N207" s="153"/>
      <c r="O207" s="172"/>
      <c r="P207" s="153"/>
      <c r="Q207" s="153"/>
      <c r="R207" s="153"/>
      <c r="S207" s="153"/>
      <c r="T207" s="153"/>
      <c r="U207" s="153"/>
      <c r="V207" s="153"/>
      <c r="W207" s="153"/>
      <c r="X207" s="153"/>
    </row>
    <row r="208" spans="5:24" s="27" customFormat="1" x14ac:dyDescent="0.25">
      <c r="N208" s="153"/>
      <c r="O208" s="172"/>
      <c r="P208" s="153"/>
      <c r="Q208" s="153"/>
      <c r="R208" s="153"/>
      <c r="S208" s="153"/>
      <c r="T208" s="153"/>
      <c r="U208" s="153"/>
      <c r="V208" s="153"/>
      <c r="W208" s="153"/>
      <c r="X208" s="153"/>
    </row>
    <row r="209" spans="14:24" s="27" customFormat="1" x14ac:dyDescent="0.25">
      <c r="N209" s="153"/>
      <c r="O209" s="172"/>
      <c r="P209" s="153"/>
      <c r="Q209" s="153"/>
      <c r="R209" s="153"/>
      <c r="S209" s="153"/>
      <c r="T209" s="153"/>
      <c r="U209" s="153"/>
      <c r="V209" s="153"/>
      <c r="W209" s="153"/>
      <c r="X209" s="153"/>
    </row>
    <row r="210" spans="14:24" s="27" customFormat="1" x14ac:dyDescent="0.25">
      <c r="N210" s="153"/>
      <c r="O210" s="172"/>
      <c r="P210" s="153"/>
      <c r="Q210" s="153"/>
      <c r="R210" s="153"/>
      <c r="S210" s="153"/>
      <c r="T210" s="153"/>
      <c r="U210" s="153"/>
      <c r="V210" s="153"/>
      <c r="W210" s="153"/>
      <c r="X210" s="153"/>
    </row>
    <row r="211" spans="14:24" s="27" customFormat="1" x14ac:dyDescent="0.25">
      <c r="N211" s="153"/>
      <c r="O211" s="172"/>
      <c r="P211" s="153"/>
      <c r="Q211" s="153"/>
      <c r="R211" s="153"/>
      <c r="S211" s="153"/>
      <c r="T211" s="153"/>
      <c r="U211" s="153"/>
      <c r="V211" s="153"/>
      <c r="W211" s="153"/>
      <c r="X211" s="153"/>
    </row>
    <row r="212" spans="14:24" s="27" customFormat="1" x14ac:dyDescent="0.25">
      <c r="N212" s="153"/>
      <c r="O212" s="172"/>
      <c r="P212" s="153"/>
      <c r="Q212" s="153"/>
      <c r="R212" s="153"/>
      <c r="S212" s="153"/>
      <c r="T212" s="153"/>
      <c r="U212" s="153"/>
      <c r="V212" s="153"/>
      <c r="W212" s="153"/>
      <c r="X212" s="153"/>
    </row>
    <row r="213" spans="14:24" s="27" customFormat="1" x14ac:dyDescent="0.25">
      <c r="N213" s="153"/>
      <c r="O213" s="172"/>
      <c r="P213" s="153"/>
      <c r="Q213" s="153"/>
      <c r="R213" s="153"/>
      <c r="S213" s="153"/>
      <c r="T213" s="153"/>
      <c r="U213" s="153"/>
      <c r="V213" s="153"/>
      <c r="W213" s="153"/>
      <c r="X213" s="153"/>
    </row>
    <row r="214" spans="14:24" s="27" customFormat="1" x14ac:dyDescent="0.25">
      <c r="N214" s="153"/>
      <c r="O214" s="172"/>
      <c r="P214" s="153"/>
      <c r="Q214" s="153"/>
      <c r="R214" s="153"/>
      <c r="S214" s="153"/>
      <c r="T214" s="153"/>
      <c r="U214" s="153"/>
      <c r="V214" s="153"/>
      <c r="W214" s="153"/>
      <c r="X214" s="153"/>
    </row>
    <row r="215" spans="14:24" s="27" customFormat="1" x14ac:dyDescent="0.25">
      <c r="N215" s="153"/>
      <c r="O215" s="172"/>
      <c r="P215" s="153"/>
      <c r="Q215" s="153"/>
      <c r="R215" s="153"/>
      <c r="S215" s="153"/>
      <c r="T215" s="153"/>
      <c r="U215" s="153"/>
      <c r="V215" s="153"/>
      <c r="W215" s="153"/>
      <c r="X215" s="153"/>
    </row>
    <row r="216" spans="14:24" s="27" customFormat="1" x14ac:dyDescent="0.25">
      <c r="N216" s="153"/>
      <c r="O216" s="172"/>
      <c r="P216" s="153"/>
      <c r="Q216" s="153"/>
      <c r="R216" s="153"/>
      <c r="S216" s="153"/>
      <c r="T216" s="153"/>
      <c r="U216" s="153"/>
      <c r="V216" s="153"/>
      <c r="W216" s="153"/>
      <c r="X216" s="153"/>
    </row>
    <row r="217" spans="14:24" s="27" customFormat="1" x14ac:dyDescent="0.25">
      <c r="N217" s="153"/>
      <c r="O217" s="172"/>
      <c r="P217" s="153"/>
      <c r="Q217" s="153"/>
      <c r="R217" s="153"/>
      <c r="S217" s="153"/>
      <c r="T217" s="153"/>
      <c r="U217" s="153"/>
      <c r="V217" s="153"/>
      <c r="W217" s="153"/>
      <c r="X217" s="153"/>
    </row>
    <row r="218" spans="14:24" s="27" customFormat="1" x14ac:dyDescent="0.25">
      <c r="N218" s="153"/>
      <c r="O218" s="172"/>
      <c r="P218" s="153"/>
      <c r="Q218" s="153"/>
      <c r="R218" s="153"/>
      <c r="S218" s="153"/>
      <c r="T218" s="153"/>
      <c r="U218" s="153"/>
      <c r="V218" s="153"/>
      <c r="W218" s="153"/>
      <c r="X218" s="153"/>
    </row>
    <row r="219" spans="14:24" s="27" customFormat="1" x14ac:dyDescent="0.25">
      <c r="N219" s="153"/>
      <c r="O219" s="172"/>
      <c r="P219" s="153"/>
      <c r="Q219" s="153"/>
      <c r="R219" s="153"/>
      <c r="S219" s="153"/>
      <c r="T219" s="153"/>
      <c r="U219" s="153"/>
      <c r="V219" s="153"/>
      <c r="W219" s="153"/>
      <c r="X219" s="153"/>
    </row>
    <row r="220" spans="14:24" s="27" customFormat="1" x14ac:dyDescent="0.25">
      <c r="N220" s="153"/>
      <c r="O220" s="172"/>
      <c r="P220" s="153"/>
      <c r="Q220" s="153"/>
      <c r="R220" s="153"/>
      <c r="S220" s="153"/>
      <c r="T220" s="153"/>
      <c r="U220" s="153"/>
      <c r="V220" s="153"/>
      <c r="W220" s="153"/>
      <c r="X220" s="153"/>
    </row>
    <row r="221" spans="14:24" s="27" customFormat="1" x14ac:dyDescent="0.25">
      <c r="N221" s="153"/>
      <c r="O221" s="172"/>
      <c r="P221" s="153"/>
      <c r="Q221" s="153"/>
      <c r="R221" s="153"/>
      <c r="S221" s="153"/>
      <c r="T221" s="153"/>
      <c r="U221" s="153"/>
      <c r="V221" s="153"/>
      <c r="W221" s="153"/>
      <c r="X221" s="153"/>
    </row>
    <row r="222" spans="14:24" s="27" customFormat="1" x14ac:dyDescent="0.25">
      <c r="N222" s="153"/>
      <c r="O222" s="172"/>
      <c r="P222" s="153"/>
      <c r="Q222" s="153"/>
      <c r="R222" s="153"/>
      <c r="S222" s="153"/>
      <c r="T222" s="153"/>
      <c r="U222" s="153"/>
      <c r="V222" s="153"/>
      <c r="W222" s="153"/>
      <c r="X222" s="153"/>
    </row>
    <row r="223" spans="14:24" s="27" customFormat="1" x14ac:dyDescent="0.25">
      <c r="N223" s="153"/>
      <c r="O223" s="172"/>
      <c r="P223" s="153"/>
      <c r="Q223" s="153"/>
      <c r="R223" s="153"/>
      <c r="S223" s="153"/>
      <c r="T223" s="153"/>
      <c r="U223" s="153"/>
      <c r="V223" s="153"/>
      <c r="W223" s="153"/>
      <c r="X223" s="153"/>
    </row>
    <row r="224" spans="14:24" s="27" customFormat="1" x14ac:dyDescent="0.25">
      <c r="N224" s="153"/>
      <c r="O224" s="172"/>
      <c r="P224" s="153"/>
      <c r="Q224" s="153"/>
      <c r="R224" s="153"/>
      <c r="S224" s="153"/>
      <c r="T224" s="153"/>
      <c r="U224" s="153"/>
      <c r="V224" s="153"/>
      <c r="W224" s="153"/>
      <c r="X224" s="153"/>
    </row>
    <row r="225" spans="14:24" s="27" customFormat="1" x14ac:dyDescent="0.25">
      <c r="N225" s="153"/>
      <c r="O225" s="172"/>
      <c r="P225" s="153"/>
      <c r="Q225" s="153"/>
      <c r="R225" s="153"/>
      <c r="S225" s="153"/>
      <c r="T225" s="153"/>
      <c r="U225" s="153"/>
      <c r="V225" s="153"/>
      <c r="W225" s="153"/>
      <c r="X225" s="153"/>
    </row>
    <row r="226" spans="14:24" s="27" customFormat="1" x14ac:dyDescent="0.25">
      <c r="N226" s="153"/>
      <c r="O226" s="172"/>
      <c r="P226" s="153"/>
      <c r="Q226" s="153"/>
      <c r="R226" s="153"/>
      <c r="S226" s="153"/>
      <c r="T226" s="153"/>
      <c r="U226" s="153"/>
      <c r="V226" s="153"/>
      <c r="W226" s="153"/>
      <c r="X226" s="153"/>
    </row>
    <row r="227" spans="14:24" s="27" customFormat="1" x14ac:dyDescent="0.25">
      <c r="N227" s="153"/>
      <c r="O227" s="172"/>
      <c r="P227" s="153"/>
      <c r="Q227" s="153"/>
      <c r="R227" s="153"/>
      <c r="S227" s="153"/>
      <c r="T227" s="153"/>
      <c r="U227" s="153"/>
      <c r="V227" s="153"/>
      <c r="W227" s="153"/>
      <c r="X227" s="153"/>
    </row>
    <row r="228" spans="14:24" s="27" customFormat="1" x14ac:dyDescent="0.25">
      <c r="N228" s="153"/>
      <c r="O228" s="172"/>
      <c r="P228" s="153"/>
      <c r="Q228" s="153"/>
      <c r="R228" s="153"/>
      <c r="S228" s="153"/>
      <c r="T228" s="153"/>
      <c r="U228" s="153"/>
      <c r="V228" s="153"/>
      <c r="W228" s="153"/>
      <c r="X228" s="153"/>
    </row>
    <row r="229" spans="14:24" s="27" customFormat="1" x14ac:dyDescent="0.25">
      <c r="N229" s="153"/>
      <c r="O229" s="172"/>
      <c r="P229" s="153"/>
      <c r="Q229" s="153"/>
      <c r="R229" s="153"/>
      <c r="S229" s="153"/>
      <c r="T229" s="153"/>
      <c r="U229" s="153"/>
      <c r="V229" s="153"/>
      <c r="W229" s="153"/>
      <c r="X229" s="153"/>
    </row>
    <row r="230" spans="14:24" s="27" customFormat="1" x14ac:dyDescent="0.25">
      <c r="N230" s="153"/>
      <c r="O230" s="172"/>
      <c r="P230" s="153"/>
      <c r="Q230" s="153"/>
      <c r="R230" s="153"/>
      <c r="S230" s="153"/>
      <c r="T230" s="153"/>
      <c r="U230" s="153"/>
      <c r="V230" s="153"/>
      <c r="W230" s="153"/>
      <c r="X230" s="153"/>
    </row>
    <row r="231" spans="14:24" s="27" customFormat="1" x14ac:dyDescent="0.25">
      <c r="N231" s="153"/>
      <c r="O231" s="172"/>
      <c r="P231" s="153"/>
      <c r="Q231" s="153"/>
      <c r="R231" s="153"/>
      <c r="S231" s="153"/>
      <c r="T231" s="153"/>
      <c r="U231" s="153"/>
      <c r="V231" s="153"/>
      <c r="W231" s="153"/>
      <c r="X231" s="153"/>
    </row>
    <row r="232" spans="14:24" s="27" customFormat="1" x14ac:dyDescent="0.25">
      <c r="N232" s="153"/>
      <c r="O232" s="172"/>
      <c r="P232" s="153"/>
      <c r="Q232" s="153"/>
      <c r="R232" s="153"/>
      <c r="S232" s="153"/>
      <c r="T232" s="153"/>
      <c r="U232" s="153"/>
      <c r="V232" s="153"/>
      <c r="W232" s="153"/>
      <c r="X232" s="153"/>
    </row>
    <row r="233" spans="14:24" s="27" customFormat="1" x14ac:dyDescent="0.25">
      <c r="N233" s="153"/>
      <c r="O233" s="172"/>
      <c r="P233" s="153"/>
      <c r="Q233" s="153"/>
      <c r="R233" s="153"/>
      <c r="S233" s="153"/>
      <c r="T233" s="153"/>
      <c r="U233" s="153"/>
      <c r="V233" s="153"/>
      <c r="W233" s="153"/>
      <c r="X233" s="153"/>
    </row>
    <row r="234" spans="14:24" s="27" customFormat="1" x14ac:dyDescent="0.25">
      <c r="N234" s="153"/>
      <c r="O234" s="172"/>
      <c r="P234" s="153"/>
      <c r="Q234" s="153"/>
      <c r="R234" s="153"/>
      <c r="S234" s="153"/>
      <c r="T234" s="153"/>
      <c r="U234" s="153"/>
      <c r="V234" s="153"/>
      <c r="W234" s="153"/>
      <c r="X234" s="153"/>
    </row>
    <row r="235" spans="14:24" s="27" customFormat="1" x14ac:dyDescent="0.25">
      <c r="N235" s="153"/>
      <c r="O235" s="172"/>
      <c r="P235" s="153"/>
      <c r="Q235" s="153"/>
      <c r="R235" s="153"/>
      <c r="S235" s="153"/>
      <c r="T235" s="153"/>
      <c r="U235" s="153"/>
      <c r="V235" s="153"/>
      <c r="W235" s="153"/>
      <c r="X235" s="153"/>
    </row>
    <row r="236" spans="14:24" s="27" customFormat="1" x14ac:dyDescent="0.25">
      <c r="N236" s="153"/>
      <c r="O236" s="172"/>
      <c r="P236" s="153"/>
      <c r="Q236" s="153"/>
      <c r="R236" s="153"/>
      <c r="S236" s="153"/>
      <c r="T236" s="153"/>
      <c r="U236" s="153"/>
      <c r="V236" s="153"/>
      <c r="W236" s="153"/>
      <c r="X236" s="153"/>
    </row>
    <row r="237" spans="14:24" s="27" customFormat="1" x14ac:dyDescent="0.25">
      <c r="N237" s="153"/>
      <c r="O237" s="172"/>
      <c r="P237" s="153"/>
      <c r="Q237" s="153"/>
      <c r="R237" s="153"/>
      <c r="S237" s="153"/>
      <c r="T237" s="153"/>
      <c r="U237" s="153"/>
      <c r="V237" s="153"/>
      <c r="W237" s="153"/>
      <c r="X237" s="153"/>
    </row>
    <row r="238" spans="14:24" s="27" customFormat="1" x14ac:dyDescent="0.25">
      <c r="N238" s="153"/>
      <c r="O238" s="172"/>
      <c r="P238" s="153"/>
      <c r="Q238" s="153"/>
      <c r="R238" s="153"/>
      <c r="S238" s="153"/>
      <c r="T238" s="153"/>
      <c r="U238" s="153"/>
      <c r="V238" s="153"/>
      <c r="W238" s="153"/>
      <c r="X238" s="153"/>
    </row>
    <row r="239" spans="14:24" s="27" customFormat="1" x14ac:dyDescent="0.25">
      <c r="N239" s="153"/>
      <c r="O239" s="172"/>
      <c r="P239" s="153"/>
      <c r="Q239" s="153"/>
      <c r="R239" s="153"/>
      <c r="S239" s="153"/>
      <c r="T239" s="153"/>
      <c r="U239" s="153"/>
      <c r="V239" s="153"/>
      <c r="W239" s="153"/>
      <c r="X239" s="153"/>
    </row>
    <row r="240" spans="14:24" s="27" customFormat="1" x14ac:dyDescent="0.25">
      <c r="N240" s="153"/>
      <c r="O240" s="172"/>
      <c r="P240" s="153"/>
      <c r="Q240" s="153"/>
      <c r="R240" s="153"/>
      <c r="S240" s="153"/>
      <c r="T240" s="153"/>
      <c r="U240" s="153"/>
      <c r="V240" s="153"/>
      <c r="W240" s="153"/>
      <c r="X240" s="153"/>
    </row>
    <row r="241" spans="14:24" s="27" customFormat="1" x14ac:dyDescent="0.25">
      <c r="N241" s="153"/>
      <c r="O241" s="172"/>
      <c r="P241" s="153"/>
      <c r="Q241" s="153"/>
      <c r="R241" s="153"/>
      <c r="S241" s="153"/>
      <c r="T241" s="153"/>
      <c r="U241" s="153"/>
      <c r="V241" s="153"/>
      <c r="W241" s="153"/>
      <c r="X241" s="153"/>
    </row>
    <row r="242" spans="14:24" s="27" customFormat="1" x14ac:dyDescent="0.25">
      <c r="N242" s="153"/>
      <c r="O242" s="172"/>
      <c r="P242" s="153"/>
      <c r="Q242" s="153"/>
      <c r="R242" s="153"/>
      <c r="S242" s="153"/>
      <c r="T242" s="153"/>
      <c r="U242" s="153"/>
      <c r="V242" s="153"/>
      <c r="W242" s="153"/>
      <c r="X242" s="153"/>
    </row>
    <row r="243" spans="14:24" s="27" customFormat="1" x14ac:dyDescent="0.25">
      <c r="N243" s="153"/>
      <c r="O243" s="172"/>
      <c r="P243" s="153"/>
      <c r="Q243" s="153"/>
      <c r="R243" s="153"/>
      <c r="S243" s="153"/>
      <c r="T243" s="153"/>
      <c r="U243" s="153"/>
      <c r="V243" s="153"/>
      <c r="W243" s="153"/>
      <c r="X243" s="153"/>
    </row>
    <row r="244" spans="14:24" s="27" customFormat="1" x14ac:dyDescent="0.25">
      <c r="N244" s="153"/>
      <c r="O244" s="172"/>
      <c r="P244" s="153"/>
      <c r="Q244" s="153"/>
      <c r="R244" s="153"/>
      <c r="S244" s="153"/>
      <c r="T244" s="153"/>
      <c r="U244" s="153"/>
      <c r="V244" s="153"/>
      <c r="W244" s="153"/>
      <c r="X244" s="153"/>
    </row>
    <row r="245" spans="14:24" s="27" customFormat="1" x14ac:dyDescent="0.25">
      <c r="N245" s="153"/>
      <c r="O245" s="172"/>
      <c r="P245" s="153"/>
      <c r="Q245" s="153"/>
      <c r="R245" s="153"/>
      <c r="S245" s="153"/>
      <c r="T245" s="153"/>
      <c r="U245" s="153"/>
      <c r="V245" s="153"/>
      <c r="W245" s="153"/>
      <c r="X245" s="153"/>
    </row>
    <row r="246" spans="14:24" s="27" customFormat="1" x14ac:dyDescent="0.25">
      <c r="N246" s="153"/>
      <c r="O246" s="172"/>
      <c r="P246" s="153"/>
      <c r="Q246" s="153"/>
      <c r="R246" s="153"/>
      <c r="S246" s="153"/>
      <c r="T246" s="153"/>
      <c r="U246" s="153"/>
      <c r="V246" s="153"/>
      <c r="W246" s="153"/>
      <c r="X246" s="153"/>
    </row>
    <row r="247" spans="14:24" s="27" customFormat="1" x14ac:dyDescent="0.25">
      <c r="N247" s="153"/>
      <c r="O247" s="172"/>
      <c r="P247" s="153"/>
      <c r="Q247" s="153"/>
      <c r="R247" s="153"/>
      <c r="S247" s="153"/>
      <c r="T247" s="153"/>
      <c r="U247" s="153"/>
      <c r="V247" s="153"/>
      <c r="W247" s="153"/>
      <c r="X247" s="153"/>
    </row>
    <row r="248" spans="14:24" s="27" customFormat="1" x14ac:dyDescent="0.25">
      <c r="N248" s="153"/>
      <c r="O248" s="172"/>
      <c r="P248" s="153"/>
      <c r="Q248" s="153"/>
      <c r="R248" s="153"/>
      <c r="S248" s="153"/>
      <c r="T248" s="153"/>
      <c r="U248" s="153"/>
      <c r="V248" s="153"/>
      <c r="W248" s="153"/>
      <c r="X248" s="153"/>
    </row>
    <row r="249" spans="14:24" s="27" customFormat="1" x14ac:dyDescent="0.25">
      <c r="N249" s="153"/>
      <c r="O249" s="172"/>
      <c r="P249" s="153"/>
      <c r="Q249" s="153"/>
      <c r="R249" s="153"/>
      <c r="S249" s="153"/>
      <c r="T249" s="153"/>
      <c r="U249" s="153"/>
      <c r="V249" s="153"/>
      <c r="W249" s="153"/>
      <c r="X249" s="153"/>
    </row>
    <row r="250" spans="14:24" s="27" customFormat="1" x14ac:dyDescent="0.25">
      <c r="N250" s="153"/>
      <c r="O250" s="172"/>
      <c r="P250" s="153"/>
      <c r="Q250" s="153"/>
      <c r="R250" s="153"/>
      <c r="S250" s="153"/>
      <c r="T250" s="153"/>
      <c r="U250" s="153"/>
      <c r="V250" s="153"/>
      <c r="W250" s="153"/>
      <c r="X250" s="153"/>
    </row>
    <row r="251" spans="14:24" s="27" customFormat="1" x14ac:dyDescent="0.25">
      <c r="N251" s="153"/>
      <c r="O251" s="172"/>
      <c r="P251" s="153"/>
      <c r="Q251" s="153"/>
      <c r="R251" s="153"/>
      <c r="S251" s="153"/>
      <c r="T251" s="153"/>
      <c r="U251" s="153"/>
      <c r="V251" s="153"/>
      <c r="W251" s="153"/>
      <c r="X251" s="153"/>
    </row>
    <row r="252" spans="14:24" s="27" customFormat="1" x14ac:dyDescent="0.25">
      <c r="N252" s="153"/>
      <c r="O252" s="172"/>
      <c r="P252" s="153"/>
      <c r="Q252" s="153"/>
      <c r="R252" s="153"/>
      <c r="S252" s="153"/>
      <c r="T252" s="153"/>
      <c r="U252" s="153"/>
      <c r="V252" s="153"/>
      <c r="W252" s="153"/>
      <c r="X252" s="153"/>
    </row>
    <row r="253" spans="14:24" s="27" customFormat="1" x14ac:dyDescent="0.25">
      <c r="N253" s="153"/>
      <c r="O253" s="172"/>
      <c r="P253" s="153"/>
      <c r="Q253" s="153"/>
      <c r="R253" s="153"/>
      <c r="S253" s="153"/>
      <c r="T253" s="153"/>
      <c r="U253" s="153"/>
      <c r="V253" s="153"/>
      <c r="W253" s="153"/>
      <c r="X253" s="153"/>
    </row>
    <row r="254" spans="14:24" s="27" customFormat="1" x14ac:dyDescent="0.25">
      <c r="N254" s="153"/>
      <c r="O254" s="172"/>
      <c r="P254" s="153"/>
      <c r="Q254" s="153"/>
      <c r="R254" s="153"/>
      <c r="S254" s="153"/>
      <c r="T254" s="153"/>
      <c r="U254" s="153"/>
      <c r="V254" s="153"/>
      <c r="W254" s="153"/>
      <c r="X254" s="153"/>
    </row>
    <row r="255" spans="14:24" s="27" customFormat="1" x14ac:dyDescent="0.25">
      <c r="N255" s="153"/>
      <c r="O255" s="172"/>
      <c r="P255" s="153"/>
      <c r="Q255" s="153"/>
      <c r="R255" s="153"/>
      <c r="S255" s="153"/>
      <c r="T255" s="153"/>
      <c r="U255" s="153"/>
      <c r="V255" s="153"/>
      <c r="W255" s="153"/>
      <c r="X255" s="153"/>
    </row>
    <row r="256" spans="14:24" s="27" customFormat="1" x14ac:dyDescent="0.25">
      <c r="N256" s="153"/>
      <c r="O256" s="172"/>
      <c r="P256" s="153"/>
      <c r="Q256" s="153"/>
      <c r="R256" s="153"/>
      <c r="S256" s="153"/>
      <c r="T256" s="153"/>
      <c r="U256" s="153"/>
      <c r="V256" s="153"/>
      <c r="W256" s="153"/>
      <c r="X256" s="153"/>
    </row>
    <row r="257" spans="14:24" s="27" customFormat="1" x14ac:dyDescent="0.25">
      <c r="N257" s="153"/>
      <c r="O257" s="172"/>
      <c r="P257" s="153"/>
      <c r="Q257" s="153"/>
      <c r="R257" s="153"/>
      <c r="S257" s="153"/>
      <c r="T257" s="153"/>
      <c r="U257" s="153"/>
      <c r="V257" s="153"/>
      <c r="W257" s="153"/>
      <c r="X257" s="153"/>
    </row>
    <row r="258" spans="14:24" s="27" customFormat="1" x14ac:dyDescent="0.25">
      <c r="N258" s="153"/>
      <c r="O258" s="172"/>
      <c r="P258" s="153"/>
      <c r="Q258" s="153"/>
      <c r="R258" s="153"/>
      <c r="S258" s="153"/>
      <c r="T258" s="153"/>
      <c r="U258" s="153"/>
      <c r="V258" s="153"/>
      <c r="W258" s="153"/>
      <c r="X258" s="153"/>
    </row>
    <row r="259" spans="14:24" s="27" customFormat="1" x14ac:dyDescent="0.25">
      <c r="N259" s="153"/>
      <c r="O259" s="172"/>
      <c r="P259" s="153"/>
      <c r="Q259" s="153"/>
      <c r="R259" s="153"/>
      <c r="S259" s="153"/>
      <c r="T259" s="153"/>
      <c r="U259" s="153"/>
      <c r="V259" s="153"/>
      <c r="W259" s="153"/>
      <c r="X259" s="153"/>
    </row>
    <row r="260" spans="14:24" s="27" customFormat="1" x14ac:dyDescent="0.25">
      <c r="N260" s="153"/>
      <c r="O260" s="172"/>
      <c r="P260" s="153"/>
      <c r="Q260" s="153"/>
      <c r="R260" s="153"/>
      <c r="S260" s="153"/>
      <c r="T260" s="153"/>
      <c r="U260" s="153"/>
      <c r="V260" s="153"/>
      <c r="W260" s="153"/>
      <c r="X260" s="153"/>
    </row>
    <row r="261" spans="14:24" s="27" customFormat="1" x14ac:dyDescent="0.25">
      <c r="N261" s="153"/>
      <c r="O261" s="172"/>
      <c r="P261" s="153"/>
      <c r="Q261" s="153"/>
      <c r="R261" s="153"/>
      <c r="S261" s="153"/>
      <c r="T261" s="153"/>
      <c r="U261" s="153"/>
      <c r="V261" s="153"/>
      <c r="W261" s="153"/>
      <c r="X261" s="153"/>
    </row>
    <row r="262" spans="14:24" s="27" customFormat="1" x14ac:dyDescent="0.25">
      <c r="N262" s="153"/>
      <c r="O262" s="172"/>
      <c r="P262" s="153"/>
      <c r="Q262" s="153"/>
      <c r="R262" s="153"/>
      <c r="S262" s="153"/>
      <c r="T262" s="153"/>
      <c r="U262" s="153"/>
      <c r="V262" s="153"/>
      <c r="W262" s="153"/>
      <c r="X262" s="153"/>
    </row>
    <row r="263" spans="14:24" s="27" customFormat="1" x14ac:dyDescent="0.25">
      <c r="N263" s="153"/>
      <c r="O263" s="172"/>
      <c r="P263" s="153"/>
      <c r="Q263" s="153"/>
      <c r="R263" s="153"/>
      <c r="S263" s="153"/>
      <c r="T263" s="153"/>
      <c r="U263" s="153"/>
      <c r="V263" s="153"/>
      <c r="W263" s="153"/>
      <c r="X263" s="153"/>
    </row>
    <row r="264" spans="14:24" s="27" customFormat="1" x14ac:dyDescent="0.25">
      <c r="N264" s="153"/>
      <c r="O264" s="172"/>
      <c r="P264" s="153"/>
      <c r="Q264" s="153"/>
      <c r="R264" s="153"/>
      <c r="S264" s="153"/>
      <c r="T264" s="153"/>
      <c r="U264" s="153"/>
      <c r="V264" s="153"/>
      <c r="W264" s="153"/>
      <c r="X264" s="153"/>
    </row>
    <row r="265" spans="14:24" s="27" customFormat="1" x14ac:dyDescent="0.25">
      <c r="N265" s="153"/>
      <c r="O265" s="172"/>
      <c r="P265" s="153"/>
      <c r="Q265" s="153"/>
      <c r="R265" s="153"/>
      <c r="S265" s="153"/>
      <c r="T265" s="153"/>
      <c r="U265" s="153"/>
      <c r="V265" s="153"/>
      <c r="W265" s="153"/>
      <c r="X265" s="153"/>
    </row>
    <row r="266" spans="14:24" s="27" customFormat="1" x14ac:dyDescent="0.25">
      <c r="N266" s="153"/>
      <c r="O266" s="172"/>
      <c r="P266" s="153"/>
      <c r="Q266" s="153"/>
      <c r="R266" s="153"/>
      <c r="S266" s="153"/>
      <c r="T266" s="153"/>
      <c r="U266" s="153"/>
      <c r="V266" s="153"/>
      <c r="W266" s="153"/>
      <c r="X266" s="153"/>
    </row>
    <row r="267" spans="14:24" s="27" customFormat="1" x14ac:dyDescent="0.25">
      <c r="N267" s="153"/>
      <c r="O267" s="172"/>
      <c r="P267" s="153"/>
      <c r="Q267" s="153"/>
      <c r="R267" s="153"/>
      <c r="S267" s="153"/>
      <c r="T267" s="153"/>
      <c r="U267" s="153"/>
      <c r="V267" s="153"/>
      <c r="W267" s="153"/>
      <c r="X267" s="153"/>
    </row>
    <row r="268" spans="14:24" s="27" customFormat="1" x14ac:dyDescent="0.25">
      <c r="N268" s="153"/>
      <c r="O268" s="172"/>
      <c r="P268" s="153"/>
      <c r="Q268" s="153"/>
      <c r="R268" s="153"/>
      <c r="S268" s="153"/>
      <c r="T268" s="153"/>
      <c r="U268" s="153"/>
      <c r="V268" s="153"/>
      <c r="W268" s="153"/>
      <c r="X268" s="153"/>
    </row>
    <row r="269" spans="14:24" s="27" customFormat="1" x14ac:dyDescent="0.25">
      <c r="N269" s="153"/>
      <c r="O269" s="172"/>
      <c r="P269" s="153"/>
      <c r="Q269" s="153"/>
      <c r="R269" s="153"/>
      <c r="S269" s="153"/>
      <c r="T269" s="153"/>
      <c r="U269" s="153"/>
      <c r="V269" s="153"/>
      <c r="W269" s="153"/>
      <c r="X269" s="153"/>
    </row>
    <row r="270" spans="14:24" s="27" customFormat="1" x14ac:dyDescent="0.25">
      <c r="N270" s="153"/>
      <c r="O270" s="172"/>
      <c r="P270" s="153"/>
      <c r="Q270" s="153"/>
      <c r="R270" s="153"/>
      <c r="S270" s="153"/>
      <c r="T270" s="153"/>
      <c r="U270" s="153"/>
      <c r="V270" s="153"/>
      <c r="W270" s="153"/>
      <c r="X270" s="153"/>
    </row>
    <row r="271" spans="14:24" s="27" customFormat="1" x14ac:dyDescent="0.25">
      <c r="N271" s="153"/>
      <c r="O271" s="172"/>
      <c r="P271" s="153"/>
      <c r="Q271" s="153"/>
      <c r="R271" s="153"/>
      <c r="S271" s="153"/>
      <c r="T271" s="153"/>
      <c r="U271" s="153"/>
      <c r="V271" s="153"/>
      <c r="W271" s="153"/>
      <c r="X271" s="153"/>
    </row>
    <row r="272" spans="14:24" s="27" customFormat="1" x14ac:dyDescent="0.25">
      <c r="N272" s="153"/>
      <c r="O272" s="172"/>
      <c r="P272" s="153"/>
      <c r="Q272" s="153"/>
      <c r="R272" s="153"/>
      <c r="S272" s="153"/>
      <c r="T272" s="153"/>
      <c r="U272" s="153"/>
      <c r="V272" s="153"/>
      <c r="W272" s="153"/>
      <c r="X272" s="153"/>
    </row>
    <row r="273" spans="14:24" s="27" customFormat="1" x14ac:dyDescent="0.25">
      <c r="N273" s="153"/>
      <c r="O273" s="172"/>
      <c r="P273" s="153"/>
      <c r="Q273" s="153"/>
      <c r="R273" s="153"/>
      <c r="S273" s="153"/>
      <c r="T273" s="153"/>
      <c r="U273" s="153"/>
      <c r="V273" s="153"/>
      <c r="W273" s="153"/>
      <c r="X273" s="153"/>
    </row>
    <row r="274" spans="14:24" s="27" customFormat="1" x14ac:dyDescent="0.25">
      <c r="N274" s="153"/>
      <c r="O274" s="172"/>
      <c r="P274" s="153"/>
      <c r="Q274" s="153"/>
      <c r="R274" s="153"/>
      <c r="S274" s="153"/>
      <c r="T274" s="153"/>
      <c r="U274" s="153"/>
      <c r="V274" s="153"/>
      <c r="W274" s="153"/>
      <c r="X274" s="153"/>
    </row>
    <row r="275" spans="14:24" s="27" customFormat="1" x14ac:dyDescent="0.25">
      <c r="N275" s="153"/>
      <c r="O275" s="172"/>
      <c r="P275" s="153"/>
      <c r="Q275" s="153"/>
      <c r="R275" s="153"/>
      <c r="S275" s="153"/>
      <c r="T275" s="153"/>
      <c r="U275" s="153"/>
      <c r="V275" s="153"/>
      <c r="W275" s="153"/>
      <c r="X275" s="153"/>
    </row>
    <row r="276" spans="14:24" s="27" customFormat="1" x14ac:dyDescent="0.25">
      <c r="N276" s="153"/>
      <c r="O276" s="172"/>
      <c r="P276" s="153"/>
      <c r="Q276" s="153"/>
      <c r="R276" s="153"/>
      <c r="S276" s="153"/>
      <c r="T276" s="153"/>
      <c r="U276" s="153"/>
      <c r="V276" s="153"/>
      <c r="W276" s="153"/>
      <c r="X276" s="153"/>
    </row>
    <row r="335" spans="20:26" ht="13.5" thickBot="1" x14ac:dyDescent="0.25">
      <c r="T335" s="176">
        <f t="shared" ref="T335:Y335" si="0">SUM(T96:T334)</f>
        <v>0</v>
      </c>
      <c r="U335" s="176">
        <f t="shared" si="0"/>
        <v>0</v>
      </c>
      <c r="V335" s="176">
        <f t="shared" si="0"/>
        <v>0</v>
      </c>
      <c r="W335" s="176">
        <f t="shared" si="0"/>
        <v>0</v>
      </c>
      <c r="X335" s="176">
        <f t="shared" si="0"/>
        <v>0</v>
      </c>
      <c r="Y335" s="176">
        <f t="shared" si="0"/>
        <v>0</v>
      </c>
      <c r="Z335" s="176">
        <f>SUM(T335:Y335)</f>
        <v>0</v>
      </c>
    </row>
    <row r="336" spans="20:26" ht="13.5" thickTop="1" x14ac:dyDescent="0.2"/>
  </sheetData>
  <mergeCells count="3">
    <mergeCell ref="A1:M1"/>
    <mergeCell ref="A2:M2"/>
    <mergeCell ref="A3:M3"/>
  </mergeCells>
  <printOptions horizontalCentered="1"/>
  <pageMargins left="0.25" right="0.25" top="0.25" bottom="0.5" header="0.25" footer="0.25"/>
  <pageSetup fitToHeight="2" orientation="portrait" verticalDpi="300" r:id="rId1"/>
  <headerFooter alignWithMargins="0">
    <oddFooter>&amp;L&amp;8&amp;A
&amp;D &amp;T&amp;R&amp;8&amp;F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W88"/>
  <sheetViews>
    <sheetView workbookViewId="0">
      <selection sqref="A1:V1"/>
    </sheetView>
  </sheetViews>
  <sheetFormatPr defaultRowHeight="12.75" x14ac:dyDescent="0.25"/>
  <cols>
    <col min="1" max="1" width="21.7109375" style="27" customWidth="1"/>
    <col min="2" max="2" width="0.85546875" style="27" customWidth="1"/>
    <col min="3" max="5" width="7.7109375" style="27" customWidth="1"/>
    <col min="6" max="6" width="0.85546875" style="27" customWidth="1"/>
    <col min="7" max="15" width="7.7109375" style="27" customWidth="1"/>
    <col min="16" max="16" width="0.85546875" style="27" customWidth="1"/>
    <col min="17" max="22" width="7.7109375" style="27" customWidth="1"/>
    <col min="23" max="23" width="0.85546875" style="27" customWidth="1"/>
    <col min="24" max="16384" width="9.140625" style="27"/>
  </cols>
  <sheetData>
    <row r="1" spans="1:23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W1" s="147"/>
    </row>
    <row r="2" spans="1:23" ht="16.5" x14ac:dyDescent="0.3">
      <c r="A2" s="379" t="s">
        <v>159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W2" s="148"/>
    </row>
    <row r="3" spans="1:23" ht="13.5" x14ac:dyDescent="0.25">
      <c r="A3" s="384" t="s">
        <v>476</v>
      </c>
      <c r="B3" s="384"/>
      <c r="C3" s="384"/>
      <c r="D3" s="384"/>
      <c r="E3" s="384"/>
      <c r="F3" s="384"/>
      <c r="G3" s="384"/>
      <c r="H3" s="384"/>
      <c r="I3" s="384"/>
      <c r="J3" s="384"/>
      <c r="K3" s="384"/>
      <c r="L3" s="384"/>
      <c r="M3" s="384"/>
      <c r="N3" s="384"/>
      <c r="O3" s="384"/>
      <c r="P3" s="384"/>
      <c r="Q3" s="384"/>
      <c r="R3" s="384"/>
      <c r="S3" s="384"/>
      <c r="T3" s="384"/>
      <c r="U3" s="384"/>
      <c r="V3" s="384"/>
      <c r="W3" s="149"/>
    </row>
    <row r="4" spans="1:23" ht="3" customHeight="1" x14ac:dyDescent="0.25"/>
    <row r="5" spans="1:23" ht="12" customHeight="1" x14ac:dyDescent="0.25">
      <c r="A5" s="28"/>
      <c r="C5" s="381" t="s">
        <v>15</v>
      </c>
      <c r="D5" s="382"/>
      <c r="E5" s="383"/>
      <c r="G5" s="381" t="s">
        <v>72</v>
      </c>
      <c r="H5" s="382"/>
      <c r="I5" s="382"/>
      <c r="J5" s="382"/>
      <c r="K5" s="382"/>
      <c r="L5" s="382"/>
      <c r="M5" s="382"/>
      <c r="N5" s="382"/>
      <c r="O5" s="383"/>
      <c r="Q5" s="381" t="s">
        <v>61</v>
      </c>
      <c r="R5" s="382"/>
      <c r="S5" s="382"/>
      <c r="T5" s="382"/>
      <c r="U5" s="382"/>
      <c r="V5" s="383"/>
    </row>
    <row r="6" spans="1:23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1" t="s">
        <v>129</v>
      </c>
      <c r="S6" s="32" t="s">
        <v>23</v>
      </c>
      <c r="T6" s="31" t="s">
        <v>22</v>
      </c>
      <c r="U6" s="31" t="s">
        <v>25</v>
      </c>
      <c r="V6" s="28"/>
    </row>
    <row r="7" spans="1:23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</row>
    <row r="8" spans="1:23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23" ht="12" customHeight="1" x14ac:dyDescent="0.25">
      <c r="A9" s="29" t="s">
        <v>3</v>
      </c>
      <c r="B9" s="38"/>
      <c r="C9" s="59" t="e">
        <f ca="1">GrossMargin!N10</f>
        <v>#NAME?</v>
      </c>
      <c r="D9" s="60" t="e">
        <f ca="1">Expenses!E9+'CapChrg-AllocExp'!E10+'CapChrg-AllocExp'!L10</f>
        <v>#NAME?</v>
      </c>
      <c r="E9" s="84" t="e">
        <f ca="1">C9-D9</f>
        <v>#NAME?</v>
      </c>
      <c r="F9" s="42"/>
      <c r="G9" s="59">
        <f>GrossMargin!J10</f>
        <v>37748</v>
      </c>
      <c r="H9" s="60">
        <f>GrossMargin!K10</f>
        <v>0</v>
      </c>
      <c r="I9" s="60">
        <f>GrossMargin!L10</f>
        <v>0</v>
      </c>
      <c r="J9" s="82">
        <f>SUM(G9:I9)</f>
        <v>37748</v>
      </c>
      <c r="K9" s="178"/>
      <c r="L9" s="60" t="e">
        <f ca="1">'CapChrg-AllocExp'!D10</f>
        <v>#NAME?</v>
      </c>
      <c r="M9" s="60" t="e">
        <f ca="1">Expenses!D9</f>
        <v>#NAME?</v>
      </c>
      <c r="N9" s="61" t="e">
        <f ca="1">'CapChrg-AllocExp'!K10</f>
        <v>#NAME?</v>
      </c>
      <c r="O9" s="82" t="e">
        <f ca="1">J9-K9-M9-N9-L9</f>
        <v>#NAME?</v>
      </c>
      <c r="P9" s="44"/>
      <c r="Q9" s="59" t="e">
        <f ca="1">GrossMargin!O10</f>
        <v>#NAME?</v>
      </c>
      <c r="R9" s="60"/>
      <c r="S9" s="60" t="e">
        <f ca="1">'CapChrg-AllocExp'!F10</f>
        <v>#NAME?</v>
      </c>
      <c r="T9" s="60" t="e">
        <f ca="1">Expenses!F9</f>
        <v>#NAME?</v>
      </c>
      <c r="U9" s="60" t="e">
        <f ca="1">'CapChrg-AllocExp'!M10</f>
        <v>#NAME?</v>
      </c>
      <c r="V9" s="84" t="e">
        <f ca="1">ROUND(SUM(Q9:U9),0)</f>
        <v>#NAME?</v>
      </c>
    </row>
    <row r="10" spans="1:23" ht="12" customHeight="1" x14ac:dyDescent="0.25">
      <c r="A10" s="29" t="s">
        <v>106</v>
      </c>
      <c r="B10" s="38"/>
      <c r="C10" s="41">
        <f>GrossMargin!N11</f>
        <v>67236</v>
      </c>
      <c r="D10" s="42" t="e">
        <f ca="1">Expenses!E10+'CapChrg-AllocExp'!E11+'CapChrg-AllocExp'!L11+Expenses!E55</f>
        <v>#NAME?</v>
      </c>
      <c r="E10" s="66" t="e">
        <f t="shared" ref="E10:E17" ca="1" si="0">C10-D10</f>
        <v>#NAME?</v>
      </c>
      <c r="F10" s="42"/>
      <c r="G10" s="41">
        <f>GrossMargin!J11</f>
        <v>40629</v>
      </c>
      <c r="H10" s="42">
        <f>GrossMargin!K11</f>
        <v>0</v>
      </c>
      <c r="I10" s="42">
        <f>GrossMargin!L11</f>
        <v>0</v>
      </c>
      <c r="J10" s="83">
        <f t="shared" ref="J10:J16" si="1">SUM(G10:I10)</f>
        <v>40629</v>
      </c>
      <c r="K10" s="42">
        <f>Expenses!D55</f>
        <v>5727</v>
      </c>
      <c r="L10" s="42">
        <f>'CapChrg-AllocExp'!D11</f>
        <v>5863</v>
      </c>
      <c r="M10" s="42" t="e">
        <f ca="1">Expenses!D10</f>
        <v>#NAME?</v>
      </c>
      <c r="N10" s="43" t="e">
        <f ca="1">'CapChrg-AllocExp'!K11</f>
        <v>#NAME?</v>
      </c>
      <c r="O10" s="83" t="e">
        <f t="shared" ref="O10:O18" ca="1" si="2">J10-K10-M10-N10-L10</f>
        <v>#NAME?</v>
      </c>
      <c r="P10" s="44"/>
      <c r="Q10" s="41">
        <f>GrossMargin!O11</f>
        <v>-26607</v>
      </c>
      <c r="R10" s="42">
        <f>Expenses!F55</f>
        <v>3062</v>
      </c>
      <c r="S10" s="42" t="e">
        <f ca="1">'CapChrg-AllocExp'!F11</f>
        <v>#NAME?</v>
      </c>
      <c r="T10" s="42" t="e">
        <f ca="1">Expenses!F10</f>
        <v>#NAME?</v>
      </c>
      <c r="U10" s="42" t="e">
        <f ca="1">'CapChrg-AllocExp'!M11</f>
        <v>#NAME?</v>
      </c>
      <c r="V10" s="66" t="e">
        <f t="shared" ref="V10:V16" ca="1" si="3">ROUND(SUM(Q10:U10),0)</f>
        <v>#NAME?</v>
      </c>
    </row>
    <row r="11" spans="1:23" ht="12" customHeight="1" x14ac:dyDescent="0.25">
      <c r="A11" s="29" t="s">
        <v>132</v>
      </c>
      <c r="B11" s="38"/>
      <c r="C11" s="41" t="e">
        <f ca="1">GrossMargin!N12</f>
        <v>#NAME?</v>
      </c>
      <c r="D11" s="42" t="e">
        <f ca="1">Expenses!E11+'CapChrg-AllocExp'!E12+'CapChrg-AllocExp'!L12</f>
        <v>#NAME?</v>
      </c>
      <c r="E11" s="66" t="e">
        <f t="shared" ca="1" si="0"/>
        <v>#NAME?</v>
      </c>
      <c r="F11" s="42"/>
      <c r="G11" s="41">
        <f>GrossMargin!J12</f>
        <v>9797</v>
      </c>
      <c r="H11" s="42">
        <f>GrossMargin!K12</f>
        <v>0</v>
      </c>
      <c r="I11" s="42">
        <f>GrossMargin!L12</f>
        <v>0</v>
      </c>
      <c r="J11" s="83">
        <f t="shared" si="1"/>
        <v>9797</v>
      </c>
      <c r="K11" s="65"/>
      <c r="L11" s="42" t="e">
        <f ca="1">'CapChrg-AllocExp'!D12</f>
        <v>#NAME?</v>
      </c>
      <c r="M11" s="42" t="e">
        <f ca="1">Expenses!D11</f>
        <v>#NAME?</v>
      </c>
      <c r="N11" s="43" t="e">
        <f ca="1">'CapChrg-AllocExp'!K12</f>
        <v>#NAME?</v>
      </c>
      <c r="O11" s="83" t="e">
        <f t="shared" ca="1" si="2"/>
        <v>#NAME?</v>
      </c>
      <c r="P11" s="44"/>
      <c r="Q11" s="41" t="e">
        <f ca="1">GrossMargin!O12</f>
        <v>#NAME?</v>
      </c>
      <c r="R11" s="42"/>
      <c r="S11" s="42" t="e">
        <f ca="1">'CapChrg-AllocExp'!F12</f>
        <v>#NAME?</v>
      </c>
      <c r="T11" s="42" t="e">
        <f ca="1">Expenses!F11</f>
        <v>#NAME?</v>
      </c>
      <c r="U11" s="42" t="e">
        <f ca="1">'CapChrg-AllocExp'!M12</f>
        <v>#NAME?</v>
      </c>
      <c r="V11" s="66" t="e">
        <f t="shared" ca="1" si="3"/>
        <v>#NAME?</v>
      </c>
    </row>
    <row r="12" spans="1:23" ht="12" customHeight="1" x14ac:dyDescent="0.25">
      <c r="A12" s="29" t="s">
        <v>133</v>
      </c>
      <c r="B12" s="38"/>
      <c r="C12" s="41" t="e">
        <f ca="1">GrossMargin!N13</f>
        <v>#NAME?</v>
      </c>
      <c r="D12" s="42" t="e">
        <f ca="1">Expenses!E12+'CapChrg-AllocExp'!E13+'CapChrg-AllocExp'!L13</f>
        <v>#NAME?</v>
      </c>
      <c r="E12" s="66" t="e">
        <f ca="1">C12-D12</f>
        <v>#NAME?</v>
      </c>
      <c r="F12" s="42"/>
      <c r="G12" s="41">
        <f>GrossMargin!J13</f>
        <v>529</v>
      </c>
      <c r="H12" s="42">
        <f>GrossMargin!K13</f>
        <v>0</v>
      </c>
      <c r="I12" s="42">
        <f>GrossMargin!L13</f>
        <v>0</v>
      </c>
      <c r="J12" s="83">
        <f>SUM(G12:I12)</f>
        <v>529</v>
      </c>
      <c r="K12" s="65"/>
      <c r="L12" s="42" t="e">
        <f ca="1">'CapChrg-AllocExp'!D13</f>
        <v>#NAME?</v>
      </c>
      <c r="M12" s="42" t="e">
        <f ca="1">Expenses!D12</f>
        <v>#NAME?</v>
      </c>
      <c r="N12" s="43" t="e">
        <f ca="1">'CapChrg-AllocExp'!K13</f>
        <v>#NAME?</v>
      </c>
      <c r="O12" s="83" t="e">
        <f ca="1">J12-K12-M12-N12-L12</f>
        <v>#NAME?</v>
      </c>
      <c r="P12" s="44"/>
      <c r="Q12" s="41" t="e">
        <f ca="1">GrossMargin!O13</f>
        <v>#NAME?</v>
      </c>
      <c r="R12" s="42"/>
      <c r="S12" s="42" t="e">
        <f ca="1">'CapChrg-AllocExp'!F13</f>
        <v>#NAME?</v>
      </c>
      <c r="T12" s="42" t="e">
        <f ca="1">Expenses!F12</f>
        <v>#NAME?</v>
      </c>
      <c r="U12" s="42" t="e">
        <f ca="1">'CapChrg-AllocExp'!M13</f>
        <v>#NAME?</v>
      </c>
      <c r="V12" s="66" t="e">
        <f ca="1">ROUND(SUM(Q12:U12),0)</f>
        <v>#NAME?</v>
      </c>
    </row>
    <row r="13" spans="1:23" ht="12" customHeight="1" x14ac:dyDescent="0.25">
      <c r="A13" s="29" t="s">
        <v>423</v>
      </c>
      <c r="B13" s="38"/>
      <c r="C13" s="41">
        <f>GrossMargin!N14</f>
        <v>11556</v>
      </c>
      <c r="D13" s="42" t="e">
        <f ca="1">Expenses!E13+'CapChrg-AllocExp'!E14+'CapChrg-AllocExp'!L14</f>
        <v>#NAME?</v>
      </c>
      <c r="E13" s="66" t="e">
        <f t="shared" ca="1" si="0"/>
        <v>#NAME?</v>
      </c>
      <c r="F13" s="42"/>
      <c r="G13" s="41">
        <f>GrossMargin!J14</f>
        <v>4334</v>
      </c>
      <c r="H13" s="42">
        <f>GrossMargin!K14</f>
        <v>0</v>
      </c>
      <c r="I13" s="42">
        <f>GrossMargin!L14</f>
        <v>0</v>
      </c>
      <c r="J13" s="83">
        <f>SUM(G13:I13)</f>
        <v>4334</v>
      </c>
      <c r="K13" s="65"/>
      <c r="L13" s="42">
        <f>'CapChrg-AllocExp'!D14</f>
        <v>0</v>
      </c>
      <c r="M13" s="42" t="e">
        <f ca="1">Expenses!D13</f>
        <v>#NAME?</v>
      </c>
      <c r="N13" s="43" t="e">
        <f ca="1">'CapChrg-AllocExp'!K14</f>
        <v>#NAME?</v>
      </c>
      <c r="O13" s="83" t="e">
        <f t="shared" ca="1" si="2"/>
        <v>#NAME?</v>
      </c>
      <c r="P13" s="44"/>
      <c r="Q13" s="41">
        <f>GrossMargin!O14</f>
        <v>-7222</v>
      </c>
      <c r="R13" s="42"/>
      <c r="S13" s="42">
        <f>'CapChrg-AllocExp'!F14</f>
        <v>0</v>
      </c>
      <c r="T13" s="42" t="e">
        <f ca="1">Expenses!F13</f>
        <v>#NAME?</v>
      </c>
      <c r="U13" s="42" t="e">
        <f ca="1">'CapChrg-AllocExp'!M14</f>
        <v>#NAME?</v>
      </c>
      <c r="V13" s="66" t="e">
        <f ca="1">ROUND(SUM(Q13:U13),0)</f>
        <v>#NAME?</v>
      </c>
    </row>
    <row r="14" spans="1:23" ht="12" customHeight="1" x14ac:dyDescent="0.25">
      <c r="A14" s="29" t="s">
        <v>5</v>
      </c>
      <c r="B14" s="38"/>
      <c r="C14" s="41" t="e">
        <f ca="1">GrossMargin!N15</f>
        <v>#NAME?</v>
      </c>
      <c r="D14" s="42" t="e">
        <f ca="1">Expenses!E14+'CapChrg-AllocExp'!E15+'CapChrg-AllocExp'!L15</f>
        <v>#NAME?</v>
      </c>
      <c r="E14" s="66" t="e">
        <f t="shared" ca="1" si="0"/>
        <v>#NAME?</v>
      </c>
      <c r="F14" s="42"/>
      <c r="G14" s="41">
        <f>GrossMargin!J15</f>
        <v>2482</v>
      </c>
      <c r="H14" s="42">
        <f>GrossMargin!K15</f>
        <v>0</v>
      </c>
      <c r="I14" s="42">
        <f>GrossMargin!L15</f>
        <v>0</v>
      </c>
      <c r="J14" s="83">
        <f t="shared" si="1"/>
        <v>2482</v>
      </c>
      <c r="K14" s="65"/>
      <c r="L14" s="42">
        <f>'CapChrg-AllocExp'!D15</f>
        <v>626</v>
      </c>
      <c r="M14" s="42" t="e">
        <f ca="1">Expenses!D14</f>
        <v>#NAME?</v>
      </c>
      <c r="N14" s="43" t="e">
        <f ca="1">'CapChrg-AllocExp'!K15</f>
        <v>#NAME?</v>
      </c>
      <c r="O14" s="83" t="e">
        <f t="shared" ca="1" si="2"/>
        <v>#NAME?</v>
      </c>
      <c r="P14" s="44"/>
      <c r="Q14" s="41" t="e">
        <f ca="1">GrossMargin!O15</f>
        <v>#NAME?</v>
      </c>
      <c r="R14" s="42"/>
      <c r="S14" s="42" t="e">
        <f ca="1">'CapChrg-AllocExp'!F15</f>
        <v>#NAME?</v>
      </c>
      <c r="T14" s="42" t="e">
        <f ca="1">Expenses!F14</f>
        <v>#NAME?</v>
      </c>
      <c r="U14" s="42" t="e">
        <f ca="1">'CapChrg-AllocExp'!M15</f>
        <v>#NAME?</v>
      </c>
      <c r="V14" s="66" t="e">
        <f t="shared" ca="1" si="3"/>
        <v>#NAME?</v>
      </c>
    </row>
    <row r="15" spans="1:23" ht="12" customHeight="1" x14ac:dyDescent="0.25">
      <c r="A15" s="29" t="s">
        <v>155</v>
      </c>
      <c r="B15" s="38"/>
      <c r="C15" s="41" t="e">
        <f ca="1">GrossMargin!N16</f>
        <v>#NAME?</v>
      </c>
      <c r="D15" s="42" t="e">
        <f ca="1">Expenses!E15+'CapChrg-AllocExp'!E16+'CapChrg-AllocExp'!L16</f>
        <v>#NAME?</v>
      </c>
      <c r="E15" s="66" t="e">
        <f t="shared" ca="1" si="0"/>
        <v>#NAME?</v>
      </c>
      <c r="F15" s="42"/>
      <c r="G15" s="41">
        <f>GrossMargin!J16</f>
        <v>246</v>
      </c>
      <c r="H15" s="42">
        <f>GrossMargin!K16</f>
        <v>0</v>
      </c>
      <c r="I15" s="42">
        <f>GrossMargin!L16</f>
        <v>0</v>
      </c>
      <c r="J15" s="83">
        <f t="shared" si="1"/>
        <v>246</v>
      </c>
      <c r="K15" s="65"/>
      <c r="L15" s="42" t="e">
        <f ca="1">'CapChrg-AllocExp'!D16</f>
        <v>#NAME?</v>
      </c>
      <c r="M15" s="42" t="e">
        <f ca="1">Expenses!D15</f>
        <v>#NAME?</v>
      </c>
      <c r="N15" s="43" t="e">
        <f ca="1">'CapChrg-AllocExp'!K16</f>
        <v>#NAME?</v>
      </c>
      <c r="O15" s="83" t="e">
        <f t="shared" ca="1" si="2"/>
        <v>#NAME?</v>
      </c>
      <c r="P15" s="44"/>
      <c r="Q15" s="41" t="e">
        <f ca="1">GrossMargin!O16</f>
        <v>#NAME?</v>
      </c>
      <c r="R15" s="42"/>
      <c r="S15" s="42" t="e">
        <f ca="1">'CapChrg-AllocExp'!F16</f>
        <v>#NAME?</v>
      </c>
      <c r="T15" s="42" t="e">
        <f ca="1">Expenses!F15</f>
        <v>#NAME?</v>
      </c>
      <c r="U15" s="42" t="e">
        <f ca="1">'CapChrg-AllocExp'!M16</f>
        <v>#NAME?</v>
      </c>
      <c r="V15" s="66" t="e">
        <f t="shared" ca="1" si="3"/>
        <v>#NAME?</v>
      </c>
    </row>
    <row r="16" spans="1:23" ht="12" customHeight="1" x14ac:dyDescent="0.25">
      <c r="A16" s="29" t="s">
        <v>107</v>
      </c>
      <c r="B16" s="38"/>
      <c r="C16" s="41" t="e">
        <f ca="1">GrossMargin!N17</f>
        <v>#NAME?</v>
      </c>
      <c r="D16" s="42" t="e">
        <f ca="1">Expenses!E16+'CapChrg-AllocExp'!E17+'CapChrg-AllocExp'!L17</f>
        <v>#NAME?</v>
      </c>
      <c r="E16" s="66" t="e">
        <f t="shared" ca="1" si="0"/>
        <v>#NAME?</v>
      </c>
      <c r="F16" s="42"/>
      <c r="G16" s="41">
        <f>GrossMargin!J17</f>
        <v>-938</v>
      </c>
      <c r="H16" s="42">
        <f>GrossMargin!K17</f>
        <v>0</v>
      </c>
      <c r="I16" s="42">
        <f>GrossMargin!L17</f>
        <v>0</v>
      </c>
      <c r="J16" s="83">
        <f t="shared" si="1"/>
        <v>-938</v>
      </c>
      <c r="K16" s="65"/>
      <c r="L16" s="42" t="e">
        <f ca="1">'CapChrg-AllocExp'!D17</f>
        <v>#NAME?</v>
      </c>
      <c r="M16" s="42" t="e">
        <f ca="1">Expenses!D16</f>
        <v>#NAME?</v>
      </c>
      <c r="N16" s="43" t="e">
        <f ca="1">'CapChrg-AllocExp'!K17</f>
        <v>#NAME?</v>
      </c>
      <c r="O16" s="83" t="e">
        <f t="shared" ca="1" si="2"/>
        <v>#NAME?</v>
      </c>
      <c r="P16" s="44"/>
      <c r="Q16" s="41" t="e">
        <f ca="1">GrossMargin!O17</f>
        <v>#NAME?</v>
      </c>
      <c r="R16" s="42"/>
      <c r="S16" s="42" t="e">
        <f ca="1">'CapChrg-AllocExp'!F17</f>
        <v>#NAME?</v>
      </c>
      <c r="T16" s="42" t="e">
        <f ca="1">Expenses!F16</f>
        <v>#NAME?</v>
      </c>
      <c r="U16" s="42" t="e">
        <f ca="1">'CapChrg-AllocExp'!M17</f>
        <v>#NAME?</v>
      </c>
      <c r="V16" s="66" t="e">
        <f t="shared" ca="1" si="3"/>
        <v>#NAME?</v>
      </c>
    </row>
    <row r="17" spans="1:22" ht="12" customHeight="1" x14ac:dyDescent="0.25">
      <c r="A17" s="29" t="s">
        <v>156</v>
      </c>
      <c r="B17" s="38"/>
      <c r="C17" s="41" t="e">
        <f ca="1">GrossMargin!N18</f>
        <v>#NAME?</v>
      </c>
      <c r="D17" s="42" t="e">
        <f ca="1">Expenses!E17+'CapChrg-AllocExp'!E18+'CapChrg-AllocExp'!L18</f>
        <v>#NAME?</v>
      </c>
      <c r="E17" s="66" t="e">
        <f t="shared" ca="1" si="0"/>
        <v>#NAME?</v>
      </c>
      <c r="F17" s="42"/>
      <c r="G17" s="41">
        <f>GrossMargin!J18</f>
        <v>0</v>
      </c>
      <c r="H17" s="42">
        <f>GrossMargin!K18</f>
        <v>0</v>
      </c>
      <c r="I17" s="42">
        <f>GrossMargin!L18</f>
        <v>0</v>
      </c>
      <c r="J17" s="83">
        <f>SUM(G17:I17)</f>
        <v>0</v>
      </c>
      <c r="K17" s="65"/>
      <c r="L17" s="42" t="e">
        <f ca="1">'CapChrg-AllocExp'!D18</f>
        <v>#NAME?</v>
      </c>
      <c r="M17" s="42">
        <f>Expenses!D17</f>
        <v>1364</v>
      </c>
      <c r="N17" s="43">
        <f>'CapChrg-AllocExp'!K18</f>
        <v>448</v>
      </c>
      <c r="O17" s="83" t="e">
        <f t="shared" ca="1" si="2"/>
        <v>#NAME?</v>
      </c>
      <c r="P17" s="44"/>
      <c r="Q17" s="41" t="e">
        <f ca="1">GrossMargin!O18</f>
        <v>#NAME?</v>
      </c>
      <c r="R17" s="42"/>
      <c r="S17" s="42" t="e">
        <f ca="1">'CapChrg-AllocExp'!F18</f>
        <v>#NAME?</v>
      </c>
      <c r="T17" s="42" t="e">
        <f ca="1">Expenses!F17</f>
        <v>#NAME?</v>
      </c>
      <c r="U17" s="42" t="e">
        <f ca="1">'CapChrg-AllocExp'!M18</f>
        <v>#NAME?</v>
      </c>
      <c r="V17" s="66" t="e">
        <f ca="1">ROUND(SUM(Q17:U17),0)</f>
        <v>#NAME?</v>
      </c>
    </row>
    <row r="18" spans="1:22" s="90" customFormat="1" ht="12" customHeight="1" x14ac:dyDescent="0.25">
      <c r="A18" s="94" t="s">
        <v>130</v>
      </c>
      <c r="B18" s="91"/>
      <c r="C18" s="99" t="e">
        <f ca="1">SUM(C9:C17)</f>
        <v>#NAME?</v>
      </c>
      <c r="D18" s="100" t="e">
        <f ca="1">SUM(D9:D17)</f>
        <v>#NAME?</v>
      </c>
      <c r="E18" s="101" t="e">
        <f ca="1">SUM(E9:E17)</f>
        <v>#NAME?</v>
      </c>
      <c r="F18" s="92"/>
      <c r="G18" s="99">
        <f t="shared" ref="G18:N18" si="4">SUM(G9:G17)</f>
        <v>94827</v>
      </c>
      <c r="H18" s="100">
        <f t="shared" si="4"/>
        <v>0</v>
      </c>
      <c r="I18" s="100">
        <f t="shared" si="4"/>
        <v>0</v>
      </c>
      <c r="J18" s="102">
        <f t="shared" si="4"/>
        <v>94827</v>
      </c>
      <c r="K18" s="100">
        <f t="shared" si="4"/>
        <v>5727</v>
      </c>
      <c r="L18" s="100" t="e">
        <f t="shared" ca="1" si="4"/>
        <v>#NAME?</v>
      </c>
      <c r="M18" s="100" t="e">
        <f t="shared" ca="1" si="4"/>
        <v>#NAME?</v>
      </c>
      <c r="N18" s="101" t="e">
        <f t="shared" ca="1" si="4"/>
        <v>#NAME?</v>
      </c>
      <c r="O18" s="102" t="e">
        <f t="shared" ca="1" si="2"/>
        <v>#NAME?</v>
      </c>
      <c r="P18" s="93"/>
      <c r="Q18" s="99" t="e">
        <f t="shared" ref="Q18:V18" ca="1" si="5">SUM(Q9:Q17)</f>
        <v>#NAME?</v>
      </c>
      <c r="R18" s="100">
        <f t="shared" si="5"/>
        <v>3062</v>
      </c>
      <c r="S18" s="100" t="e">
        <f t="shared" ca="1" si="5"/>
        <v>#NAME?</v>
      </c>
      <c r="T18" s="100" t="e">
        <f t="shared" ca="1" si="5"/>
        <v>#NAME?</v>
      </c>
      <c r="U18" s="100" t="e">
        <f t="shared" ca="1" si="5"/>
        <v>#NAME?</v>
      </c>
      <c r="V18" s="101" t="e">
        <f t="shared" ca="1" si="5"/>
        <v>#NAME?</v>
      </c>
    </row>
    <row r="19" spans="1:22" ht="3" customHeight="1" x14ac:dyDescent="0.25">
      <c r="A19" s="29"/>
      <c r="B19" s="38"/>
      <c r="C19" s="41"/>
      <c r="D19" s="42"/>
      <c r="E19" s="66"/>
      <c r="F19" s="42"/>
      <c r="G19" s="41"/>
      <c r="H19" s="42"/>
      <c r="I19" s="42"/>
      <c r="J19" s="83"/>
      <c r="K19" s="65"/>
      <c r="L19" s="65"/>
      <c r="M19" s="42"/>
      <c r="N19" s="43"/>
      <c r="O19" s="83"/>
      <c r="P19" s="44"/>
      <c r="Q19" s="41"/>
      <c r="R19" s="42"/>
      <c r="S19" s="42"/>
      <c r="T19" s="42"/>
      <c r="U19" s="42"/>
      <c r="V19" s="66"/>
    </row>
    <row r="20" spans="1:22" ht="12" customHeight="1" x14ac:dyDescent="0.25">
      <c r="A20" s="29" t="s">
        <v>88</v>
      </c>
      <c r="B20" s="38"/>
      <c r="C20" s="41" t="e">
        <f ca="1">GrossMargin!N22</f>
        <v>#NAME?</v>
      </c>
      <c r="D20" s="42" t="e">
        <f ca="1">Expenses!E20+'CapChrg-AllocExp'!E21+'CapChrg-AllocExp'!L21</f>
        <v>#NAME?</v>
      </c>
      <c r="E20" s="66" t="e">
        <f t="shared" ref="E20:E25" ca="1" si="6">C20-D20</f>
        <v>#NAME?</v>
      </c>
      <c r="F20" s="42"/>
      <c r="G20" s="41">
        <f>GrossMargin!J22</f>
        <v>0</v>
      </c>
      <c r="H20" s="42">
        <f>GrossMargin!K22</f>
        <v>0</v>
      </c>
      <c r="I20" s="42">
        <f>GrossMargin!L22</f>
        <v>0</v>
      </c>
      <c r="J20" s="83">
        <f t="shared" ref="J20:J25" si="7">SUM(G20:I20)</f>
        <v>0</v>
      </c>
      <c r="K20" s="65"/>
      <c r="L20" s="42" t="e">
        <f ca="1">'CapChrg-AllocExp'!D21</f>
        <v>#NAME?</v>
      </c>
      <c r="M20" s="42" t="e">
        <f ca="1">Expenses!D20</f>
        <v>#NAME?</v>
      </c>
      <c r="N20" s="43" t="e">
        <f ca="1">'CapChrg-AllocExp'!K21</f>
        <v>#NAME?</v>
      </c>
      <c r="O20" s="83" t="e">
        <f t="shared" ref="O20:O26" ca="1" si="8">J20-K20-M20-N20-L20</f>
        <v>#NAME?</v>
      </c>
      <c r="P20" s="44"/>
      <c r="Q20" s="41" t="e">
        <f ca="1">GrossMargin!O22</f>
        <v>#NAME?</v>
      </c>
      <c r="R20" s="42"/>
      <c r="S20" s="42" t="e">
        <f ca="1">'CapChrg-AllocExp'!F21</f>
        <v>#NAME?</v>
      </c>
      <c r="T20" s="42" t="e">
        <f ca="1">Expenses!F20</f>
        <v>#NAME?</v>
      </c>
      <c r="U20" s="42" t="e">
        <f ca="1">'CapChrg-AllocExp'!M21</f>
        <v>#NAME?</v>
      </c>
      <c r="V20" s="66" t="e">
        <f t="shared" ref="V20:V25" ca="1" si="9">ROUND(SUM(Q20:U20),0)</f>
        <v>#NAME?</v>
      </c>
    </row>
    <row r="21" spans="1:22" ht="12" customHeight="1" x14ac:dyDescent="0.25">
      <c r="A21" s="29" t="s">
        <v>89</v>
      </c>
      <c r="B21" s="38"/>
      <c r="C21" s="41" t="e">
        <f ca="1">GrossMargin!N23</f>
        <v>#NAME?</v>
      </c>
      <c r="D21" s="42" t="e">
        <f ca="1">Expenses!E21+'CapChrg-AllocExp'!E22+'CapChrg-AllocExp'!L22</f>
        <v>#NAME?</v>
      </c>
      <c r="E21" s="66" t="e">
        <f t="shared" ca="1" si="6"/>
        <v>#NAME?</v>
      </c>
      <c r="F21" s="42"/>
      <c r="G21" s="41">
        <f>GrossMargin!J23</f>
        <v>494</v>
      </c>
      <c r="H21" s="42">
        <f>GrossMargin!K23</f>
        <v>0</v>
      </c>
      <c r="I21" s="42">
        <f>GrossMargin!L23</f>
        <v>0</v>
      </c>
      <c r="J21" s="83">
        <f t="shared" si="7"/>
        <v>494</v>
      </c>
      <c r="K21" s="65"/>
      <c r="L21" s="42">
        <f>'CapChrg-AllocExp'!D22</f>
        <v>943</v>
      </c>
      <c r="M21" s="42" t="e">
        <f ca="1">Expenses!D21</f>
        <v>#NAME?</v>
      </c>
      <c r="N21" s="43" t="e">
        <f ca="1">'CapChrg-AllocExp'!K22</f>
        <v>#NAME?</v>
      </c>
      <c r="O21" s="83" t="e">
        <f t="shared" ca="1" si="8"/>
        <v>#NAME?</v>
      </c>
      <c r="P21" s="44"/>
      <c r="Q21" s="41" t="e">
        <f ca="1">GrossMargin!O23</f>
        <v>#NAME?</v>
      </c>
      <c r="R21" s="42"/>
      <c r="S21" s="42" t="e">
        <f ca="1">'CapChrg-AllocExp'!F22</f>
        <v>#NAME?</v>
      </c>
      <c r="T21" s="42" t="e">
        <f ca="1">Expenses!F21</f>
        <v>#NAME?</v>
      </c>
      <c r="U21" s="42" t="e">
        <f ca="1">'CapChrg-AllocExp'!M22</f>
        <v>#NAME?</v>
      </c>
      <c r="V21" s="66" t="e">
        <f t="shared" ca="1" si="9"/>
        <v>#NAME?</v>
      </c>
    </row>
    <row r="22" spans="1:22" ht="12" customHeight="1" x14ac:dyDescent="0.25">
      <c r="A22" s="29" t="s">
        <v>275</v>
      </c>
      <c r="B22" s="38"/>
      <c r="C22" s="41" t="e">
        <f ca="1">GrossMargin!N24</f>
        <v>#NAME?</v>
      </c>
      <c r="D22" s="42" t="e">
        <f ca="1">Expenses!E22+'CapChrg-AllocExp'!E23+'CapChrg-AllocExp'!L23</f>
        <v>#NAME?</v>
      </c>
      <c r="E22" s="66" t="e">
        <f t="shared" ca="1" si="6"/>
        <v>#NAME?</v>
      </c>
      <c r="F22" s="42"/>
      <c r="G22" s="41">
        <f>GrossMargin!J24</f>
        <v>787</v>
      </c>
      <c r="H22" s="42">
        <f>GrossMargin!K24</f>
        <v>0</v>
      </c>
      <c r="I22" s="42">
        <f>GrossMargin!L24</f>
        <v>0</v>
      </c>
      <c r="J22" s="83">
        <f t="shared" si="7"/>
        <v>787</v>
      </c>
      <c r="K22" s="65"/>
      <c r="L22" s="42">
        <f>'CapChrg-AllocExp'!D23</f>
        <v>109</v>
      </c>
      <c r="M22" s="42" t="e">
        <f ca="1">Expenses!D22</f>
        <v>#NAME?</v>
      </c>
      <c r="N22" s="43" t="e">
        <f ca="1">'CapChrg-AllocExp'!K23</f>
        <v>#NAME?</v>
      </c>
      <c r="O22" s="83" t="e">
        <f t="shared" ca="1" si="8"/>
        <v>#NAME?</v>
      </c>
      <c r="P22" s="44"/>
      <c r="Q22" s="41" t="e">
        <f ca="1">GrossMargin!O24</f>
        <v>#NAME?</v>
      </c>
      <c r="R22" s="42"/>
      <c r="S22" s="42" t="e">
        <f ca="1">'CapChrg-AllocExp'!F23</f>
        <v>#NAME?</v>
      </c>
      <c r="T22" s="42" t="e">
        <f ca="1">Expenses!F22</f>
        <v>#NAME?</v>
      </c>
      <c r="U22" s="42" t="e">
        <f ca="1">'CapChrg-AllocExp'!M23</f>
        <v>#NAME?</v>
      </c>
      <c r="V22" s="66" t="e">
        <f t="shared" ca="1" si="9"/>
        <v>#NAME?</v>
      </c>
    </row>
    <row r="23" spans="1:22" ht="12" customHeight="1" x14ac:dyDescent="0.25">
      <c r="A23" s="29" t="s">
        <v>104</v>
      </c>
      <c r="B23" s="38"/>
      <c r="C23" s="41" t="e">
        <f ca="1">GrossMargin!N25</f>
        <v>#NAME?</v>
      </c>
      <c r="D23" s="42" t="e">
        <f ca="1">Expenses!E23+'CapChrg-AllocExp'!E24+'CapChrg-AllocExp'!L24</f>
        <v>#NAME?</v>
      </c>
      <c r="E23" s="66" t="e">
        <f t="shared" ca="1" si="6"/>
        <v>#NAME?</v>
      </c>
      <c r="F23" s="42"/>
      <c r="G23" s="41">
        <f>GrossMargin!J25</f>
        <v>0</v>
      </c>
      <c r="H23" s="42">
        <f>GrossMargin!K25</f>
        <v>0</v>
      </c>
      <c r="I23" s="42">
        <f>GrossMargin!L25</f>
        <v>0</v>
      </c>
      <c r="J23" s="83">
        <f t="shared" si="7"/>
        <v>0</v>
      </c>
      <c r="K23" s="65"/>
      <c r="L23" s="42" t="e">
        <f ca="1">'CapChrg-AllocExp'!D24</f>
        <v>#NAME?</v>
      </c>
      <c r="M23" s="42" t="e">
        <f ca="1">Expenses!D23</f>
        <v>#NAME?</v>
      </c>
      <c r="N23" s="43" t="e">
        <f ca="1">'CapChrg-AllocExp'!K24</f>
        <v>#NAME?</v>
      </c>
      <c r="O23" s="83" t="e">
        <f t="shared" ca="1" si="8"/>
        <v>#NAME?</v>
      </c>
      <c r="P23" s="44"/>
      <c r="Q23" s="41" t="e">
        <f ca="1">GrossMargin!O25</f>
        <v>#NAME?</v>
      </c>
      <c r="R23" s="42"/>
      <c r="S23" s="42" t="e">
        <f ca="1">'CapChrg-AllocExp'!F24</f>
        <v>#NAME?</v>
      </c>
      <c r="T23" s="42" t="e">
        <f ca="1">Expenses!F23</f>
        <v>#NAME?</v>
      </c>
      <c r="U23" s="42" t="e">
        <f ca="1">'CapChrg-AllocExp'!M24</f>
        <v>#NAME?</v>
      </c>
      <c r="V23" s="66" t="e">
        <f t="shared" ca="1" si="9"/>
        <v>#NAME?</v>
      </c>
    </row>
    <row r="24" spans="1:22" ht="12" customHeight="1" x14ac:dyDescent="0.25">
      <c r="A24" s="29" t="s">
        <v>425</v>
      </c>
      <c r="B24" s="38"/>
      <c r="C24" s="41">
        <f>GrossMargin!N26</f>
        <v>11556</v>
      </c>
      <c r="D24" s="42" t="e">
        <f ca="1">Expenses!E24+'CapChrg-AllocExp'!E25+'CapChrg-AllocExp'!L25</f>
        <v>#NAME?</v>
      </c>
      <c r="E24" s="66" t="e">
        <f t="shared" ca="1" si="6"/>
        <v>#NAME?</v>
      </c>
      <c r="F24" s="42"/>
      <c r="G24" s="41">
        <f>GrossMargin!J26</f>
        <v>1768</v>
      </c>
      <c r="H24" s="42">
        <f>GrossMargin!K26</f>
        <v>0</v>
      </c>
      <c r="I24" s="42">
        <f>GrossMargin!L26</f>
        <v>0</v>
      </c>
      <c r="J24" s="83">
        <f t="shared" si="7"/>
        <v>1768</v>
      </c>
      <c r="K24" s="65"/>
      <c r="L24" s="42">
        <f>'CapChrg-AllocExp'!D25</f>
        <v>167</v>
      </c>
      <c r="M24" s="42" t="e">
        <f ca="1">Expenses!D24</f>
        <v>#NAME?</v>
      </c>
      <c r="N24" s="43">
        <f>'CapChrg-AllocExp'!K25</f>
        <v>1195</v>
      </c>
      <c r="O24" s="83" t="e">
        <f ca="1">J24-K24-M24-N24-L24</f>
        <v>#NAME?</v>
      </c>
      <c r="P24" s="44"/>
      <c r="Q24" s="41">
        <f>GrossMargin!O26</f>
        <v>-9788</v>
      </c>
      <c r="R24" s="42"/>
      <c r="S24" s="42">
        <f>'CapChrg-AllocExp'!F25</f>
        <v>209</v>
      </c>
      <c r="T24" s="42" t="e">
        <f ca="1">Expenses!F24</f>
        <v>#NAME?</v>
      </c>
      <c r="U24" s="42">
        <f>'CapChrg-AllocExp'!M25</f>
        <v>0</v>
      </c>
      <c r="V24" s="66" t="e">
        <f t="shared" ca="1" si="9"/>
        <v>#NAME?</v>
      </c>
    </row>
    <row r="25" spans="1:22" ht="12" customHeight="1" x14ac:dyDescent="0.25">
      <c r="A25" s="29" t="s">
        <v>0</v>
      </c>
      <c r="B25" s="38"/>
      <c r="C25" s="41" t="e">
        <f ca="1">GrossMargin!N27</f>
        <v>#NAME?</v>
      </c>
      <c r="D25" s="42" t="e">
        <f ca="1">Expenses!E25+'CapChrg-AllocExp'!E26+'CapChrg-AllocExp'!L26</f>
        <v>#NAME?</v>
      </c>
      <c r="E25" s="66" t="e">
        <f t="shared" ca="1" si="6"/>
        <v>#NAME?</v>
      </c>
      <c r="F25" s="42"/>
      <c r="G25" s="41">
        <f>GrossMargin!J27</f>
        <v>0</v>
      </c>
      <c r="H25" s="42">
        <f>GrossMargin!K27</f>
        <v>0</v>
      </c>
      <c r="I25" s="42">
        <f>GrossMargin!L27</f>
        <v>0</v>
      </c>
      <c r="J25" s="83">
        <f t="shared" si="7"/>
        <v>0</v>
      </c>
      <c r="K25" s="65"/>
      <c r="L25" s="42" t="e">
        <f ca="1">'CapChrg-AllocExp'!D26</f>
        <v>#NAME?</v>
      </c>
      <c r="M25" s="42" t="e">
        <f ca="1">Expenses!D25</f>
        <v>#NAME?</v>
      </c>
      <c r="N25" s="43" t="e">
        <f ca="1">'CapChrg-AllocExp'!K26</f>
        <v>#NAME?</v>
      </c>
      <c r="O25" s="83" t="e">
        <f t="shared" ca="1" si="8"/>
        <v>#NAME?</v>
      </c>
      <c r="P25" s="44"/>
      <c r="Q25" s="41" t="e">
        <f ca="1">GrossMargin!O27</f>
        <v>#NAME?</v>
      </c>
      <c r="R25" s="42"/>
      <c r="S25" s="42" t="e">
        <f ca="1">'CapChrg-AllocExp'!F26</f>
        <v>#NAME?</v>
      </c>
      <c r="T25" s="42" t="e">
        <f ca="1">Expenses!F25</f>
        <v>#NAME?</v>
      </c>
      <c r="U25" s="42" t="e">
        <f ca="1">'CapChrg-AllocExp'!M26</f>
        <v>#NAME?</v>
      </c>
      <c r="V25" s="66" t="e">
        <f t="shared" ca="1" si="9"/>
        <v>#NAME?</v>
      </c>
    </row>
    <row r="26" spans="1:22" s="90" customFormat="1" ht="12" customHeight="1" x14ac:dyDescent="0.25">
      <c r="A26" s="94" t="s">
        <v>1</v>
      </c>
      <c r="B26" s="91"/>
      <c r="C26" s="99" t="e">
        <f t="shared" ref="C26:N26" ca="1" si="10">SUM(C20:C25)</f>
        <v>#NAME?</v>
      </c>
      <c r="D26" s="100" t="e">
        <f t="shared" ca="1" si="10"/>
        <v>#NAME?</v>
      </c>
      <c r="E26" s="101" t="e">
        <f t="shared" ca="1" si="10"/>
        <v>#NAME?</v>
      </c>
      <c r="F26" s="92">
        <f t="shared" si="10"/>
        <v>0</v>
      </c>
      <c r="G26" s="99">
        <f t="shared" si="10"/>
        <v>3049</v>
      </c>
      <c r="H26" s="100">
        <f t="shared" si="10"/>
        <v>0</v>
      </c>
      <c r="I26" s="100">
        <f t="shared" si="10"/>
        <v>0</v>
      </c>
      <c r="J26" s="102">
        <f t="shared" si="10"/>
        <v>3049</v>
      </c>
      <c r="K26" s="100">
        <f t="shared" si="10"/>
        <v>0</v>
      </c>
      <c r="L26" s="100" t="e">
        <f t="shared" ca="1" si="10"/>
        <v>#NAME?</v>
      </c>
      <c r="M26" s="100" t="e">
        <f t="shared" ca="1" si="10"/>
        <v>#NAME?</v>
      </c>
      <c r="N26" s="101" t="e">
        <f t="shared" ca="1" si="10"/>
        <v>#NAME?</v>
      </c>
      <c r="O26" s="102" t="e">
        <f t="shared" ca="1" si="8"/>
        <v>#NAME?</v>
      </c>
      <c r="P26" s="93"/>
      <c r="Q26" s="99" t="e">
        <f t="shared" ref="Q26:V26" ca="1" si="11">SUM(Q20:Q25)</f>
        <v>#NAME?</v>
      </c>
      <c r="R26" s="100">
        <f t="shared" si="11"/>
        <v>0</v>
      </c>
      <c r="S26" s="100" t="e">
        <f t="shared" ca="1" si="11"/>
        <v>#NAME?</v>
      </c>
      <c r="T26" s="100" t="e">
        <f t="shared" ca="1" si="11"/>
        <v>#NAME?</v>
      </c>
      <c r="U26" s="100" t="e">
        <f t="shared" ca="1" si="11"/>
        <v>#NAME?</v>
      </c>
      <c r="V26" s="101" t="e">
        <f t="shared" ca="1" si="11"/>
        <v>#NAME?</v>
      </c>
    </row>
    <row r="27" spans="1:22" ht="3" customHeight="1" x14ac:dyDescent="0.25">
      <c r="A27" s="29"/>
      <c r="B27" s="38"/>
      <c r="C27" s="41"/>
      <c r="D27" s="42"/>
      <c r="E27" s="66"/>
      <c r="F27" s="42"/>
      <c r="G27" s="41"/>
      <c r="H27" s="42"/>
      <c r="I27" s="42"/>
      <c r="J27" s="83"/>
      <c r="K27" s="65"/>
      <c r="L27" s="65"/>
      <c r="M27" s="42"/>
      <c r="N27" s="43"/>
      <c r="O27" s="83"/>
      <c r="P27" s="44"/>
      <c r="Q27" s="41"/>
      <c r="R27" s="42"/>
      <c r="S27" s="42"/>
      <c r="T27" s="42"/>
      <c r="U27" s="42"/>
      <c r="V27" s="66"/>
    </row>
    <row r="28" spans="1:22" ht="12" customHeight="1" x14ac:dyDescent="0.25">
      <c r="A28" s="29" t="s">
        <v>67</v>
      </c>
      <c r="B28" s="38"/>
      <c r="C28" s="41">
        <f>GrossMargin!N31</f>
        <v>12234</v>
      </c>
      <c r="D28" s="42" t="e">
        <f ca="1">Expenses!E28+'CapChrg-AllocExp'!E29+'CapChrg-AllocExp'!L29</f>
        <v>#NAME?</v>
      </c>
      <c r="E28" s="66" t="e">
        <f ca="1">C28-D28</f>
        <v>#NAME?</v>
      </c>
      <c r="F28" s="42"/>
      <c r="G28" s="41">
        <f>GrossMargin!J31</f>
        <v>16153</v>
      </c>
      <c r="H28" s="42">
        <f>GrossMargin!K31</f>
        <v>0</v>
      </c>
      <c r="I28" s="42">
        <f>GrossMargin!L31</f>
        <v>0</v>
      </c>
      <c r="J28" s="83">
        <f>SUM(G28:I28)</f>
        <v>16153</v>
      </c>
      <c r="K28" s="42"/>
      <c r="L28" s="42">
        <f>'CapChrg-AllocExp'!D29</f>
        <v>6037</v>
      </c>
      <c r="M28" s="42">
        <f>Expenses!D28</f>
        <v>1001</v>
      </c>
      <c r="N28" s="43" t="e">
        <f ca="1">'CapChrg-AllocExp'!K29</f>
        <v>#NAME?</v>
      </c>
      <c r="O28" s="83" t="e">
        <f ca="1">J28-K28-M28-N28-L28</f>
        <v>#NAME?</v>
      </c>
      <c r="P28" s="44"/>
      <c r="Q28" s="41">
        <f>GrossMargin!O31</f>
        <v>3919</v>
      </c>
      <c r="R28" s="42"/>
      <c r="S28" s="42" t="e">
        <f ca="1">'CapChrg-AllocExp'!F29</f>
        <v>#NAME?</v>
      </c>
      <c r="T28" s="42">
        <f>Expenses!F28</f>
        <v>0</v>
      </c>
      <c r="U28" s="42" t="e">
        <f ca="1">'CapChrg-AllocExp'!M29</f>
        <v>#NAME?</v>
      </c>
      <c r="V28" s="66" t="e">
        <f ca="1">ROUND(SUM(Q28:U28),0)</f>
        <v>#NAME?</v>
      </c>
    </row>
    <row r="29" spans="1:22" ht="12" customHeight="1" x14ac:dyDescent="0.25">
      <c r="A29" s="29" t="s">
        <v>415</v>
      </c>
      <c r="B29" s="38"/>
      <c r="C29" s="41">
        <f>GrossMargin!N32</f>
        <v>30508</v>
      </c>
      <c r="D29" s="42" t="e">
        <f ca="1">Expenses!E29+Expenses!E56+'CapChrg-AllocExp'!E30+'CapChrg-AllocExp'!L30</f>
        <v>#NAME?</v>
      </c>
      <c r="E29" s="66" t="e">
        <f ca="1">C29-D29</f>
        <v>#NAME?</v>
      </c>
      <c r="F29" s="42"/>
      <c r="G29" s="41">
        <f>GrossMargin!J32</f>
        <v>16975</v>
      </c>
      <c r="H29" s="42">
        <f>GrossMargin!K32</f>
        <v>0</v>
      </c>
      <c r="I29" s="42">
        <f>GrossMargin!L32</f>
        <v>0</v>
      </c>
      <c r="J29" s="83">
        <f>SUM(G29:I29)</f>
        <v>16975</v>
      </c>
      <c r="K29" s="42">
        <f>Expenses!D56</f>
        <v>38570</v>
      </c>
      <c r="L29" s="42">
        <f>'CapChrg-AllocExp'!D30</f>
        <v>12032</v>
      </c>
      <c r="M29" s="42">
        <f>Expenses!D29</f>
        <v>4961</v>
      </c>
      <c r="N29" s="43" t="e">
        <f ca="1">'CapChrg-AllocExp'!K30</f>
        <v>#NAME?</v>
      </c>
      <c r="O29" s="83" t="e">
        <f ca="1">J29-K29-M29-N29-L29</f>
        <v>#NAME?</v>
      </c>
      <c r="P29" s="44"/>
      <c r="Q29" s="41">
        <f>GrossMargin!O32</f>
        <v>-13533</v>
      </c>
      <c r="R29" s="42">
        <f>Expenses!F56</f>
        <v>-1923</v>
      </c>
      <c r="S29" s="42" t="e">
        <f ca="1">'CapChrg-AllocExp'!F30</f>
        <v>#NAME?</v>
      </c>
      <c r="T29" s="42" t="e">
        <f ca="1">Expenses!F29</f>
        <v>#NAME?</v>
      </c>
      <c r="U29" s="42" t="e">
        <f ca="1">'CapChrg-AllocExp'!M30</f>
        <v>#NAME?</v>
      </c>
      <c r="V29" s="66" t="e">
        <f ca="1">ROUND(SUM(Q29:U29),0)</f>
        <v>#NAME?</v>
      </c>
    </row>
    <row r="30" spans="1:22" ht="12" customHeight="1" x14ac:dyDescent="0.25">
      <c r="A30" s="29" t="s">
        <v>416</v>
      </c>
      <c r="B30" s="38"/>
      <c r="C30" s="41" t="e">
        <f ca="1">GrossMargin!N33</f>
        <v>#NAME?</v>
      </c>
      <c r="D30" s="42" t="e">
        <f ca="1">Expenses!E30+'CapChrg-AllocExp'!E31+'CapChrg-AllocExp'!L31</f>
        <v>#NAME?</v>
      </c>
      <c r="E30" s="66" t="e">
        <f ca="1">C30-D30</f>
        <v>#NAME?</v>
      </c>
      <c r="F30" s="42"/>
      <c r="G30" s="41">
        <f>GrossMargin!J33</f>
        <v>9811</v>
      </c>
      <c r="H30" s="42">
        <f>GrossMargin!K33</f>
        <v>0</v>
      </c>
      <c r="I30" s="42">
        <f>GrossMargin!L33</f>
        <v>0</v>
      </c>
      <c r="J30" s="83">
        <f>SUM(G30:I30)</f>
        <v>9811</v>
      </c>
      <c r="K30" s="65"/>
      <c r="L30" s="65" t="e">
        <f ca="1">'CapChrg-AllocExp'!D31</f>
        <v>#NAME?</v>
      </c>
      <c r="M30" s="42" t="e">
        <f ca="1">Expenses!D30</f>
        <v>#NAME?</v>
      </c>
      <c r="N30" s="43" t="e">
        <f ca="1">'CapChrg-AllocExp'!K31</f>
        <v>#NAME?</v>
      </c>
      <c r="O30" s="83" t="e">
        <f ca="1">J30-K30-M30-N30-L30</f>
        <v>#NAME?</v>
      </c>
      <c r="P30" s="44"/>
      <c r="Q30" s="41" t="e">
        <f ca="1">GrossMargin!O33</f>
        <v>#NAME?</v>
      </c>
      <c r="R30" s="42"/>
      <c r="S30" s="42" t="e">
        <f ca="1">'CapChrg-AllocExp'!F31</f>
        <v>#NAME?</v>
      </c>
      <c r="T30" s="42" t="e">
        <f ca="1">Expenses!F30</f>
        <v>#NAME?</v>
      </c>
      <c r="U30" s="42" t="e">
        <f ca="1">'CapChrg-AllocExp'!M31</f>
        <v>#NAME?</v>
      </c>
      <c r="V30" s="66" t="e">
        <f ca="1">ROUND(SUM(Q30:U30),0)</f>
        <v>#NAME?</v>
      </c>
    </row>
    <row r="31" spans="1:22" s="90" customFormat="1" ht="12" customHeight="1" x14ac:dyDescent="0.25">
      <c r="A31" s="94" t="s">
        <v>86</v>
      </c>
      <c r="B31" s="91"/>
      <c r="C31" s="99" t="e">
        <f ca="1">SUM(C28:C30)</f>
        <v>#NAME?</v>
      </c>
      <c r="D31" s="100" t="e">
        <f ca="1">SUM(D28:D30)</f>
        <v>#NAME?</v>
      </c>
      <c r="E31" s="101" t="e">
        <f ca="1">SUM(E28:E30)</f>
        <v>#NAME?</v>
      </c>
      <c r="F31" s="92"/>
      <c r="G31" s="99">
        <f t="shared" ref="G31:N31" si="12">SUM(G28:G30)</f>
        <v>42939</v>
      </c>
      <c r="H31" s="100">
        <f t="shared" si="12"/>
        <v>0</v>
      </c>
      <c r="I31" s="100">
        <f t="shared" si="12"/>
        <v>0</v>
      </c>
      <c r="J31" s="102">
        <f t="shared" si="12"/>
        <v>42939</v>
      </c>
      <c r="K31" s="100">
        <f t="shared" si="12"/>
        <v>38570</v>
      </c>
      <c r="L31" s="100" t="e">
        <f t="shared" ca="1" si="12"/>
        <v>#NAME?</v>
      </c>
      <c r="M31" s="100" t="e">
        <f t="shared" ca="1" si="12"/>
        <v>#NAME?</v>
      </c>
      <c r="N31" s="101" t="e">
        <f t="shared" ca="1" si="12"/>
        <v>#NAME?</v>
      </c>
      <c r="O31" s="102" t="e">
        <f ca="1">J31-K31-M31-N31-L31</f>
        <v>#NAME?</v>
      </c>
      <c r="P31" s="93"/>
      <c r="Q31" s="99" t="e">
        <f t="shared" ref="Q31:V31" ca="1" si="13">SUM(Q28:Q30)</f>
        <v>#NAME?</v>
      </c>
      <c r="R31" s="100">
        <f t="shared" si="13"/>
        <v>-1923</v>
      </c>
      <c r="S31" s="100" t="e">
        <f t="shared" ca="1" si="13"/>
        <v>#NAME?</v>
      </c>
      <c r="T31" s="100" t="e">
        <f t="shared" ca="1" si="13"/>
        <v>#NAME?</v>
      </c>
      <c r="U31" s="100" t="e">
        <f t="shared" ca="1" si="13"/>
        <v>#NAME?</v>
      </c>
      <c r="V31" s="101" t="e">
        <f t="shared" ca="1" si="13"/>
        <v>#NAME?</v>
      </c>
    </row>
    <row r="32" spans="1:22" ht="3" customHeight="1" x14ac:dyDescent="0.25">
      <c r="A32" s="29"/>
      <c r="B32" s="38"/>
      <c r="C32" s="41"/>
      <c r="D32" s="42"/>
      <c r="E32" s="66"/>
      <c r="F32" s="42"/>
      <c r="G32" s="41"/>
      <c r="H32" s="42"/>
      <c r="I32" s="42"/>
      <c r="J32" s="83"/>
      <c r="K32" s="65"/>
      <c r="L32" s="65"/>
      <c r="M32" s="42"/>
      <c r="N32" s="43"/>
      <c r="O32" s="83"/>
      <c r="P32" s="44"/>
      <c r="Q32" s="41"/>
      <c r="R32" s="42"/>
      <c r="S32" s="42"/>
      <c r="T32" s="42"/>
      <c r="U32" s="42"/>
      <c r="V32" s="66"/>
    </row>
    <row r="33" spans="1:22" ht="12" customHeight="1" x14ac:dyDescent="0.25">
      <c r="A33" s="29" t="s">
        <v>9</v>
      </c>
      <c r="B33" s="38"/>
      <c r="C33" s="41" t="e">
        <f ca="1">GrossMargin!N37</f>
        <v>#NAME?</v>
      </c>
      <c r="D33" s="42" t="e">
        <f ca="1">Expenses!E33+'CapChrg-AllocExp'!E34+'CapChrg-AllocExp'!L34</f>
        <v>#NAME?</v>
      </c>
      <c r="E33" s="66" t="e">
        <f ca="1">C33-D33</f>
        <v>#NAME?</v>
      </c>
      <c r="F33" s="42"/>
      <c r="G33" s="41">
        <f>GrossMargin!J37</f>
        <v>-23517</v>
      </c>
      <c r="H33" s="42">
        <f>GrossMargin!K37</f>
        <v>0</v>
      </c>
      <c r="I33" s="42">
        <f>GrossMargin!L37</f>
        <v>0</v>
      </c>
      <c r="J33" s="83">
        <f>SUM(G33:I33)</f>
        <v>-23517</v>
      </c>
      <c r="K33" s="65"/>
      <c r="L33" s="42">
        <f>'CapChrg-AllocExp'!D34</f>
        <v>704</v>
      </c>
      <c r="M33" s="42">
        <f>Expenses!D33</f>
        <v>838</v>
      </c>
      <c r="N33" s="43" t="e">
        <f ca="1">'CapChrg-AllocExp'!K34</f>
        <v>#NAME?</v>
      </c>
      <c r="O33" s="83" t="e">
        <f ca="1">J33-K33-M33-N33-L33</f>
        <v>#NAME?</v>
      </c>
      <c r="P33" s="44"/>
      <c r="Q33" s="41" t="e">
        <f ca="1">GrossMargin!O37</f>
        <v>#NAME?</v>
      </c>
      <c r="R33" s="42"/>
      <c r="S33" s="42" t="e">
        <f ca="1">'CapChrg-AllocExp'!F34</f>
        <v>#NAME?</v>
      </c>
      <c r="T33" s="42" t="e">
        <f ca="1">Expenses!F33</f>
        <v>#NAME?</v>
      </c>
      <c r="U33" s="42" t="e">
        <f ca="1">'CapChrg-AllocExp'!M34</f>
        <v>#NAME?</v>
      </c>
      <c r="V33" s="66" t="e">
        <f ca="1">ROUND(SUM(Q33:U33),0)</f>
        <v>#NAME?</v>
      </c>
    </row>
    <row r="34" spans="1:22" ht="12" customHeight="1" x14ac:dyDescent="0.25">
      <c r="A34" s="29" t="s">
        <v>440</v>
      </c>
      <c r="B34" s="38"/>
      <c r="C34" s="41" t="e">
        <f ca="1">GrossMargin!N38</f>
        <v>#NAME?</v>
      </c>
      <c r="D34" s="42" t="e">
        <f ca="1">Expenses!E34+'CapChrg-AllocExp'!E35+'CapChrg-AllocExp'!L35</f>
        <v>#NAME?</v>
      </c>
      <c r="E34" s="66" t="e">
        <f ca="1">C34-D34</f>
        <v>#NAME?</v>
      </c>
      <c r="F34" s="42"/>
      <c r="G34" s="41">
        <f>GrossMargin!J38</f>
        <v>293</v>
      </c>
      <c r="H34" s="42">
        <f>GrossMargin!K38</f>
        <v>0</v>
      </c>
      <c r="I34" s="42">
        <f>GrossMargin!L38</f>
        <v>0</v>
      </c>
      <c r="J34" s="83">
        <f>SUM(G34:I34)</f>
        <v>293</v>
      </c>
      <c r="K34" s="65"/>
      <c r="L34" s="42">
        <f>'CapChrg-AllocExp'!D35</f>
        <v>3134</v>
      </c>
      <c r="M34" s="42" t="e">
        <f ca="1">Expenses!D34</f>
        <v>#NAME?</v>
      </c>
      <c r="N34" s="43" t="e">
        <f ca="1">'CapChrg-AllocExp'!K35</f>
        <v>#NAME?</v>
      </c>
      <c r="O34" s="83" t="e">
        <f ca="1">J34-K34-M34-N34-L34</f>
        <v>#NAME?</v>
      </c>
      <c r="P34" s="44"/>
      <c r="Q34" s="41" t="e">
        <f ca="1">GrossMargin!O38</f>
        <v>#NAME?</v>
      </c>
      <c r="R34" s="42"/>
      <c r="S34" s="42" t="e">
        <f ca="1">'CapChrg-AllocExp'!F35</f>
        <v>#NAME?</v>
      </c>
      <c r="T34" s="42" t="e">
        <f ca="1">Expenses!F34</f>
        <v>#NAME?</v>
      </c>
      <c r="U34" s="42" t="e">
        <f ca="1">'CapChrg-AllocExp'!M35</f>
        <v>#NAME?</v>
      </c>
      <c r="V34" s="66" t="e">
        <f ca="1">ROUND(SUM(Q34:U34),0)</f>
        <v>#NAME?</v>
      </c>
    </row>
    <row r="35" spans="1:22" ht="12" customHeight="1" x14ac:dyDescent="0.25">
      <c r="A35" s="29" t="s">
        <v>154</v>
      </c>
      <c r="B35" s="38"/>
      <c r="C35" s="41" t="e">
        <f ca="1">GrossMargin!N41</f>
        <v>#NAME?</v>
      </c>
      <c r="D35" s="42" t="e">
        <f ca="1">Expenses!E37+'CapChrg-AllocExp'!E38+'CapChrg-AllocExp'!L38</f>
        <v>#NAME?</v>
      </c>
      <c r="E35" s="66" t="e">
        <f ca="1">C35-D35</f>
        <v>#NAME?</v>
      </c>
      <c r="F35" s="42"/>
      <c r="G35" s="41">
        <f>GrossMargin!J41</f>
        <v>-8959</v>
      </c>
      <c r="H35" s="42">
        <f>GrossMargin!K41</f>
        <v>0</v>
      </c>
      <c r="I35" s="42">
        <f>GrossMargin!L41</f>
        <v>0</v>
      </c>
      <c r="J35" s="83">
        <f>SUM(G35:I35)</f>
        <v>-8959</v>
      </c>
      <c r="K35" s="65"/>
      <c r="L35" s="42">
        <f>'CapChrg-AllocExp'!D38</f>
        <v>7651</v>
      </c>
      <c r="M35" s="42" t="e">
        <f ca="1">Expenses!D37</f>
        <v>#NAME?</v>
      </c>
      <c r="N35" s="43" t="e">
        <f ca="1">'CapChrg-AllocExp'!K38</f>
        <v>#NAME?</v>
      </c>
      <c r="O35" s="83" t="e">
        <f ca="1">J35-K35-M35-N35-L35</f>
        <v>#NAME?</v>
      </c>
      <c r="P35" s="44"/>
      <c r="Q35" s="41" t="e">
        <f ca="1">GrossMargin!O41</f>
        <v>#NAME?</v>
      </c>
      <c r="R35" s="42"/>
      <c r="S35" s="42" t="e">
        <f ca="1">'CapChrg-AllocExp'!F38</f>
        <v>#NAME?</v>
      </c>
      <c r="T35" s="42" t="e">
        <f ca="1">Expenses!F37</f>
        <v>#NAME?</v>
      </c>
      <c r="U35" s="42" t="e">
        <f ca="1">'CapChrg-AllocExp'!M38</f>
        <v>#NAME?</v>
      </c>
      <c r="V35" s="66" t="e">
        <f ca="1">ROUND(SUM(Q35:U35),0)</f>
        <v>#NAME?</v>
      </c>
    </row>
    <row r="36" spans="1:22" s="90" customFormat="1" ht="12" customHeight="1" x14ac:dyDescent="0.25">
      <c r="A36" s="94" t="s">
        <v>87</v>
      </c>
      <c r="B36" s="91"/>
      <c r="C36" s="99" t="e">
        <f ca="1">SUM(C33:C35)</f>
        <v>#NAME?</v>
      </c>
      <c r="D36" s="100" t="e">
        <f ca="1">SUM(D33:D35)</f>
        <v>#NAME?</v>
      </c>
      <c r="E36" s="101" t="e">
        <f ca="1">SUM(E33:E35)</f>
        <v>#NAME?</v>
      </c>
      <c r="F36" s="92"/>
      <c r="G36" s="99">
        <f t="shared" ref="G36:N36" si="14">SUM(G33:G35)</f>
        <v>-32183</v>
      </c>
      <c r="H36" s="100">
        <f t="shared" si="14"/>
        <v>0</v>
      </c>
      <c r="I36" s="100">
        <f t="shared" si="14"/>
        <v>0</v>
      </c>
      <c r="J36" s="102">
        <f t="shared" si="14"/>
        <v>-32183</v>
      </c>
      <c r="K36" s="100">
        <f t="shared" si="14"/>
        <v>0</v>
      </c>
      <c r="L36" s="100">
        <f t="shared" si="14"/>
        <v>11489</v>
      </c>
      <c r="M36" s="100" t="e">
        <f t="shared" ca="1" si="14"/>
        <v>#NAME?</v>
      </c>
      <c r="N36" s="101" t="e">
        <f t="shared" ca="1" si="14"/>
        <v>#NAME?</v>
      </c>
      <c r="O36" s="102" t="e">
        <f ca="1">J36-K36-M36-N36-L36</f>
        <v>#NAME?</v>
      </c>
      <c r="P36" s="93"/>
      <c r="Q36" s="99" t="e">
        <f t="shared" ref="Q36:V36" ca="1" si="15">SUM(Q33:Q35)</f>
        <v>#NAME?</v>
      </c>
      <c r="R36" s="100">
        <f t="shared" si="15"/>
        <v>0</v>
      </c>
      <c r="S36" s="100" t="e">
        <f t="shared" ca="1" si="15"/>
        <v>#NAME?</v>
      </c>
      <c r="T36" s="100" t="e">
        <f t="shared" ca="1" si="15"/>
        <v>#NAME?</v>
      </c>
      <c r="U36" s="100" t="e">
        <f t="shared" ca="1" si="15"/>
        <v>#NAME?</v>
      </c>
      <c r="V36" s="101" t="e">
        <f t="shared" ca="1" si="15"/>
        <v>#NAME?</v>
      </c>
    </row>
    <row r="37" spans="1:22" ht="3" customHeight="1" x14ac:dyDescent="0.25">
      <c r="A37" s="29"/>
      <c r="B37" s="38"/>
      <c r="C37" s="41"/>
      <c r="D37" s="42"/>
      <c r="E37" s="66"/>
      <c r="F37" s="42"/>
      <c r="G37" s="41"/>
      <c r="H37" s="42"/>
      <c r="I37" s="42"/>
      <c r="J37" s="83"/>
      <c r="K37" s="65"/>
      <c r="L37" s="65"/>
      <c r="M37" s="42"/>
      <c r="N37" s="43"/>
      <c r="O37" s="83"/>
      <c r="P37" s="44"/>
      <c r="Q37" s="41"/>
      <c r="R37" s="42"/>
      <c r="S37" s="42"/>
      <c r="T37" s="42"/>
      <c r="U37" s="42"/>
      <c r="V37" s="66"/>
    </row>
    <row r="38" spans="1:22" ht="12" customHeight="1" x14ac:dyDescent="0.25">
      <c r="A38" s="29" t="s">
        <v>8</v>
      </c>
      <c r="B38" s="38"/>
      <c r="C38" s="41" t="e">
        <f ca="1">GrossMargin!N45</f>
        <v>#NAME?</v>
      </c>
      <c r="D38" s="42" t="e">
        <f ca="1">Expenses!E40+'CapChrg-AllocExp'!E41+'CapChrg-AllocExp'!L41</f>
        <v>#NAME?</v>
      </c>
      <c r="E38" s="66" t="e">
        <f ca="1">C38-D38</f>
        <v>#NAME?</v>
      </c>
      <c r="F38" s="42"/>
      <c r="G38" s="41">
        <f>GrossMargin!J45</f>
        <v>0</v>
      </c>
      <c r="H38" s="42">
        <f>GrossMargin!K45</f>
        <v>0</v>
      </c>
      <c r="I38" s="42">
        <f>GrossMargin!L45</f>
        <v>0</v>
      </c>
      <c r="J38" s="83">
        <f>SUM(G38:I38)</f>
        <v>0</v>
      </c>
      <c r="K38" s="65"/>
      <c r="L38" s="42" t="e">
        <f ca="1">'CapChrg-AllocExp'!D41</f>
        <v>#NAME?</v>
      </c>
      <c r="M38" s="42">
        <f>Expenses!D40</f>
        <v>6431</v>
      </c>
      <c r="N38" s="43" t="e">
        <f ca="1">'CapChrg-AllocExp'!K41</f>
        <v>#NAME?</v>
      </c>
      <c r="O38" s="83" t="e">
        <f ca="1">J38-K38-M38-N38-L38</f>
        <v>#NAME?</v>
      </c>
      <c r="P38" s="44"/>
      <c r="Q38" s="41" t="e">
        <f ca="1">GrossMargin!O45</f>
        <v>#NAME?</v>
      </c>
      <c r="R38" s="42"/>
      <c r="S38" s="42" t="e">
        <f ca="1">'CapChrg-AllocExp'!F41</f>
        <v>#NAME?</v>
      </c>
      <c r="T38" s="42" t="e">
        <f ca="1">Expenses!F40</f>
        <v>#NAME?</v>
      </c>
      <c r="U38" s="42" t="e">
        <f ca="1">'CapChrg-AllocExp'!M41</f>
        <v>#NAME?</v>
      </c>
      <c r="V38" s="66" t="e">
        <f ca="1">ROUND(SUM(Q38:U38),0)</f>
        <v>#NAME?</v>
      </c>
    </row>
    <row r="39" spans="1:22" ht="3" customHeight="1" x14ac:dyDescent="0.25">
      <c r="A39" s="29"/>
      <c r="B39" s="38"/>
      <c r="C39" s="41"/>
      <c r="D39" s="42"/>
      <c r="E39" s="66"/>
      <c r="F39" s="42"/>
      <c r="G39" s="41"/>
      <c r="H39" s="42"/>
      <c r="I39" s="42"/>
      <c r="J39" s="83"/>
      <c r="K39" s="65"/>
      <c r="L39" s="65"/>
      <c r="M39" s="42"/>
      <c r="N39" s="43"/>
      <c r="O39" s="83"/>
      <c r="P39" s="44"/>
      <c r="Q39" s="41"/>
      <c r="R39" s="42"/>
      <c r="S39" s="42"/>
      <c r="T39" s="42"/>
      <c r="U39" s="42"/>
      <c r="V39" s="66"/>
    </row>
    <row r="40" spans="1:22" ht="12" customHeight="1" x14ac:dyDescent="0.25">
      <c r="A40" s="29" t="s">
        <v>19</v>
      </c>
      <c r="B40" s="38"/>
      <c r="C40" s="41">
        <f>GrossMargin!N51</f>
        <v>43138</v>
      </c>
      <c r="D40" s="42"/>
      <c r="E40" s="66">
        <f>C40-D40</f>
        <v>43138</v>
      </c>
      <c r="F40" s="42"/>
      <c r="G40" s="41">
        <f>GrossMargin!J51</f>
        <v>0</v>
      </c>
      <c r="H40" s="42"/>
      <c r="I40" s="42">
        <f>GrossMargin!L51</f>
        <v>0</v>
      </c>
      <c r="J40" s="83">
        <f>SUM(G40:I40)</f>
        <v>0</v>
      </c>
      <c r="K40" s="65"/>
      <c r="L40" s="42"/>
      <c r="M40" s="42"/>
      <c r="N40" s="43"/>
      <c r="O40" s="83">
        <f>J40-K40-M40-N40-L40</f>
        <v>0</v>
      </c>
      <c r="P40" s="44"/>
      <c r="Q40" s="41">
        <f>GrossMargin!O51</f>
        <v>-43138</v>
      </c>
      <c r="R40" s="42"/>
      <c r="S40" s="42"/>
      <c r="T40" s="42">
        <v>0</v>
      </c>
      <c r="U40" s="42"/>
      <c r="V40" s="66">
        <f>ROUND(SUM(Q40:U40),0)</f>
        <v>-43138</v>
      </c>
    </row>
    <row r="41" spans="1:22" ht="3" customHeight="1" x14ac:dyDescent="0.25">
      <c r="A41" s="29"/>
      <c r="B41" s="38"/>
      <c r="C41" s="41"/>
      <c r="D41" s="42"/>
      <c r="E41" s="66"/>
      <c r="F41" s="42"/>
      <c r="G41" s="41"/>
      <c r="H41" s="42"/>
      <c r="I41" s="42"/>
      <c r="J41" s="83"/>
      <c r="K41" s="65"/>
      <c r="L41" s="65"/>
      <c r="M41" s="42"/>
      <c r="N41" s="43"/>
      <c r="O41" s="83"/>
      <c r="P41" s="44"/>
      <c r="Q41" s="41"/>
      <c r="R41" s="42"/>
      <c r="S41" s="42"/>
      <c r="T41" s="42"/>
      <c r="U41" s="42"/>
      <c r="V41" s="66"/>
    </row>
    <row r="42" spans="1:22" ht="12" customHeight="1" x14ac:dyDescent="0.25">
      <c r="A42" s="29" t="s">
        <v>7</v>
      </c>
      <c r="B42" s="38"/>
      <c r="C42" s="41">
        <f>GrossMargin!N47</f>
        <v>0</v>
      </c>
      <c r="D42" s="42" t="e">
        <f ca="1">Expenses!E42+'CapChrg-AllocExp'!E43+'CapChrg-AllocExp'!L43</f>
        <v>#NAME?</v>
      </c>
      <c r="E42" s="66" t="e">
        <f ca="1">C42-D42</f>
        <v>#NAME?</v>
      </c>
      <c r="F42" s="42"/>
      <c r="G42" s="41">
        <f>GrossMargin!J47</f>
        <v>0</v>
      </c>
      <c r="H42" s="42">
        <f>GrossMargin!K47</f>
        <v>0</v>
      </c>
      <c r="I42" s="42">
        <f>GrossMargin!L47</f>
        <v>0</v>
      </c>
      <c r="J42" s="83">
        <f>SUM(G42:I42)</f>
        <v>0</v>
      </c>
      <c r="K42" s="65"/>
      <c r="L42" s="42" t="e">
        <f ca="1">'CapChrg-AllocExp'!D43</f>
        <v>#NAME?</v>
      </c>
      <c r="M42" s="42">
        <f>Expenses!D42</f>
        <v>2231</v>
      </c>
      <c r="N42" s="43">
        <f>'CapChrg-AllocExp'!K43</f>
        <v>4086</v>
      </c>
      <c r="O42" s="83" t="e">
        <f ca="1">J42-K42-M42-N42-L42</f>
        <v>#NAME?</v>
      </c>
      <c r="P42" s="44"/>
      <c r="Q42" s="41">
        <f>GrossMargin!O47</f>
        <v>0</v>
      </c>
      <c r="R42" s="42"/>
      <c r="S42" s="42" t="e">
        <f ca="1">'CapChrg-AllocExp'!F43</f>
        <v>#NAME?</v>
      </c>
      <c r="T42" s="42" t="e">
        <f ca="1">Expenses!F42</f>
        <v>#NAME?</v>
      </c>
      <c r="U42" s="42" t="e">
        <f ca="1">'CapChrg-AllocExp'!M43</f>
        <v>#NAME?</v>
      </c>
      <c r="V42" s="66" t="e">
        <f ca="1">ROUND(SUM(Q42:U42),0)</f>
        <v>#NAME?</v>
      </c>
    </row>
    <row r="43" spans="1:22" ht="3" customHeight="1" x14ac:dyDescent="0.25">
      <c r="A43" s="29"/>
      <c r="B43" s="38"/>
      <c r="C43" s="41"/>
      <c r="D43" s="42"/>
      <c r="E43" s="66"/>
      <c r="F43" s="42"/>
      <c r="G43" s="41"/>
      <c r="H43" s="42"/>
      <c r="I43" s="42"/>
      <c r="J43" s="83"/>
      <c r="K43" s="65"/>
      <c r="L43" s="65"/>
      <c r="M43" s="42"/>
      <c r="N43" s="43"/>
      <c r="O43" s="83"/>
      <c r="P43" s="44"/>
      <c r="Q43" s="41"/>
      <c r="R43" s="42"/>
      <c r="S43" s="42"/>
      <c r="T43" s="42"/>
      <c r="U43" s="42"/>
      <c r="V43" s="66"/>
    </row>
    <row r="44" spans="1:22" s="90" customFormat="1" ht="12" customHeight="1" x14ac:dyDescent="0.25">
      <c r="A44" s="94" t="s">
        <v>10</v>
      </c>
      <c r="B44" s="91"/>
      <c r="C44" s="99" t="e">
        <f ca="1">SUM(C36:C42)+C18+C26+C31</f>
        <v>#NAME?</v>
      </c>
      <c r="D44" s="100" t="e">
        <f ca="1">SUM(D36:D42)+D18+D26+D31</f>
        <v>#NAME?</v>
      </c>
      <c r="E44" s="101" t="e">
        <f ca="1">SUM(E36:E42)+E18+E26+E31</f>
        <v>#NAME?</v>
      </c>
      <c r="F44" s="92"/>
      <c r="G44" s="99">
        <f t="shared" ref="G44:N44" si="16">SUM(G36:G42)+G18+G26+G31</f>
        <v>108632</v>
      </c>
      <c r="H44" s="100">
        <f t="shared" si="16"/>
        <v>0</v>
      </c>
      <c r="I44" s="100">
        <f t="shared" si="16"/>
        <v>0</v>
      </c>
      <c r="J44" s="102">
        <f t="shared" si="16"/>
        <v>108632</v>
      </c>
      <c r="K44" s="100">
        <f t="shared" si="16"/>
        <v>44297</v>
      </c>
      <c r="L44" s="100" t="e">
        <f t="shared" ca="1" si="16"/>
        <v>#NAME?</v>
      </c>
      <c r="M44" s="100" t="e">
        <f t="shared" ca="1" si="16"/>
        <v>#NAME?</v>
      </c>
      <c r="N44" s="101" t="e">
        <f t="shared" ca="1" si="16"/>
        <v>#NAME?</v>
      </c>
      <c r="O44" s="102" t="e">
        <f ca="1">J44-K44-M44-N44-L44</f>
        <v>#NAME?</v>
      </c>
      <c r="P44" s="93"/>
      <c r="Q44" s="99" t="e">
        <f t="shared" ref="Q44:V44" ca="1" si="17">SUM(Q36:Q42)+Q18+Q26+Q31</f>
        <v>#NAME?</v>
      </c>
      <c r="R44" s="100">
        <f t="shared" si="17"/>
        <v>1139</v>
      </c>
      <c r="S44" s="100" t="e">
        <f t="shared" ca="1" si="17"/>
        <v>#NAME?</v>
      </c>
      <c r="T44" s="100" t="e">
        <f t="shared" ca="1" si="17"/>
        <v>#NAME?</v>
      </c>
      <c r="U44" s="100" t="e">
        <f t="shared" ca="1" si="17"/>
        <v>#NAME?</v>
      </c>
      <c r="V44" s="101" t="e">
        <f t="shared" ca="1" si="17"/>
        <v>#NAME?</v>
      </c>
    </row>
    <row r="45" spans="1:22" ht="3" customHeight="1" x14ac:dyDescent="0.25">
      <c r="A45" s="29"/>
      <c r="B45" s="38"/>
      <c r="C45" s="41"/>
      <c r="D45" s="42"/>
      <c r="E45" s="66"/>
      <c r="F45" s="42"/>
      <c r="G45" s="41"/>
      <c r="H45" s="42"/>
      <c r="I45" s="42"/>
      <c r="J45" s="83"/>
      <c r="K45" s="65"/>
      <c r="L45" s="65"/>
      <c r="M45" s="42"/>
      <c r="N45" s="43"/>
      <c r="O45" s="83"/>
      <c r="P45" s="44"/>
      <c r="Q45" s="41"/>
      <c r="R45" s="42"/>
      <c r="S45" s="42"/>
      <c r="T45" s="42"/>
      <c r="U45" s="42"/>
      <c r="V45" s="66"/>
    </row>
    <row r="46" spans="1:22" ht="12" customHeight="1" x14ac:dyDescent="0.25">
      <c r="A46" s="29" t="s">
        <v>48</v>
      </c>
      <c r="B46" s="38"/>
      <c r="C46" s="41"/>
      <c r="D46" s="42" t="e">
        <f ca="1">Expenses!E46</f>
        <v>#NAME?</v>
      </c>
      <c r="E46" s="66" t="e">
        <f ca="1">C46-D46</f>
        <v>#NAME?</v>
      </c>
      <c r="F46" s="42"/>
      <c r="G46" s="41"/>
      <c r="H46" s="42"/>
      <c r="I46" s="42"/>
      <c r="J46" s="83"/>
      <c r="K46" s="65"/>
      <c r="L46" s="42"/>
      <c r="M46" s="42">
        <f>Expenses!D46</f>
        <v>73510</v>
      </c>
      <c r="O46" s="83">
        <f>J46-K46-M46-N46-L46</f>
        <v>-73510</v>
      </c>
      <c r="P46" s="44"/>
      <c r="Q46" s="41">
        <v>0</v>
      </c>
      <c r="R46" s="42"/>
      <c r="S46" s="42"/>
      <c r="T46" s="42" t="e">
        <f ca="1">Expenses!F46</f>
        <v>#NAME?</v>
      </c>
      <c r="U46" s="42"/>
      <c r="V46" s="66" t="e">
        <f ca="1">ROUND(SUM(Q46:U46),0)</f>
        <v>#NAME?</v>
      </c>
    </row>
    <row r="47" spans="1:22" ht="2.25" customHeight="1" x14ac:dyDescent="0.25">
      <c r="A47" s="29"/>
      <c r="B47" s="38"/>
      <c r="C47" s="41"/>
      <c r="D47" s="42"/>
      <c r="E47" s="66">
        <f>C47-D47</f>
        <v>0</v>
      </c>
      <c r="F47" s="42"/>
      <c r="G47" s="41"/>
      <c r="H47" s="42"/>
      <c r="I47" s="42"/>
      <c r="J47" s="83"/>
      <c r="K47" s="65"/>
      <c r="L47" s="42"/>
      <c r="M47" s="42"/>
      <c r="N47" s="43"/>
      <c r="O47" s="83"/>
      <c r="P47" s="44"/>
      <c r="Q47" s="41"/>
      <c r="R47" s="42"/>
      <c r="S47" s="42"/>
      <c r="T47" s="42"/>
      <c r="U47" s="42"/>
      <c r="V47" s="66"/>
    </row>
    <row r="48" spans="1:22" ht="12" customHeight="1" x14ac:dyDescent="0.25">
      <c r="A48" s="29" t="s">
        <v>357</v>
      </c>
      <c r="B48" s="38"/>
      <c r="C48" s="41"/>
      <c r="D48" s="42" t="e">
        <f ca="1">'CapChrg-AllocExp'!L49</f>
        <v>#NAME?</v>
      </c>
      <c r="E48" s="66" t="e">
        <f ca="1">C48-D48</f>
        <v>#NAME?</v>
      </c>
      <c r="F48" s="42"/>
      <c r="G48" s="41"/>
      <c r="H48" s="42"/>
      <c r="I48" s="42"/>
      <c r="J48" s="83"/>
      <c r="K48" s="65"/>
      <c r="L48" s="42"/>
      <c r="M48" s="42"/>
      <c r="N48" s="43" t="e">
        <f ca="1">'CapChrg-AllocExp'!K49</f>
        <v>#NAME?</v>
      </c>
      <c r="O48" s="83" t="e">
        <f ca="1">J48-K48-M48-N48-L48</f>
        <v>#NAME?</v>
      </c>
      <c r="P48" s="44"/>
      <c r="Q48" s="41"/>
      <c r="R48" s="42"/>
      <c r="S48" s="42"/>
      <c r="T48" s="42"/>
      <c r="U48" s="42" t="e">
        <f ca="1">'CapChrg-AllocExp'!M49</f>
        <v>#NAME?</v>
      </c>
      <c r="V48" s="66" t="e">
        <f ca="1">ROUND(SUM(Q48:U48),0)</f>
        <v>#NAME?</v>
      </c>
    </row>
    <row r="49" spans="1:22" ht="3" customHeight="1" x14ac:dyDescent="0.25">
      <c r="A49" s="29"/>
      <c r="B49" s="38"/>
      <c r="C49" s="41"/>
      <c r="D49" s="42"/>
      <c r="E49" s="66"/>
      <c r="F49" s="42"/>
      <c r="G49" s="41"/>
      <c r="H49" s="42"/>
      <c r="I49" s="42"/>
      <c r="J49" s="83"/>
      <c r="K49" s="65"/>
      <c r="L49" s="65"/>
      <c r="M49" s="42"/>
      <c r="N49" s="43"/>
      <c r="O49" s="83"/>
      <c r="P49" s="44"/>
      <c r="Q49" s="41"/>
      <c r="R49" s="42"/>
      <c r="S49" s="42"/>
      <c r="T49" s="42"/>
      <c r="U49" s="42"/>
      <c r="V49" s="66"/>
    </row>
    <row r="50" spans="1:22" ht="12" customHeight="1" x14ac:dyDescent="0.25">
      <c r="A50" s="29" t="s">
        <v>18</v>
      </c>
      <c r="B50" s="38"/>
      <c r="C50" s="41" t="e">
        <f ca="1">GrossMargin!N49</f>
        <v>#NAME?</v>
      </c>
      <c r="D50" s="42" t="e">
        <f ca="1">Expenses!E48</f>
        <v>#NAME?</v>
      </c>
      <c r="E50" s="66" t="e">
        <f ca="1">C50-D50</f>
        <v>#NAME?</v>
      </c>
      <c r="F50" s="65"/>
      <c r="G50" s="41">
        <f>GrossMargin!J49</f>
        <v>-19368</v>
      </c>
      <c r="H50" s="42">
        <f>GrossMargin!K49</f>
        <v>0</v>
      </c>
      <c r="I50" s="42">
        <f>GrossMargin!L49</f>
        <v>0</v>
      </c>
      <c r="J50" s="83">
        <f>SUM(G50:I50)</f>
        <v>-19368</v>
      </c>
      <c r="K50" s="65"/>
      <c r="L50" s="42"/>
      <c r="M50" s="42" t="e">
        <f ca="1">Expenses!D48</f>
        <v>#NAME?</v>
      </c>
      <c r="N50" s="43"/>
      <c r="O50" s="83" t="e">
        <f ca="1">J50-K50-M50-N50-L50</f>
        <v>#NAME?</v>
      </c>
      <c r="P50" s="44"/>
      <c r="Q50" s="41" t="e">
        <f ca="1">GrossMargin!O49</f>
        <v>#NAME?</v>
      </c>
      <c r="R50" s="42"/>
      <c r="S50" s="42"/>
      <c r="T50" s="42" t="e">
        <f ca="1">Expenses!F48</f>
        <v>#NAME?</v>
      </c>
      <c r="U50" s="42"/>
      <c r="V50" s="66" t="e">
        <f ca="1">ROUND(SUM(Q50:U50),0)</f>
        <v>#NAME?</v>
      </c>
    </row>
    <row r="51" spans="1:22" ht="3" customHeight="1" x14ac:dyDescent="0.25">
      <c r="A51" s="29"/>
      <c r="B51" s="38"/>
      <c r="C51" s="41"/>
      <c r="D51" s="42"/>
      <c r="E51" s="66"/>
      <c r="F51" s="42"/>
      <c r="G51" s="41"/>
      <c r="H51" s="42"/>
      <c r="I51" s="42"/>
      <c r="J51" s="83"/>
      <c r="K51" s="65"/>
      <c r="L51" s="65"/>
      <c r="M51" s="42"/>
      <c r="N51" s="43"/>
      <c r="O51" s="83"/>
      <c r="P51" s="44"/>
      <c r="Q51" s="41"/>
      <c r="R51" s="42"/>
      <c r="S51" s="42"/>
      <c r="T51" s="42"/>
      <c r="U51" s="42"/>
      <c r="V51" s="66"/>
    </row>
    <row r="52" spans="1:22" ht="12" customHeight="1" x14ac:dyDescent="0.25">
      <c r="A52" s="29" t="s">
        <v>60</v>
      </c>
      <c r="B52" s="38"/>
      <c r="C52" s="41"/>
      <c r="D52" s="42" t="e">
        <f ca="1">'CapChrg-AllocExp'!E45</f>
        <v>#NAME?</v>
      </c>
      <c r="E52" s="66" t="e">
        <f ca="1">C52-D52</f>
        <v>#NAME?</v>
      </c>
      <c r="F52" s="42"/>
      <c r="G52" s="41"/>
      <c r="H52" s="42"/>
      <c r="I52" s="42"/>
      <c r="J52" s="83">
        <f>SUM(G52:I52)</f>
        <v>0</v>
      </c>
      <c r="K52" s="65"/>
      <c r="L52" s="42" t="e">
        <f ca="1">'CapChrg-AllocExp'!D45</f>
        <v>#NAME?</v>
      </c>
      <c r="M52" s="42"/>
      <c r="N52" s="43"/>
      <c r="O52" s="83" t="e">
        <f ca="1">J52-K52-M52-N52-L52</f>
        <v>#NAME?</v>
      </c>
      <c r="P52" s="44"/>
      <c r="Q52" s="41"/>
      <c r="R52" s="42"/>
      <c r="S52" s="42" t="e">
        <f ca="1">'CapChrg-AllocExp'!F45</f>
        <v>#NAME?</v>
      </c>
      <c r="T52" s="42"/>
      <c r="U52" s="42"/>
      <c r="V52" s="66" t="e">
        <f ca="1">ROUND(SUM(Q52:U52),0)</f>
        <v>#NAME?</v>
      </c>
    </row>
    <row r="53" spans="1:22" ht="3" customHeight="1" x14ac:dyDescent="0.25">
      <c r="A53" s="29"/>
      <c r="B53" s="38"/>
      <c r="C53" s="41"/>
      <c r="D53" s="42"/>
      <c r="E53" s="66"/>
      <c r="F53" s="42"/>
      <c r="G53" s="41"/>
      <c r="H53" s="42"/>
      <c r="I53" s="42"/>
      <c r="J53" s="83"/>
      <c r="K53" s="65"/>
      <c r="L53" s="65"/>
      <c r="M53" s="42"/>
      <c r="N53" s="43"/>
      <c r="O53" s="83"/>
      <c r="P53" s="44"/>
      <c r="Q53" s="41"/>
      <c r="R53" s="42"/>
      <c r="S53" s="42"/>
      <c r="T53" s="42"/>
      <c r="U53" s="42"/>
      <c r="V53" s="66">
        <f>ROUND(SUM(Q53:U53),0)</f>
        <v>0</v>
      </c>
    </row>
    <row r="54" spans="1:22" s="90" customFormat="1" ht="12" customHeight="1" x14ac:dyDescent="0.25">
      <c r="A54" s="94" t="s">
        <v>65</v>
      </c>
      <c r="B54" s="91"/>
      <c r="C54" s="99" t="e">
        <f ca="1">SUM(C44:C53)</f>
        <v>#NAME?</v>
      </c>
      <c r="D54" s="100" t="e">
        <f ca="1">SUM(D44:D53)</f>
        <v>#NAME?</v>
      </c>
      <c r="E54" s="101" t="e">
        <f ca="1">SUM(E44:E53)</f>
        <v>#NAME?</v>
      </c>
      <c r="F54" s="92"/>
      <c r="G54" s="99">
        <f t="shared" ref="G54:N54" si="18">SUM(G44:G53)</f>
        <v>89264</v>
      </c>
      <c r="H54" s="100">
        <f t="shared" si="18"/>
        <v>0</v>
      </c>
      <c r="I54" s="100">
        <f t="shared" si="18"/>
        <v>0</v>
      </c>
      <c r="J54" s="102">
        <f t="shared" si="18"/>
        <v>89264</v>
      </c>
      <c r="K54" s="100">
        <f t="shared" si="18"/>
        <v>44297</v>
      </c>
      <c r="L54" s="100" t="e">
        <f t="shared" ca="1" si="18"/>
        <v>#NAME?</v>
      </c>
      <c r="M54" s="100" t="e">
        <f t="shared" ca="1" si="18"/>
        <v>#NAME?</v>
      </c>
      <c r="N54" s="101" t="e">
        <f t="shared" ca="1" si="18"/>
        <v>#NAME?</v>
      </c>
      <c r="O54" s="102" t="e">
        <f ca="1">J54-K54-M54-N54-L54</f>
        <v>#NAME?</v>
      </c>
      <c r="P54" s="93"/>
      <c r="Q54" s="99" t="e">
        <f t="shared" ref="Q54:V54" ca="1" si="19">SUM(Q44:Q53)</f>
        <v>#NAME?</v>
      </c>
      <c r="R54" s="100">
        <f t="shared" si="19"/>
        <v>1139</v>
      </c>
      <c r="S54" s="100" t="e">
        <f t="shared" ca="1" si="19"/>
        <v>#NAME?</v>
      </c>
      <c r="T54" s="100" t="e">
        <f t="shared" ca="1" si="19"/>
        <v>#NAME?</v>
      </c>
      <c r="U54" s="100" t="e">
        <f t="shared" ca="1" si="19"/>
        <v>#NAME?</v>
      </c>
      <c r="V54" s="101" t="e">
        <f t="shared" ca="1" si="19"/>
        <v>#NAME?</v>
      </c>
    </row>
    <row r="55" spans="1:22" ht="3" customHeight="1" x14ac:dyDescent="0.25">
      <c r="A55" s="29"/>
      <c r="B55" s="38"/>
      <c r="C55" s="41"/>
      <c r="D55" s="42"/>
      <c r="E55" s="66"/>
      <c r="F55" s="42"/>
      <c r="G55" s="41"/>
      <c r="H55" s="42"/>
      <c r="I55" s="42"/>
      <c r="J55" s="83"/>
      <c r="K55" s="65"/>
      <c r="L55" s="65"/>
      <c r="M55" s="42"/>
      <c r="N55" s="43"/>
      <c r="O55" s="83"/>
      <c r="P55" s="44"/>
      <c r="Q55" s="41"/>
      <c r="R55" s="42"/>
      <c r="S55" s="42"/>
      <c r="T55" s="42"/>
      <c r="U55" s="42"/>
      <c r="V55" s="66"/>
    </row>
    <row r="56" spans="1:22" ht="12" customHeight="1" x14ac:dyDescent="0.25">
      <c r="A56" s="29" t="s">
        <v>150</v>
      </c>
      <c r="B56" s="38"/>
      <c r="C56" s="41"/>
      <c r="D56" s="42">
        <v>8600</v>
      </c>
      <c r="E56" s="66">
        <f>C56-D56</f>
        <v>-8600</v>
      </c>
      <c r="F56" s="42"/>
      <c r="G56" s="41"/>
      <c r="H56" s="42"/>
      <c r="I56" s="42"/>
      <c r="J56" s="83"/>
      <c r="K56" s="65"/>
      <c r="L56" s="65"/>
      <c r="M56" s="42">
        <v>8600</v>
      </c>
      <c r="N56" s="43"/>
      <c r="O56" s="83">
        <f>J56-K56-M56-N56-L56</f>
        <v>-8600</v>
      </c>
      <c r="P56" s="44"/>
      <c r="Q56" s="41"/>
      <c r="R56" s="42"/>
      <c r="S56" s="42"/>
      <c r="T56" s="42">
        <f>D56-M56</f>
        <v>0</v>
      </c>
      <c r="U56" s="42"/>
      <c r="V56" s="66">
        <f>ROUND(SUM(Q56:U56),0)</f>
        <v>0</v>
      </c>
    </row>
    <row r="57" spans="1:22" ht="3" customHeight="1" x14ac:dyDescent="0.25">
      <c r="A57" s="29"/>
      <c r="B57" s="38"/>
      <c r="C57" s="41"/>
      <c r="D57" s="42"/>
      <c r="E57" s="66"/>
      <c r="F57" s="42"/>
      <c r="G57" s="41"/>
      <c r="H57" s="42"/>
      <c r="I57" s="42"/>
      <c r="J57" s="83"/>
      <c r="K57" s="65"/>
      <c r="L57" s="65"/>
      <c r="M57" s="42"/>
      <c r="N57" s="43"/>
      <c r="O57" s="83"/>
      <c r="P57" s="44"/>
      <c r="Q57" s="41"/>
      <c r="R57" s="42"/>
      <c r="S57" s="42"/>
      <c r="T57" s="42"/>
      <c r="U57" s="42"/>
      <c r="V57" s="66"/>
    </row>
    <row r="58" spans="1:22" s="90" customFormat="1" ht="12" customHeight="1" x14ac:dyDescent="0.25">
      <c r="A58" s="94" t="s">
        <v>66</v>
      </c>
      <c r="B58" s="91"/>
      <c r="C58" s="95" t="e">
        <f ca="1">SUM(C54:C56)</f>
        <v>#NAME?</v>
      </c>
      <c r="D58" s="96" t="e">
        <f ca="1">SUM(D54:D56)</f>
        <v>#NAME?</v>
      </c>
      <c r="E58" s="97" t="e">
        <f ca="1">SUM(E54:E56)</f>
        <v>#NAME?</v>
      </c>
      <c r="F58" s="92"/>
      <c r="G58" s="95">
        <f t="shared" ref="G58:V58" si="20">SUM(G54:G56)</f>
        <v>89264</v>
      </c>
      <c r="H58" s="96">
        <f t="shared" si="20"/>
        <v>0</v>
      </c>
      <c r="I58" s="96">
        <f t="shared" si="20"/>
        <v>0</v>
      </c>
      <c r="J58" s="98">
        <f t="shared" si="20"/>
        <v>89264</v>
      </c>
      <c r="K58" s="96">
        <f t="shared" si="20"/>
        <v>44297</v>
      </c>
      <c r="L58" s="96" t="e">
        <f t="shared" ca="1" si="20"/>
        <v>#NAME?</v>
      </c>
      <c r="M58" s="96" t="e">
        <f t="shared" ca="1" si="20"/>
        <v>#NAME?</v>
      </c>
      <c r="N58" s="97" t="e">
        <f t="shared" ca="1" si="20"/>
        <v>#NAME?</v>
      </c>
      <c r="O58" s="98" t="e">
        <f ca="1">J58-K58-M58-N58-L58</f>
        <v>#NAME?</v>
      </c>
      <c r="P58" s="93"/>
      <c r="Q58" s="95" t="e">
        <f t="shared" ca="1" si="20"/>
        <v>#NAME?</v>
      </c>
      <c r="R58" s="96">
        <f t="shared" si="20"/>
        <v>1139</v>
      </c>
      <c r="S58" s="96" t="e">
        <f t="shared" ca="1" si="20"/>
        <v>#NAME?</v>
      </c>
      <c r="T58" s="96" t="e">
        <f t="shared" ca="1" si="20"/>
        <v>#NAME?</v>
      </c>
      <c r="U58" s="96" t="e">
        <f t="shared" ca="1" si="20"/>
        <v>#NAME?</v>
      </c>
      <c r="V58" s="97" t="e">
        <f t="shared" ca="1" si="20"/>
        <v>#NAME?</v>
      </c>
    </row>
    <row r="59" spans="1:22" s="38" customFormat="1" ht="3" customHeight="1" x14ac:dyDescent="0.25">
      <c r="A59" s="48"/>
      <c r="B59" s="36"/>
      <c r="C59" s="49"/>
      <c r="D59" s="50"/>
      <c r="E59" s="51"/>
      <c r="F59" s="42"/>
      <c r="G59" s="52"/>
      <c r="H59" s="53"/>
      <c r="I59" s="53"/>
      <c r="J59" s="48"/>
      <c r="K59" s="53"/>
      <c r="L59" s="53"/>
      <c r="M59" s="53"/>
      <c r="N59" s="54"/>
      <c r="O59" s="48"/>
      <c r="Q59" s="52"/>
      <c r="R59" s="53"/>
      <c r="S59" s="53"/>
      <c r="T59" s="53"/>
      <c r="U59" s="53"/>
      <c r="V59" s="54"/>
    </row>
    <row r="60" spans="1:22" ht="13.5" x14ac:dyDescent="0.25">
      <c r="A60" s="185"/>
      <c r="C60" s="186"/>
      <c r="D60" s="44"/>
      <c r="E60" s="185" t="s">
        <v>136</v>
      </c>
      <c r="F60" s="44"/>
      <c r="G60" s="191">
        <f>'GM-WklyChnge'!D52</f>
        <v>2214</v>
      </c>
    </row>
    <row r="61" spans="1:22" ht="6" customHeight="1" x14ac:dyDescent="0.25">
      <c r="C61" s="44"/>
      <c r="D61" s="44"/>
      <c r="E61" s="44"/>
      <c r="F61" s="44"/>
    </row>
    <row r="62" spans="1:22" x14ac:dyDescent="0.25">
      <c r="A62" s="177" t="s">
        <v>149</v>
      </c>
      <c r="C62" s="44"/>
      <c r="D62" s="44"/>
      <c r="E62" s="44"/>
      <c r="F62" s="44"/>
    </row>
    <row r="63" spans="1:22" x14ac:dyDescent="0.25">
      <c r="C63" s="44"/>
      <c r="D63" s="44"/>
      <c r="E63" s="44"/>
      <c r="F63" s="44"/>
    </row>
    <row r="64" spans="1:22" x14ac:dyDescent="0.25">
      <c r="C64" s="44"/>
      <c r="D64" s="44"/>
      <c r="E64" s="44"/>
      <c r="F64" s="44"/>
    </row>
    <row r="65" spans="1:6" x14ac:dyDescent="0.25">
      <c r="C65" s="44"/>
      <c r="D65" s="44"/>
      <c r="E65" s="44"/>
      <c r="F65" s="44"/>
    </row>
    <row r="66" spans="1:6" x14ac:dyDescent="0.25">
      <c r="C66" s="44"/>
      <c r="D66" s="44"/>
      <c r="E66" s="44"/>
      <c r="F66" s="44"/>
    </row>
    <row r="67" spans="1:6" x14ac:dyDescent="0.25">
      <c r="C67" s="44"/>
      <c r="D67" s="44"/>
      <c r="E67" s="44"/>
      <c r="F67" s="44"/>
    </row>
    <row r="68" spans="1:6" x14ac:dyDescent="0.25">
      <c r="C68" s="44"/>
      <c r="D68" s="44"/>
      <c r="E68" s="44"/>
      <c r="F68" s="44"/>
    </row>
    <row r="69" spans="1:6" x14ac:dyDescent="0.25">
      <c r="C69" s="44"/>
      <c r="D69" s="44"/>
      <c r="E69" s="44"/>
      <c r="F69" s="44"/>
    </row>
    <row r="70" spans="1:6" x14ac:dyDescent="0.25">
      <c r="C70" s="44"/>
      <c r="D70" s="44"/>
      <c r="E70" s="44"/>
    </row>
    <row r="71" spans="1:6" x14ac:dyDescent="0.25">
      <c r="C71" s="44"/>
      <c r="D71" s="44"/>
      <c r="E71" s="44"/>
    </row>
    <row r="72" spans="1:6" x14ac:dyDescent="0.25">
      <c r="C72" s="44"/>
      <c r="D72" s="44"/>
      <c r="E72" s="44"/>
    </row>
    <row r="73" spans="1:6" x14ac:dyDescent="0.25">
      <c r="C73" s="44"/>
      <c r="D73" s="44"/>
      <c r="E73" s="44"/>
    </row>
    <row r="74" spans="1:6" x14ac:dyDescent="0.25">
      <c r="C74" s="44"/>
      <c r="D74" s="44"/>
      <c r="E74" s="44"/>
    </row>
    <row r="75" spans="1:6" x14ac:dyDescent="0.25">
      <c r="C75" s="44"/>
      <c r="D75" s="44"/>
      <c r="E75" s="44"/>
    </row>
    <row r="76" spans="1:6" hidden="1" x14ac:dyDescent="0.25">
      <c r="C76" s="44"/>
      <c r="D76" s="44"/>
      <c r="E76" s="44"/>
      <c r="F76" s="44"/>
    </row>
    <row r="77" spans="1:6" hidden="1" x14ac:dyDescent="0.25">
      <c r="A77" s="44"/>
    </row>
    <row r="78" spans="1:6" hidden="1" x14ac:dyDescent="0.25">
      <c r="A78" s="44"/>
    </row>
    <row r="79" spans="1:6" hidden="1" x14ac:dyDescent="0.25">
      <c r="A79" s="44"/>
    </row>
    <row r="80" spans="1:6" hidden="1" x14ac:dyDescent="0.25">
      <c r="A80" s="44"/>
    </row>
    <row r="81" spans="1:6" hidden="1" x14ac:dyDescent="0.25">
      <c r="A81" s="44"/>
    </row>
    <row r="82" spans="1:6" hidden="1" x14ac:dyDescent="0.25">
      <c r="A82" s="44"/>
    </row>
    <row r="83" spans="1:6" hidden="1" x14ac:dyDescent="0.25">
      <c r="C83" s="44"/>
      <c r="D83" s="44"/>
      <c r="E83" s="44"/>
      <c r="F83" s="44"/>
    </row>
    <row r="84" spans="1:6" hidden="1" x14ac:dyDescent="0.25">
      <c r="C84" s="44"/>
      <c r="D84" s="44"/>
      <c r="E84" s="44"/>
      <c r="F84" s="44"/>
    </row>
    <row r="85" spans="1:6" hidden="1" x14ac:dyDescent="0.25"/>
    <row r="86" spans="1:6" hidden="1" x14ac:dyDescent="0.25"/>
    <row r="87" spans="1:6" hidden="1" x14ac:dyDescent="0.25"/>
    <row r="88" spans="1:6" hidden="1" x14ac:dyDescent="0.25"/>
  </sheetData>
  <mergeCells count="6">
    <mergeCell ref="C5:E5"/>
    <mergeCell ref="Q5:V5"/>
    <mergeCell ref="G5:O5"/>
    <mergeCell ref="A1:V1"/>
    <mergeCell ref="A2:V2"/>
    <mergeCell ref="A3:V3"/>
  </mergeCells>
  <printOptions horizontalCentered="1"/>
  <pageMargins left="0.1" right="0.1" top="0.25" bottom="0.5" header="0.25" footer="0.25"/>
  <pageSetup scale="83" orientation="landscape" verticalDpi="300" r:id="rId1"/>
  <headerFooter alignWithMargins="0">
    <oddFooter>&amp;L&amp;8&amp;A
&amp;D &amp;T&amp;R&amp;8&amp;F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I85"/>
  <sheetViews>
    <sheetView workbookViewId="0">
      <selection activeCell="B6" sqref="B6"/>
    </sheetView>
  </sheetViews>
  <sheetFormatPr defaultRowHeight="12.75" x14ac:dyDescent="0.25"/>
  <cols>
    <col min="1" max="1" width="23.7109375" style="27" customWidth="1"/>
    <col min="2" max="2" width="1" style="27" customWidth="1"/>
    <col min="3" max="5" width="7.7109375" style="27" customWidth="1"/>
    <col min="6" max="6" width="0.85546875" style="27" customWidth="1"/>
    <col min="7" max="9" width="7.7109375" style="27" customWidth="1"/>
    <col min="10" max="12" width="9.28515625" style="27" customWidth="1"/>
    <col min="13" max="15" width="7.7109375" style="27" customWidth="1"/>
    <col min="16" max="16" width="0.85546875" style="27" customWidth="1"/>
    <col min="17" max="21" width="7.7109375" style="27" customWidth="1"/>
    <col min="22" max="22" width="8.7109375" style="27" customWidth="1"/>
    <col min="23" max="23" width="9.140625" style="27"/>
    <col min="24" max="24" width="16.85546875" style="25" customWidth="1"/>
    <col min="25" max="16384" width="9.140625" style="27"/>
  </cols>
  <sheetData>
    <row r="1" spans="1:35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  <c r="R1" s="378"/>
      <c r="S1" s="378"/>
      <c r="T1" s="378"/>
      <c r="U1" s="378"/>
      <c r="V1" s="378"/>
      <c r="X1" s="25" t="s">
        <v>102</v>
      </c>
      <c r="Y1" s="25" t="s">
        <v>50</v>
      </c>
      <c r="Z1" s="25"/>
      <c r="AA1" s="25" t="s">
        <v>55</v>
      </c>
      <c r="AB1" s="25" t="s">
        <v>54</v>
      </c>
      <c r="AC1" s="25" t="s">
        <v>56</v>
      </c>
      <c r="AE1" s="25" t="s">
        <v>50</v>
      </c>
      <c r="AF1" s="25"/>
      <c r="AG1" s="25" t="s">
        <v>55</v>
      </c>
      <c r="AH1" s="25" t="s">
        <v>54</v>
      </c>
      <c r="AI1" s="25" t="s">
        <v>56</v>
      </c>
    </row>
    <row r="2" spans="1:35" ht="16.5" x14ac:dyDescent="0.3">
      <c r="A2" s="379" t="s">
        <v>159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  <c r="R2" s="379"/>
      <c r="S2" s="379"/>
      <c r="T2" s="379"/>
      <c r="U2" s="379"/>
      <c r="V2" s="379"/>
      <c r="X2" s="26">
        <v>36707</v>
      </c>
      <c r="Y2" s="25"/>
      <c r="Z2" s="25"/>
      <c r="AA2" s="25"/>
      <c r="AB2" s="25"/>
      <c r="AC2" s="25"/>
      <c r="AE2" s="25" t="s">
        <v>64</v>
      </c>
      <c r="AF2" s="26">
        <v>36616</v>
      </c>
      <c r="AG2" s="25"/>
      <c r="AH2" s="25"/>
      <c r="AI2" s="25"/>
    </row>
    <row r="3" spans="1:35" ht="13.5" x14ac:dyDescent="0.25">
      <c r="A3" s="380" t="s">
        <v>160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  <c r="O3" s="380"/>
      <c r="P3" s="380"/>
      <c r="Q3" s="380"/>
      <c r="R3" s="380"/>
      <c r="S3" s="380"/>
      <c r="T3" s="380"/>
      <c r="U3" s="380"/>
      <c r="V3" s="380"/>
      <c r="X3" s="25" t="s">
        <v>63</v>
      </c>
      <c r="Y3" s="25"/>
      <c r="Z3" s="25"/>
      <c r="AA3" s="25"/>
      <c r="AB3" s="25"/>
      <c r="AC3" s="25"/>
      <c r="AE3" s="25"/>
      <c r="AF3" s="25"/>
      <c r="AG3" s="25"/>
      <c r="AH3" s="25"/>
      <c r="AI3" s="25"/>
    </row>
    <row r="4" spans="1:35" ht="3" customHeight="1" x14ac:dyDescent="0.25"/>
    <row r="5" spans="1:35" ht="12" customHeight="1" x14ac:dyDescent="0.25">
      <c r="A5" s="28"/>
      <c r="C5" s="381" t="s">
        <v>15</v>
      </c>
      <c r="D5" s="382"/>
      <c r="E5" s="383"/>
      <c r="G5" s="381" t="s">
        <v>72</v>
      </c>
      <c r="H5" s="382"/>
      <c r="I5" s="382"/>
      <c r="J5" s="382"/>
      <c r="K5" s="382"/>
      <c r="L5" s="382"/>
      <c r="M5" s="382"/>
      <c r="N5" s="382"/>
      <c r="O5" s="383"/>
      <c r="Q5" s="381" t="s">
        <v>61</v>
      </c>
      <c r="R5" s="382"/>
      <c r="S5" s="382"/>
      <c r="T5" s="382"/>
      <c r="U5" s="382"/>
      <c r="V5" s="383"/>
      <c r="X5" s="25" t="s">
        <v>125</v>
      </c>
      <c r="Y5" s="381" t="s">
        <v>169</v>
      </c>
      <c r="Z5" s="382"/>
      <c r="AA5" s="382"/>
      <c r="AB5" s="382"/>
      <c r="AC5" s="383"/>
      <c r="AE5" s="381" t="s">
        <v>169</v>
      </c>
      <c r="AF5" s="382"/>
      <c r="AG5" s="382"/>
      <c r="AH5" s="382"/>
      <c r="AI5" s="383"/>
    </row>
    <row r="6" spans="1:35" ht="12" customHeight="1" x14ac:dyDescent="0.25">
      <c r="A6" s="29"/>
      <c r="C6" s="78"/>
      <c r="D6" s="79"/>
      <c r="E6" s="80"/>
      <c r="G6" s="32" t="s">
        <v>71</v>
      </c>
      <c r="H6" s="32" t="s">
        <v>11</v>
      </c>
      <c r="I6" s="32" t="s">
        <v>13</v>
      </c>
      <c r="J6" s="32" t="s">
        <v>14</v>
      </c>
      <c r="K6" s="32" t="s">
        <v>129</v>
      </c>
      <c r="L6" s="32" t="s">
        <v>23</v>
      </c>
      <c r="M6" s="32" t="s">
        <v>22</v>
      </c>
      <c r="N6" s="32" t="s">
        <v>25</v>
      </c>
      <c r="O6" s="32"/>
      <c r="Q6" s="31" t="s">
        <v>14</v>
      </c>
      <c r="R6" s="32" t="s">
        <v>129</v>
      </c>
      <c r="S6" s="32" t="s">
        <v>23</v>
      </c>
      <c r="T6" s="31" t="s">
        <v>22</v>
      </c>
      <c r="U6" s="31" t="s">
        <v>25</v>
      </c>
      <c r="V6" s="31"/>
      <c r="Y6" s="31" t="s">
        <v>14</v>
      </c>
      <c r="Z6" s="31" t="s">
        <v>129</v>
      </c>
      <c r="AA6" s="31" t="s">
        <v>23</v>
      </c>
      <c r="AB6" s="31" t="s">
        <v>22</v>
      </c>
      <c r="AC6" s="31" t="s">
        <v>25</v>
      </c>
      <c r="AE6" s="31" t="s">
        <v>14</v>
      </c>
      <c r="AF6" s="31" t="s">
        <v>129</v>
      </c>
      <c r="AG6" s="31" t="s">
        <v>23</v>
      </c>
      <c r="AH6" s="31" t="s">
        <v>22</v>
      </c>
      <c r="AI6" s="31" t="s">
        <v>25</v>
      </c>
    </row>
    <row r="7" spans="1:35" ht="12" customHeight="1" x14ac:dyDescent="0.25">
      <c r="A7" s="32" t="s">
        <v>16</v>
      </c>
      <c r="B7" s="29"/>
      <c r="C7" s="33" t="s">
        <v>21</v>
      </c>
      <c r="D7" s="34" t="s">
        <v>148</v>
      </c>
      <c r="E7" s="35" t="s">
        <v>147</v>
      </c>
      <c r="F7" s="36"/>
      <c r="G7" s="37" t="s">
        <v>21</v>
      </c>
      <c r="H7" s="37" t="s">
        <v>12</v>
      </c>
      <c r="I7" s="37" t="s">
        <v>21</v>
      </c>
      <c r="J7" s="37" t="s">
        <v>21</v>
      </c>
      <c r="K7" s="37" t="s">
        <v>59</v>
      </c>
      <c r="L7" s="37" t="s">
        <v>24</v>
      </c>
      <c r="M7" s="37" t="s">
        <v>59</v>
      </c>
      <c r="N7" s="37" t="s">
        <v>59</v>
      </c>
      <c r="O7" s="37" t="s">
        <v>14</v>
      </c>
      <c r="Q7" s="37" t="s">
        <v>21</v>
      </c>
      <c r="R7" s="37" t="s">
        <v>59</v>
      </c>
      <c r="S7" s="37" t="s">
        <v>24</v>
      </c>
      <c r="T7" s="37" t="s">
        <v>59</v>
      </c>
      <c r="U7" s="37" t="s">
        <v>59</v>
      </c>
      <c r="V7" s="37" t="s">
        <v>14</v>
      </c>
      <c r="Y7" s="37" t="s">
        <v>21</v>
      </c>
      <c r="Z7" s="37" t="s">
        <v>59</v>
      </c>
      <c r="AA7" s="37" t="s">
        <v>24</v>
      </c>
      <c r="AB7" s="37" t="s">
        <v>59</v>
      </c>
      <c r="AC7" s="37" t="s">
        <v>59</v>
      </c>
      <c r="AE7" s="37" t="s">
        <v>21</v>
      </c>
      <c r="AF7" s="37" t="s">
        <v>59</v>
      </c>
      <c r="AG7" s="37" t="s">
        <v>24</v>
      </c>
      <c r="AH7" s="37" t="s">
        <v>59</v>
      </c>
      <c r="AI7" s="37" t="s">
        <v>59</v>
      </c>
    </row>
    <row r="8" spans="1:35" ht="3" customHeight="1" x14ac:dyDescent="0.25">
      <c r="A8" s="28"/>
      <c r="B8" s="38"/>
      <c r="C8" s="39"/>
      <c r="D8" s="40"/>
      <c r="E8" s="30"/>
      <c r="F8" s="38"/>
      <c r="G8" s="39"/>
      <c r="H8" s="40"/>
      <c r="I8" s="40"/>
      <c r="J8" s="28"/>
      <c r="K8" s="40"/>
      <c r="L8" s="40"/>
      <c r="M8" s="40"/>
      <c r="N8" s="30"/>
      <c r="O8" s="28"/>
      <c r="Q8" s="39"/>
      <c r="R8" s="40"/>
      <c r="S8" s="40"/>
      <c r="T8" s="40"/>
      <c r="U8" s="40"/>
      <c r="V8" s="30"/>
    </row>
    <row r="9" spans="1:35" ht="12" customHeight="1" x14ac:dyDescent="0.25">
      <c r="A9" s="29" t="s">
        <v>3</v>
      </c>
      <c r="B9" s="38"/>
      <c r="C9" s="59" t="e">
        <f ca="1">Y9</f>
        <v>#NAME?</v>
      </c>
      <c r="D9" s="60" t="e">
        <f ca="1">SUM(Z9:AC9)</f>
        <v>#NAME?</v>
      </c>
      <c r="E9" s="66" t="e">
        <f ca="1">C9-D9</f>
        <v>#NAME?</v>
      </c>
      <c r="F9" s="42"/>
      <c r="G9" s="59"/>
      <c r="H9" s="60"/>
      <c r="I9" s="60"/>
      <c r="J9" s="82">
        <f t="shared" ref="J9:J18" si="0">SUM(G9:I9)</f>
        <v>0</v>
      </c>
      <c r="K9" s="178"/>
      <c r="L9" s="178"/>
      <c r="M9" s="60"/>
      <c r="N9" s="61"/>
      <c r="O9" s="82">
        <f t="shared" ref="O9:O19" si="1">J9-M9-N9</f>
        <v>0</v>
      </c>
      <c r="P9" s="44"/>
      <c r="Q9" s="59"/>
      <c r="R9" s="60"/>
      <c r="S9" s="60"/>
      <c r="T9" s="60"/>
      <c r="U9" s="60"/>
      <c r="V9" s="84">
        <f t="shared" ref="V9:V18" si="2">ROUND(SUM(Q9:U9),0)</f>
        <v>0</v>
      </c>
      <c r="X9" s="25" t="s">
        <v>26</v>
      </c>
      <c r="Y9" s="44" t="e">
        <f ca="1">_xll.HPVAL($X9,$X$1,Y$1,$X$2,$X$3,$X$5)/1000</f>
        <v>#NAME?</v>
      </c>
      <c r="AA9" s="44" t="e">
        <f ca="1">_xll.HPVAL($X9,$X$1,AA$1,$X$2,$X$3,$X$5)/1000</f>
        <v>#NAME?</v>
      </c>
      <c r="AB9" s="44" t="e">
        <f ca="1">_xll.HPVAL($X9,$X$1,AB$1,$X$2,$X$3,$X$5)/1000</f>
        <v>#NAME?</v>
      </c>
      <c r="AC9" s="44" t="e">
        <f ca="1">_xll.HPVAL($X9,$X$1,AC$1,$X$2,$X$3,$X$5)/1000</f>
        <v>#NAME?</v>
      </c>
      <c r="AE9" s="44" t="e">
        <f ca="1">_xll.HPVAL($X9,$AE$2,AE$1,$AF$2,$X$3,$X$5)/1000</f>
        <v>#NAME?</v>
      </c>
      <c r="AG9" s="44" t="e">
        <f ca="1">_xll.HPVAL($X9,$AE$2,AG$1,$AF$2,$X$3,$X$5)/1000</f>
        <v>#NAME?</v>
      </c>
      <c r="AH9" s="44" t="e">
        <f ca="1">_xll.HPVAL($X9,$AE$2,AH$1,$AF$2,$X$3,$X$5)/1000</f>
        <v>#NAME?</v>
      </c>
      <c r="AI9" s="44" t="e">
        <f ca="1">_xll.HPVAL($X9,$AE$2,AI$1,$AF$2,$X$3,$X$5)/1000</f>
        <v>#NAME?</v>
      </c>
    </row>
    <row r="10" spans="1:35" ht="12" customHeight="1" x14ac:dyDescent="0.25">
      <c r="A10" s="29" t="s">
        <v>106</v>
      </c>
      <c r="B10" s="38"/>
      <c r="C10" s="41" t="e">
        <f t="shared" ref="C10:C18" ca="1" si="3">Y10</f>
        <v>#NAME?</v>
      </c>
      <c r="D10" s="42" t="e">
        <f t="shared" ref="D10:D18" ca="1" si="4">SUM(Z10:AC10)</f>
        <v>#NAME?</v>
      </c>
      <c r="E10" s="66" t="e">
        <f t="shared" ref="E10:E18" ca="1" si="5">C10-D10</f>
        <v>#NAME?</v>
      </c>
      <c r="F10" s="42"/>
      <c r="G10" s="41"/>
      <c r="H10" s="42"/>
      <c r="I10" s="42"/>
      <c r="J10" s="83">
        <f t="shared" si="0"/>
        <v>0</v>
      </c>
      <c r="K10" s="65"/>
      <c r="L10" s="65"/>
      <c r="M10" s="42"/>
      <c r="N10" s="43"/>
      <c r="O10" s="83">
        <f t="shared" si="1"/>
        <v>0</v>
      </c>
      <c r="P10" s="44"/>
      <c r="Q10" s="41"/>
      <c r="R10" s="42"/>
      <c r="S10" s="42"/>
      <c r="T10" s="42"/>
      <c r="U10" s="42"/>
      <c r="V10" s="66">
        <f t="shared" si="2"/>
        <v>0</v>
      </c>
      <c r="X10" s="25" t="s">
        <v>105</v>
      </c>
      <c r="Y10" s="44" t="e">
        <f ca="1">_xll.HPVAL($X10,$X$1,Y$1,$X$2,$X$3,$X$5)/1000-_xll.HPVAL("gencos",$X$1,Y$1,$X$2,$X$3,$X$5)/1000</f>
        <v>#NAME?</v>
      </c>
      <c r="AA10" s="44" t="e">
        <f ca="1">_xll.HPVAL($X10,$X$1,AA$1,$X$2,$X$3,$X$5)/1000-AA29</f>
        <v>#NAME?</v>
      </c>
      <c r="AB10" s="44" t="e">
        <f ca="1">_xll.HPVAL($X10,$X$1,AB$1,$X$2,$X$3,$X$5)/1000-AB29</f>
        <v>#NAME?</v>
      </c>
      <c r="AC10" s="44" t="e">
        <f ca="1">_xll.HPVAL($X10,$X$1,AC$1,$X$2,$X$3,$X$5)/1000-AC29</f>
        <v>#NAME?</v>
      </c>
      <c r="AE10" s="44" t="e">
        <f ca="1">_xll.HPVAL($X10,$AE$2,AE$1,$AF$2,$X$3,$X$5)/1000-_xll.HPVAL("gencos",$AE$2,AE$1,$AF$2,$X$3,$X$5)/1000</f>
        <v>#NAME?</v>
      </c>
      <c r="AG10" s="44" t="e">
        <f ca="1">_xll.HPVAL($X10,$AE$2,AG$1,$AF$2,$X$3,$X$5)/1000-AG29</f>
        <v>#NAME?</v>
      </c>
      <c r="AH10" s="44" t="e">
        <f ca="1">_xll.HPVAL($X10,$AE$2,AH$1,$AF$2,$X$3,$X$5)/1000-AH29</f>
        <v>#NAME?</v>
      </c>
      <c r="AI10" s="44" t="e">
        <f ca="1">_xll.HPVAL($X10,$AE$2,AI$1,$AF$2,$X$3,$X$5)/1000-AI29</f>
        <v>#NAME?</v>
      </c>
    </row>
    <row r="11" spans="1:35" ht="12" customHeight="1" x14ac:dyDescent="0.25">
      <c r="A11" s="29" t="s">
        <v>132</v>
      </c>
      <c r="B11" s="38"/>
      <c r="C11" s="41" t="e">
        <f t="shared" ca="1" si="3"/>
        <v>#NAME?</v>
      </c>
      <c r="D11" s="42" t="e">
        <f t="shared" ca="1" si="4"/>
        <v>#NAME?</v>
      </c>
      <c r="E11" s="66" t="e">
        <f t="shared" ca="1" si="5"/>
        <v>#NAME?</v>
      </c>
      <c r="F11" s="42"/>
      <c r="G11" s="41"/>
      <c r="H11" s="42"/>
      <c r="I11" s="42"/>
      <c r="J11" s="83">
        <f t="shared" si="0"/>
        <v>0</v>
      </c>
      <c r="K11" s="65"/>
      <c r="L11" s="65"/>
      <c r="M11" s="42"/>
      <c r="N11" s="43"/>
      <c r="O11" s="83">
        <f t="shared" si="1"/>
        <v>0</v>
      </c>
      <c r="P11" s="44"/>
      <c r="Q11" s="41"/>
      <c r="R11" s="42"/>
      <c r="S11" s="42"/>
      <c r="T11" s="42"/>
      <c r="U11" s="42"/>
      <c r="V11" s="66">
        <f t="shared" si="2"/>
        <v>0</v>
      </c>
      <c r="X11" s="25" t="s">
        <v>27</v>
      </c>
      <c r="Y11" s="44" t="e">
        <f ca="1">_xll.HPVAL($X11,$X$1,"other",$X$2,$X$3,$X$5)/1000+_xll.HPVAL($X11,$X$1,"overview",$X$2,$X$3,$X$5)/1000</f>
        <v>#NAME?</v>
      </c>
      <c r="AA11" s="44" t="e">
        <f ca="1">_xll.HPVAL($X11,$X$1,AA$1,$X$2,$X$3,$X$5)/1000</f>
        <v>#NAME?</v>
      </c>
      <c r="AB11" s="44" t="e">
        <f ca="1">_xll.HPVAL($X11,$X$1,AB$1,$X$2,$X$3,$X$5)/1000*0.8577</f>
        <v>#NAME?</v>
      </c>
      <c r="AC11" s="44" t="e">
        <f ca="1">_xll.HPVAL($X11,$X$1,AC$1,$X$2,$X$3,$X$5)/1000*0.8577</f>
        <v>#NAME?</v>
      </c>
      <c r="AE11" s="44" t="e">
        <f ca="1">_xll.HPVAL($X11,$AE$2,"other",$AF$2,$X$3,$X$5)/1000+_xll.HPVAL($X11,$AE$2,"overview",$AF$2,$X$3,$X$5)/1000</f>
        <v>#NAME?</v>
      </c>
      <c r="AG11" s="44" t="e">
        <f ca="1">_xll.HPVAL($X11,$AE$2,AG$1,$AF$2,$X$3,$X$5)/1000</f>
        <v>#NAME?</v>
      </c>
      <c r="AH11" s="44" t="e">
        <f ca="1">_xll.HPVAL($X11,$AE$2,AH$1,$AF$2,$X$3,$X$5)/1000*0.8577</f>
        <v>#NAME?</v>
      </c>
      <c r="AI11" s="44" t="e">
        <f ca="1">_xll.HPVAL($X11,$AE$2,AI$1,$AF$2,$X$3,$X$5)/1000*0.8577</f>
        <v>#NAME?</v>
      </c>
    </row>
    <row r="12" spans="1:35" ht="12" customHeight="1" x14ac:dyDescent="0.25">
      <c r="A12" s="29" t="s">
        <v>133</v>
      </c>
      <c r="B12" s="38"/>
      <c r="C12" s="41" t="e">
        <f t="shared" ca="1" si="3"/>
        <v>#NAME?</v>
      </c>
      <c r="D12" s="42" t="e">
        <f t="shared" ca="1" si="4"/>
        <v>#NAME?</v>
      </c>
      <c r="E12" s="66" t="e">
        <f t="shared" ca="1" si="5"/>
        <v>#NAME?</v>
      </c>
      <c r="F12" s="42"/>
      <c r="G12" s="41"/>
      <c r="H12" s="42"/>
      <c r="I12" s="42"/>
      <c r="J12" s="83">
        <f>SUM(G12:I12)</f>
        <v>0</v>
      </c>
      <c r="K12" s="65"/>
      <c r="L12" s="65"/>
      <c r="M12" s="42"/>
      <c r="N12" s="43"/>
      <c r="O12" s="83">
        <f>J12-M12-N12</f>
        <v>0</v>
      </c>
      <c r="P12" s="44"/>
      <c r="Q12" s="41"/>
      <c r="R12" s="42"/>
      <c r="S12" s="42"/>
      <c r="T12" s="42"/>
      <c r="U12" s="42"/>
      <c r="V12" s="66">
        <f>ROUND(SUM(Q12:U12),0)</f>
        <v>0</v>
      </c>
      <c r="X12" s="25" t="s">
        <v>134</v>
      </c>
      <c r="Y12" s="44" t="e">
        <f ca="1">_xll.HPVAL($X12,$X$1,Y$1,$X$2,$X$3,$X$5)/1000-Y11</f>
        <v>#NAME?</v>
      </c>
      <c r="AA12" s="44" t="e">
        <f ca="1">_xll.HPVAL($X12,$X$1,AA$1,$X$2,$X$3,$X$5)/1000</f>
        <v>#NAME?</v>
      </c>
      <c r="AB12" s="44" t="e">
        <f ca="1">_xll.HPVAL($X12,$X$1,AB$1,$X$2,$X$3,$X$5)/1000-AB11</f>
        <v>#NAME?</v>
      </c>
      <c r="AC12" s="44" t="e">
        <f ca="1">_xll.HPVAL($X12,$X$1,AC$1,$X$2,$X$3,$X$5)/1000-AC11</f>
        <v>#NAME?</v>
      </c>
      <c r="AE12" s="44" t="e">
        <f ca="1">_xll.HPVAL($X12,$AE$2,AE$1,$AF$2,$X$3,$X$5)/1000-AE11</f>
        <v>#NAME?</v>
      </c>
      <c r="AG12" s="44" t="e">
        <f ca="1">_xll.HPVAL($X12,$AE$2,AG$1,$AF$2,$X$3,$X$5)/1000</f>
        <v>#NAME?</v>
      </c>
      <c r="AH12" s="44" t="e">
        <f ca="1">_xll.HPVAL($X12,$AE$2,AH$1,$AF$2,$X$3,$X$5)/1000-AH11</f>
        <v>#NAME?</v>
      </c>
      <c r="AI12" s="44" t="e">
        <f ca="1">_xll.HPVAL($X12,$AE$2,AI$1,$AF$2,$X$3,$X$5)/1000-AI11</f>
        <v>#NAME?</v>
      </c>
    </row>
    <row r="13" spans="1:35" ht="12" customHeight="1" x14ac:dyDescent="0.25">
      <c r="A13" s="29" t="s">
        <v>114</v>
      </c>
      <c r="B13" s="38"/>
      <c r="C13" s="41" t="e">
        <f t="shared" ca="1" si="3"/>
        <v>#NAME?</v>
      </c>
      <c r="D13" s="42" t="e">
        <f t="shared" ca="1" si="4"/>
        <v>#NAME?</v>
      </c>
      <c r="E13" s="66" t="e">
        <f t="shared" ca="1" si="5"/>
        <v>#NAME?</v>
      </c>
      <c r="F13" s="42"/>
      <c r="G13" s="41"/>
      <c r="H13" s="42"/>
      <c r="I13" s="42"/>
      <c r="J13" s="83">
        <f t="shared" si="0"/>
        <v>0</v>
      </c>
      <c r="K13" s="65"/>
      <c r="L13" s="65"/>
      <c r="M13" s="42"/>
      <c r="N13" s="43"/>
      <c r="O13" s="83">
        <f t="shared" si="1"/>
        <v>0</v>
      </c>
      <c r="P13" s="44"/>
      <c r="Q13" s="41"/>
      <c r="R13" s="42"/>
      <c r="S13" s="42"/>
      <c r="T13" s="42"/>
      <c r="U13" s="42"/>
      <c r="V13" s="66">
        <f t="shared" si="2"/>
        <v>0</v>
      </c>
      <c r="X13" s="25" t="s">
        <v>43</v>
      </c>
      <c r="Y13" s="44" t="e">
        <f ca="1">_xll.HPVAL($X13,$X$1,Y$1,$X$2,$X$3,$X$5)/1000</f>
        <v>#NAME?</v>
      </c>
      <c r="AA13" s="44" t="e">
        <f ca="1">_xll.HPVAL($X13,$X$1,AA$1,$X$2,$X$3,$X$5)/1000</f>
        <v>#NAME?</v>
      </c>
      <c r="AB13" s="44" t="e">
        <f ca="1">_xll.HPVAL($X13,$X$1,AB$1,$X$2,$X$3,$X$5)/1000</f>
        <v>#NAME?</v>
      </c>
      <c r="AC13" s="44" t="e">
        <f ca="1">_xll.HPVAL($X13,$X$1,AC$1,$X$2,$X$3,$X$5)/1000</f>
        <v>#NAME?</v>
      </c>
      <c r="AE13" s="44" t="e">
        <f ca="1">_xll.HPVAL($X13,$AE$2,AE$1,$AF$2,$X$3,$X$5)/1000</f>
        <v>#NAME?</v>
      </c>
      <c r="AG13" s="44" t="e">
        <f ca="1">_xll.HPVAL($X13,$AE$2,AG$1,$AF$2,$X$3,$X$5)/1000</f>
        <v>#NAME?</v>
      </c>
      <c r="AH13" s="44" t="e">
        <f ca="1">_xll.HPVAL($X13,$AE$2,AH$1,$AF$2,$X$3,$X$5)/1000</f>
        <v>#NAME?</v>
      </c>
      <c r="AI13" s="44" t="e">
        <f ca="1">_xll.HPVAL($X13,$AE$2,AI$1,$AF$2,$X$3,$X$5)/1000</f>
        <v>#NAME?</v>
      </c>
    </row>
    <row r="14" spans="1:35" ht="12" customHeight="1" x14ac:dyDescent="0.25">
      <c r="A14" s="29" t="s">
        <v>5</v>
      </c>
      <c r="B14" s="38"/>
      <c r="C14" s="41" t="e">
        <f t="shared" ca="1" si="3"/>
        <v>#NAME?</v>
      </c>
      <c r="D14" s="42" t="e">
        <f t="shared" ca="1" si="4"/>
        <v>#NAME?</v>
      </c>
      <c r="E14" s="66" t="e">
        <f t="shared" ca="1" si="5"/>
        <v>#NAME?</v>
      </c>
      <c r="F14" s="42"/>
      <c r="G14" s="41"/>
      <c r="H14" s="42"/>
      <c r="I14" s="42"/>
      <c r="J14" s="83">
        <f t="shared" si="0"/>
        <v>0</v>
      </c>
      <c r="K14" s="65"/>
      <c r="L14" s="65"/>
      <c r="M14" s="42"/>
      <c r="N14" s="43"/>
      <c r="O14" s="83">
        <f t="shared" si="1"/>
        <v>0</v>
      </c>
      <c r="P14" s="44"/>
      <c r="Q14" s="41"/>
      <c r="R14" s="42"/>
      <c r="S14" s="42"/>
      <c r="T14" s="42"/>
      <c r="U14" s="42"/>
      <c r="V14" s="66">
        <f t="shared" si="2"/>
        <v>0</v>
      </c>
      <c r="X14" s="25" t="s">
        <v>28</v>
      </c>
      <c r="Y14" s="44" t="e">
        <f ca="1">_xll.HPVAL($X14,$X$1,Y$1,$X$2,$X$3,$X$5)/1000</f>
        <v>#NAME?</v>
      </c>
      <c r="AA14" s="44" t="e">
        <f ca="1">_xll.HPVAL($X14,$X$1,AA$1,$X$2,$X$3,$X$5)/1000</f>
        <v>#NAME?</v>
      </c>
      <c r="AB14" s="44" t="e">
        <f ca="1">_xll.HPVAL($X14,$X$1,AB$1,$X$2,$X$3,$X$5)/1000</f>
        <v>#NAME?</v>
      </c>
      <c r="AC14" s="44" t="e">
        <f ca="1">_xll.HPVAL($X14,$X$1,AC$1,$X$2,$X$3,$X$5)/1000</f>
        <v>#NAME?</v>
      </c>
      <c r="AE14" s="44" t="e">
        <f ca="1">_xll.HPVAL($X14,$AE$2,AE$1,$AF$2,$X$3,$X$5)/1000</f>
        <v>#NAME?</v>
      </c>
      <c r="AG14" s="44" t="e">
        <f ca="1">_xll.HPVAL($X14,$AE$2,AG$1,$AF$2,$X$3,$X$5)/1000</f>
        <v>#NAME?</v>
      </c>
      <c r="AH14" s="44" t="e">
        <f ca="1">_xll.HPVAL($X14,$AE$2,AH$1,$AF$2,$X$3,$X$5)/1000</f>
        <v>#NAME?</v>
      </c>
      <c r="AI14" s="44" t="e">
        <f ca="1">_xll.HPVAL($X14,$AE$2,AI$1,$AF$2,$X$3,$X$5)/1000</f>
        <v>#NAME?</v>
      </c>
    </row>
    <row r="15" spans="1:35" ht="12" customHeight="1" x14ac:dyDescent="0.25">
      <c r="A15" s="29" t="s">
        <v>155</v>
      </c>
      <c r="B15" s="38"/>
      <c r="C15" s="41" t="e">
        <f t="shared" ca="1" si="3"/>
        <v>#NAME?</v>
      </c>
      <c r="D15" s="42" t="e">
        <f t="shared" ca="1" si="4"/>
        <v>#NAME?</v>
      </c>
      <c r="E15" s="66" t="e">
        <f t="shared" ca="1" si="5"/>
        <v>#NAME?</v>
      </c>
      <c r="F15" s="42"/>
      <c r="G15" s="41"/>
      <c r="H15" s="42"/>
      <c r="I15" s="42"/>
      <c r="J15" s="83">
        <f t="shared" si="0"/>
        <v>0</v>
      </c>
      <c r="K15" s="65"/>
      <c r="L15" s="65"/>
      <c r="M15" s="42"/>
      <c r="N15" s="43"/>
      <c r="O15" s="83">
        <f t="shared" si="1"/>
        <v>0</v>
      </c>
      <c r="P15" s="44"/>
      <c r="Q15" s="41"/>
      <c r="R15" s="42"/>
      <c r="S15" s="42"/>
      <c r="T15" s="42"/>
      <c r="U15" s="42"/>
      <c r="V15" s="66">
        <f t="shared" si="2"/>
        <v>0</v>
      </c>
      <c r="X15" s="25" t="s">
        <v>30</v>
      </c>
      <c r="Y15" s="44" t="e">
        <f ca="1">_xll.HPVAL($X15,$X$1,Y$1,$X$2,$X$3,$X$5)/1000</f>
        <v>#NAME?</v>
      </c>
      <c r="AA15" s="44" t="e">
        <f ca="1">_xll.HPVAL($X15,$X$1,AA$1,$X$2,$X$3,$X$5)/1000</f>
        <v>#NAME?</v>
      </c>
      <c r="AB15" s="44" t="e">
        <f ca="1">_xll.HPVAL($X15,$X$1,AB$1,$X$2,$X$3,$X$5)/1000</f>
        <v>#NAME?</v>
      </c>
      <c r="AC15" s="44" t="e">
        <f ca="1">_xll.HPVAL($X15,$X$1,AC$1,$X$2,$X$3,$X$5)/1000</f>
        <v>#NAME?</v>
      </c>
      <c r="AE15" s="44" t="e">
        <f ca="1">_xll.HPVAL($X15,$AE$2,AE$1,$AF$2,$X$3,$X$5)/1000</f>
        <v>#NAME?</v>
      </c>
      <c r="AG15" s="44" t="e">
        <f ca="1">_xll.HPVAL($X15,$AE$2,AG$1,$AF$2,$X$3,$X$5)/1000</f>
        <v>#NAME?</v>
      </c>
      <c r="AH15" s="44" t="e">
        <f ca="1">_xll.HPVAL($X15,$AE$2,AH$1,$AF$2,$X$3,$X$5)/1000</f>
        <v>#NAME?</v>
      </c>
      <c r="AI15" s="44" t="e">
        <f ca="1">_xll.HPVAL($X15,$AE$2,AI$1,$AF$2,$X$3,$X$5)/1000</f>
        <v>#NAME?</v>
      </c>
    </row>
    <row r="16" spans="1:35" ht="12" customHeight="1" x14ac:dyDescent="0.25">
      <c r="A16" s="29" t="s">
        <v>107</v>
      </c>
      <c r="B16" s="38"/>
      <c r="C16" s="41" t="e">
        <f t="shared" ca="1" si="3"/>
        <v>#NAME?</v>
      </c>
      <c r="D16" s="42" t="e">
        <f t="shared" ca="1" si="4"/>
        <v>#NAME?</v>
      </c>
      <c r="E16" s="66" t="e">
        <f t="shared" ca="1" si="5"/>
        <v>#NAME?</v>
      </c>
      <c r="F16" s="42"/>
      <c r="G16" s="41"/>
      <c r="H16" s="42"/>
      <c r="I16" s="42"/>
      <c r="J16" s="83">
        <f t="shared" si="0"/>
        <v>0</v>
      </c>
      <c r="K16" s="65"/>
      <c r="L16" s="65"/>
      <c r="M16" s="42"/>
      <c r="N16" s="43"/>
      <c r="O16" s="83">
        <f t="shared" si="1"/>
        <v>0</v>
      </c>
      <c r="P16" s="44"/>
      <c r="Q16" s="41"/>
      <c r="R16" s="42"/>
      <c r="S16" s="42"/>
      <c r="T16" s="42"/>
      <c r="U16" s="42"/>
      <c r="V16" s="66">
        <f t="shared" si="2"/>
        <v>0</v>
      </c>
      <c r="X16" s="25" t="s">
        <v>4</v>
      </c>
      <c r="Y16" s="44" t="e">
        <f ca="1">_xll.HPVAL($X16,$X$1,Y$1,$X$2,$X$3,$X$5)/1000</f>
        <v>#NAME?</v>
      </c>
      <c r="AA16" s="44" t="e">
        <f ca="1">_xll.HPVAL($X16,$X$1,AA$1,$X$2,$X$3,$X$5)/1000</f>
        <v>#NAME?</v>
      </c>
      <c r="AB16" s="44" t="e">
        <f ca="1">_xll.HPVAL($X16,$X$1,AB$1,$X$2,$X$3,$X$5)/1000</f>
        <v>#NAME?</v>
      </c>
      <c r="AC16" s="44" t="e">
        <f ca="1">_xll.HPVAL($X16,$X$1,AC$1,$X$2,$X$3,$X$5)/1000</f>
        <v>#NAME?</v>
      </c>
      <c r="AE16" s="44" t="e">
        <f ca="1">_xll.HPVAL($X16,$AE$2,AE$1,$AF$2,$X$3,$X$5)/1000</f>
        <v>#NAME?</v>
      </c>
      <c r="AG16" s="44" t="e">
        <f ca="1">_xll.HPVAL($X16,$AE$2,AG$1,$AF$2,$X$3,$X$5)/1000</f>
        <v>#NAME?</v>
      </c>
      <c r="AH16" s="44" t="e">
        <f ca="1">_xll.HPVAL($X16,$AE$2,AH$1,$AF$2,$X$3,$X$5)/1000</f>
        <v>#NAME?</v>
      </c>
      <c r="AI16" s="44" t="e">
        <f ca="1">_xll.HPVAL($X16,$AE$2,AI$1,$AF$2,$X$3,$X$5)/1000</f>
        <v>#NAME?</v>
      </c>
    </row>
    <row r="17" spans="1:35" ht="12" customHeight="1" x14ac:dyDescent="0.25">
      <c r="A17" s="29" t="s">
        <v>156</v>
      </c>
      <c r="B17" s="38"/>
      <c r="C17" s="41" t="e">
        <f t="shared" ca="1" si="3"/>
        <v>#NAME?</v>
      </c>
      <c r="D17" s="42" t="e">
        <f t="shared" ca="1" si="4"/>
        <v>#NAME?</v>
      </c>
      <c r="E17" s="66" t="e">
        <f t="shared" ca="1" si="5"/>
        <v>#NAME?</v>
      </c>
      <c r="F17" s="42"/>
      <c r="G17" s="41"/>
      <c r="H17" s="42"/>
      <c r="I17" s="42"/>
      <c r="J17" s="83">
        <f>SUM(G17:I17)</f>
        <v>0</v>
      </c>
      <c r="K17" s="65"/>
      <c r="L17" s="65"/>
      <c r="M17" s="42"/>
      <c r="N17" s="43"/>
      <c r="O17" s="83">
        <f>J17-M17-N17</f>
        <v>0</v>
      </c>
      <c r="P17" s="44"/>
      <c r="Q17" s="41"/>
      <c r="R17" s="42"/>
      <c r="S17" s="42"/>
      <c r="T17" s="42"/>
      <c r="U17" s="42"/>
      <c r="V17" s="66">
        <f t="shared" si="2"/>
        <v>0</v>
      </c>
      <c r="X17" s="25" t="s">
        <v>73</v>
      </c>
      <c r="Y17" s="44" t="e">
        <f ca="1">_xll.HPVAL($X17,$X$1,Y$1,$X$2,$X$3,$X$5)/1000</f>
        <v>#NAME?</v>
      </c>
      <c r="AA17" s="44" t="e">
        <f ca="1">_xll.HPVAL($X17,$X$1,AA$1,$X$2,$X$3,$X$5)/1000</f>
        <v>#NAME?</v>
      </c>
      <c r="AB17" s="44" t="e">
        <f ca="1">_xll.HPVAL($X17,$X$1,AB$1,$X$2,$X$3,$X$5)/1000</f>
        <v>#NAME?</v>
      </c>
      <c r="AC17" s="44" t="e">
        <f ca="1">_xll.HPVAL($X17,$X$1,AC$1,$X$2,$X$3,$X$5)/1000</f>
        <v>#NAME?</v>
      </c>
      <c r="AE17" s="44" t="e">
        <f ca="1">_xll.HPVAL($X17,$AE$2,AE$1,$AF$2,$X$3,$X$5)/1000</f>
        <v>#NAME?</v>
      </c>
      <c r="AG17" s="44" t="e">
        <f ca="1">_xll.HPVAL($X17,$AE$2,AG$1,$AF$2,$X$3,$X$5)/1000</f>
        <v>#NAME?</v>
      </c>
      <c r="AH17" s="44" t="e">
        <f ca="1">_xll.HPVAL($X17,$AE$2,AH$1,$AF$2,$X$3,$X$5)/1000</f>
        <v>#NAME?</v>
      </c>
      <c r="AI17" s="44" t="e">
        <f ca="1">_xll.HPVAL($X17,$AE$2,AI$1,$AF$2,$X$3,$X$5)/1000</f>
        <v>#NAME?</v>
      </c>
    </row>
    <row r="18" spans="1:35" ht="12" customHeight="1" x14ac:dyDescent="0.25">
      <c r="A18" s="29" t="s">
        <v>2</v>
      </c>
      <c r="B18" s="38"/>
      <c r="C18" s="41" t="e">
        <f t="shared" ca="1" si="3"/>
        <v>#NAME?</v>
      </c>
      <c r="D18" s="42" t="e">
        <f t="shared" ca="1" si="4"/>
        <v>#NAME?</v>
      </c>
      <c r="E18" s="66" t="e">
        <f t="shared" ca="1" si="5"/>
        <v>#NAME?</v>
      </c>
      <c r="F18" s="42"/>
      <c r="G18" s="41"/>
      <c r="H18" s="42"/>
      <c r="I18" s="42"/>
      <c r="J18" s="83">
        <f t="shared" si="0"/>
        <v>0</v>
      </c>
      <c r="K18" s="65"/>
      <c r="L18" s="65"/>
      <c r="M18" s="42"/>
      <c r="N18" s="43"/>
      <c r="O18" s="83">
        <f t="shared" si="1"/>
        <v>0</v>
      </c>
      <c r="P18" s="44"/>
      <c r="Q18" s="41"/>
      <c r="R18" s="42"/>
      <c r="S18" s="42"/>
      <c r="T18" s="42"/>
      <c r="U18" s="42"/>
      <c r="V18" s="66">
        <f t="shared" si="2"/>
        <v>0</v>
      </c>
      <c r="X18" s="25" t="s">
        <v>31</v>
      </c>
      <c r="Y18" s="44" t="e">
        <f ca="1">_xll.HPVAL($X18,$X$1,Y$1,$X$2,$X$3,$X$5)/1000</f>
        <v>#NAME?</v>
      </c>
      <c r="AA18" s="44" t="e">
        <f ca="1">_xll.HPVAL($X18,$X$1,AA$1,$X$2,$X$3,$X$5)/1000</f>
        <v>#NAME?</v>
      </c>
      <c r="AB18" s="44" t="e">
        <f ca="1">_xll.HPVAL($X18,$X$1,AB$1,$X$2,$X$3,$X$5)/1000</f>
        <v>#NAME?</v>
      </c>
      <c r="AC18" s="44" t="e">
        <f ca="1">_xll.HPVAL($X18,$X$1,AC$1,$X$2,$X$3,$X$5)/1000</f>
        <v>#NAME?</v>
      </c>
      <c r="AE18" s="44" t="e">
        <f ca="1">_xll.HPVAL($X18,$AE$2,AE$1,$AF$2,$X$3,$X$5)/1000</f>
        <v>#NAME?</v>
      </c>
      <c r="AG18" s="44" t="e">
        <f ca="1">_xll.HPVAL($X18,$AE$2,AG$1,$AF$2,$X$3,$X$5)/1000</f>
        <v>#NAME?</v>
      </c>
      <c r="AH18" s="44" t="e">
        <f ca="1">_xll.HPVAL($X18,$AE$2,AH$1,$AF$2,$X$3,$X$5)/1000</f>
        <v>#NAME?</v>
      </c>
      <c r="AI18" s="44" t="e">
        <f ca="1">_xll.HPVAL($X18,$AE$2,AI$1,$AF$2,$X$3,$X$5)/1000</f>
        <v>#NAME?</v>
      </c>
    </row>
    <row r="19" spans="1:35" ht="12" customHeight="1" x14ac:dyDescent="0.25">
      <c r="A19" s="75" t="s">
        <v>130</v>
      </c>
      <c r="B19" s="38"/>
      <c r="C19" s="140" t="e">
        <f ca="1">SUM(C9:C18)</f>
        <v>#NAME?</v>
      </c>
      <c r="D19" s="141" t="e">
        <f ca="1">SUM(D9:D18)</f>
        <v>#NAME?</v>
      </c>
      <c r="E19" s="143" t="e">
        <f ca="1">SUM(E9:E18)</f>
        <v>#NAME?</v>
      </c>
      <c r="F19" s="42"/>
      <c r="G19" s="140">
        <f t="shared" ref="G19:N19" si="6">SUM(G9:G18)</f>
        <v>0</v>
      </c>
      <c r="H19" s="141">
        <f t="shared" si="6"/>
        <v>0</v>
      </c>
      <c r="I19" s="143">
        <f t="shared" si="6"/>
        <v>0</v>
      </c>
      <c r="J19" s="144">
        <f t="shared" si="6"/>
        <v>0</v>
      </c>
      <c r="K19" s="140"/>
      <c r="L19" s="141"/>
      <c r="M19" s="141">
        <f t="shared" si="6"/>
        <v>0</v>
      </c>
      <c r="N19" s="143">
        <f t="shared" si="6"/>
        <v>0</v>
      </c>
      <c r="O19" s="144">
        <f t="shared" si="1"/>
        <v>0</v>
      </c>
      <c r="P19" s="44"/>
      <c r="Q19" s="140">
        <f>SUM(Q9:Q18)</f>
        <v>0</v>
      </c>
      <c r="R19" s="141"/>
      <c r="S19" s="141"/>
      <c r="T19" s="141">
        <f>SUM(T9:T18)</f>
        <v>0</v>
      </c>
      <c r="U19" s="141">
        <f>SUM(U9:U18)</f>
        <v>0</v>
      </c>
      <c r="V19" s="143">
        <f>SUM(V9:V18)</f>
        <v>0</v>
      </c>
    </row>
    <row r="20" spans="1:35" ht="3" customHeight="1" x14ac:dyDescent="0.25">
      <c r="A20" s="29"/>
      <c r="B20" s="38"/>
      <c r="C20" s="41"/>
      <c r="D20" s="42"/>
      <c r="E20" s="66"/>
      <c r="F20" s="42"/>
      <c r="G20" s="41"/>
      <c r="H20" s="42"/>
      <c r="I20" s="42"/>
      <c r="J20" s="83"/>
      <c r="K20" s="65"/>
      <c r="L20" s="65"/>
      <c r="M20" s="42"/>
      <c r="N20" s="43"/>
      <c r="O20" s="83"/>
      <c r="P20" s="44"/>
      <c r="Q20" s="41"/>
      <c r="R20" s="42"/>
      <c r="S20" s="42"/>
      <c r="T20" s="42"/>
      <c r="U20" s="42"/>
      <c r="V20" s="66"/>
    </row>
    <row r="21" spans="1:35" ht="12" customHeight="1" x14ac:dyDescent="0.25">
      <c r="A21" s="29" t="s">
        <v>88</v>
      </c>
      <c r="B21" s="38"/>
      <c r="C21" s="41" t="e">
        <f t="shared" ref="C21:C26" ca="1" si="7">Y21</f>
        <v>#NAME?</v>
      </c>
      <c r="D21" s="42" t="e">
        <f t="shared" ref="D21:D26" ca="1" si="8">SUM(Z21:AC21)</f>
        <v>#NAME?</v>
      </c>
      <c r="E21" s="66" t="e">
        <f t="shared" ref="E21:E26" ca="1" si="9">C21-D21</f>
        <v>#NAME?</v>
      </c>
      <c r="F21" s="42"/>
      <c r="G21" s="41"/>
      <c r="H21" s="42"/>
      <c r="I21" s="42"/>
      <c r="J21" s="83">
        <f t="shared" ref="J21:J26" si="10">SUM(G21:I21)</f>
        <v>0</v>
      </c>
      <c r="K21" s="65"/>
      <c r="L21" s="65"/>
      <c r="M21" s="42"/>
      <c r="N21" s="43"/>
      <c r="O21" s="83">
        <f t="shared" ref="O21:O27" si="11">J21-M21-N21</f>
        <v>0</v>
      </c>
      <c r="P21" s="44"/>
      <c r="Q21" s="41"/>
      <c r="R21" s="42"/>
      <c r="S21" s="42"/>
      <c r="T21" s="42"/>
      <c r="U21" s="42"/>
      <c r="V21" s="66">
        <f t="shared" ref="V21:V26" si="12">ROUND(SUM(Q21:U21),0)</f>
        <v>0</v>
      </c>
      <c r="X21" s="25" t="s">
        <v>32</v>
      </c>
      <c r="Y21" s="44" t="e">
        <f ca="1">_xll.HPVAL($X21,$X$1,Y$1,$X$2,$X$3,$X$5)/1000</f>
        <v>#NAME?</v>
      </c>
      <c r="Z21" s="44"/>
      <c r="AA21" s="44" t="e">
        <f ca="1">_xll.HPVAL($X21,$X$1,AA$1,$X$2,$X$3,$X$5)/1000</f>
        <v>#NAME?</v>
      </c>
      <c r="AB21" s="44" t="e">
        <f ca="1">_xll.HPVAL($X21,$X$1,AB$1,$X$2,$X$3,$X$5)/1000</f>
        <v>#NAME?</v>
      </c>
      <c r="AC21" s="44" t="e">
        <f ca="1">_xll.HPVAL($X21,$X$1,AC$1,$X$2,$X$3,$X$5)/1000</f>
        <v>#NAME?</v>
      </c>
      <c r="AE21" s="44" t="e">
        <f ca="1">_xll.HPVAL($X21,$AE$2,AE$1,$AF$2,$X$3,$X$5)/1000</f>
        <v>#NAME?</v>
      </c>
      <c r="AF21" s="44"/>
      <c r="AG21" s="44" t="e">
        <f ca="1">_xll.HPVAL($X21,$AE$2,AG$1,$AF$2,$X$3,$X$5)/1000</f>
        <v>#NAME?</v>
      </c>
      <c r="AH21" s="44" t="e">
        <f ca="1">_xll.HPVAL($X21,$AE$2,AH$1,$AF$2,$X$3,$X$5)/1000</f>
        <v>#NAME?</v>
      </c>
      <c r="AI21" s="44" t="e">
        <f ca="1">_xll.HPVAL($X21,$AE$2,AI$1,$AF$2,$X$3,$X$5)/1000</f>
        <v>#NAME?</v>
      </c>
    </row>
    <row r="22" spans="1:35" ht="12" customHeight="1" x14ac:dyDescent="0.25">
      <c r="A22" s="29" t="s">
        <v>89</v>
      </c>
      <c r="B22" s="38"/>
      <c r="C22" s="41" t="e">
        <f t="shared" ca="1" si="7"/>
        <v>#NAME?</v>
      </c>
      <c r="D22" s="42" t="e">
        <f t="shared" ca="1" si="8"/>
        <v>#NAME?</v>
      </c>
      <c r="E22" s="66" t="e">
        <f t="shared" ca="1" si="9"/>
        <v>#NAME?</v>
      </c>
      <c r="F22" s="42"/>
      <c r="G22" s="41"/>
      <c r="H22" s="42"/>
      <c r="I22" s="42"/>
      <c r="J22" s="83">
        <f t="shared" si="10"/>
        <v>0</v>
      </c>
      <c r="K22" s="65"/>
      <c r="L22" s="65"/>
      <c r="M22" s="42"/>
      <c r="N22" s="43"/>
      <c r="O22" s="83">
        <f t="shared" si="11"/>
        <v>0</v>
      </c>
      <c r="P22" s="44"/>
      <c r="Q22" s="41"/>
      <c r="R22" s="42"/>
      <c r="S22" s="42"/>
      <c r="T22" s="42"/>
      <c r="U22" s="42"/>
      <c r="V22" s="66">
        <f t="shared" si="12"/>
        <v>0</v>
      </c>
      <c r="X22" s="25" t="s">
        <v>38</v>
      </c>
      <c r="Y22" s="44" t="e">
        <f ca="1">_xll.HPVAL($X22,$X$1,Y$1,$X$2,$X$3,$X$5)/1000</f>
        <v>#NAME?</v>
      </c>
      <c r="Z22" s="44"/>
      <c r="AA22" s="44" t="e">
        <f ca="1">_xll.HPVAL($X22,$X$1,AA$1,$X$2,$X$3,$X$5)/1000</f>
        <v>#NAME?</v>
      </c>
      <c r="AB22" s="44" t="e">
        <f ca="1">_xll.HPVAL($X22,$X$1,AB$1,$X$2,$X$3,$X$5)/1000</f>
        <v>#NAME?</v>
      </c>
      <c r="AC22" s="44" t="e">
        <f ca="1">_xll.HPVAL($X22,$X$1,AC$1,$X$2,$X$3,$X$5)/1000</f>
        <v>#NAME?</v>
      </c>
      <c r="AE22" s="44" t="e">
        <f ca="1">_xll.HPVAL($X22,$AE$2,AE$1,$AF$2,$X$3,$X$5)/1000</f>
        <v>#NAME?</v>
      </c>
      <c r="AF22" s="44"/>
      <c r="AG22" s="44" t="e">
        <f ca="1">_xll.HPVAL($X22,$AE$2,AG$1,$AF$2,$X$3,$X$5)/1000</f>
        <v>#NAME?</v>
      </c>
      <c r="AH22" s="44" t="e">
        <f ca="1">_xll.HPVAL($X22,$AE$2,AH$1,$AF$2,$X$3,$X$5)/1000</f>
        <v>#NAME?</v>
      </c>
      <c r="AI22" s="44" t="e">
        <f ca="1">_xll.HPVAL($X22,$AE$2,AI$1,$AF$2,$X$3,$X$5)/1000</f>
        <v>#NAME?</v>
      </c>
    </row>
    <row r="23" spans="1:35" ht="12" customHeight="1" x14ac:dyDescent="0.25">
      <c r="A23" s="29" t="s">
        <v>90</v>
      </c>
      <c r="B23" s="38"/>
      <c r="C23" s="41" t="e">
        <f t="shared" ca="1" si="7"/>
        <v>#NAME?</v>
      </c>
      <c r="D23" s="42" t="e">
        <f t="shared" ca="1" si="8"/>
        <v>#NAME?</v>
      </c>
      <c r="E23" s="66" t="e">
        <f t="shared" ca="1" si="9"/>
        <v>#NAME?</v>
      </c>
      <c r="F23" s="42"/>
      <c r="G23" s="41"/>
      <c r="H23" s="42"/>
      <c r="I23" s="42"/>
      <c r="J23" s="83">
        <f t="shared" si="10"/>
        <v>0</v>
      </c>
      <c r="K23" s="65"/>
      <c r="L23" s="65"/>
      <c r="M23" s="42"/>
      <c r="N23" s="43"/>
      <c r="O23" s="83">
        <f t="shared" si="11"/>
        <v>0</v>
      </c>
      <c r="P23" s="44"/>
      <c r="Q23" s="41"/>
      <c r="R23" s="42"/>
      <c r="S23" s="42"/>
      <c r="T23" s="42"/>
      <c r="U23" s="42"/>
      <c r="V23" s="66">
        <f t="shared" si="12"/>
        <v>0</v>
      </c>
      <c r="X23" s="25" t="s">
        <v>35</v>
      </c>
      <c r="Y23" s="44" t="e">
        <f ca="1">_xll.HPVAL($X23,$X$1,Y$1,$X$2,$X$3,$X$5)/1000</f>
        <v>#NAME?</v>
      </c>
      <c r="Z23" s="44"/>
      <c r="AA23" s="44" t="e">
        <f ca="1">_xll.HPVAL($X23,$X$1,AA$1,$X$2,$X$3,$X$5)/1000</f>
        <v>#NAME?</v>
      </c>
      <c r="AB23" s="44" t="e">
        <f ca="1">_xll.HPVAL($X23,$X$1,AB$1,$X$2,$X$3,$X$5)/1000</f>
        <v>#NAME?</v>
      </c>
      <c r="AC23" s="44" t="e">
        <f ca="1">_xll.HPVAL($X23,$X$1,AC$1,$X$2,$X$3,$X$5)/1000</f>
        <v>#NAME?</v>
      </c>
      <c r="AE23" s="44" t="e">
        <f ca="1">_xll.HPVAL($X23,$AE$2,AE$1,$AF$2,$X$3,$X$5)/1000</f>
        <v>#NAME?</v>
      </c>
      <c r="AF23" s="44"/>
      <c r="AG23" s="44" t="e">
        <f ca="1">_xll.HPVAL($X23,$AE$2,AG$1,$AF$2,$X$3,$X$5)/1000</f>
        <v>#NAME?</v>
      </c>
      <c r="AH23" s="44" t="e">
        <f ca="1">_xll.HPVAL($X23,$AE$2,AH$1,$AF$2,$X$3,$X$5)/1000</f>
        <v>#NAME?</v>
      </c>
      <c r="AI23" s="44" t="e">
        <f ca="1">_xll.HPVAL($X23,$AE$2,AI$1,$AF$2,$X$3,$X$5)/1000</f>
        <v>#NAME?</v>
      </c>
    </row>
    <row r="24" spans="1:35" ht="12" customHeight="1" x14ac:dyDescent="0.25">
      <c r="A24" s="29" t="s">
        <v>91</v>
      </c>
      <c r="B24" s="38"/>
      <c r="C24" s="41" t="e">
        <f t="shared" ca="1" si="7"/>
        <v>#NAME?</v>
      </c>
      <c r="D24" s="42" t="e">
        <f t="shared" ca="1" si="8"/>
        <v>#NAME?</v>
      </c>
      <c r="E24" s="66" t="e">
        <f t="shared" ca="1" si="9"/>
        <v>#NAME?</v>
      </c>
      <c r="F24" s="42"/>
      <c r="G24" s="41"/>
      <c r="H24" s="42"/>
      <c r="I24" s="42"/>
      <c r="J24" s="83">
        <f t="shared" si="10"/>
        <v>0</v>
      </c>
      <c r="K24" s="65"/>
      <c r="L24" s="65"/>
      <c r="M24" s="42"/>
      <c r="N24" s="43"/>
      <c r="O24" s="83">
        <f t="shared" si="11"/>
        <v>0</v>
      </c>
      <c r="P24" s="44"/>
      <c r="Q24" s="41"/>
      <c r="R24" s="42"/>
      <c r="S24" s="42"/>
      <c r="T24" s="42"/>
      <c r="U24" s="42"/>
      <c r="V24" s="66">
        <f t="shared" si="12"/>
        <v>0</v>
      </c>
      <c r="X24" s="25" t="s">
        <v>152</v>
      </c>
      <c r="Y24" s="44" t="e">
        <f ca="1">_xll.HPVAL($X24,$X$1,Y$1,$X$2,$X$3,$X$5)/1000</f>
        <v>#NAME?</v>
      </c>
      <c r="Z24" s="44"/>
      <c r="AA24" s="44" t="e">
        <f ca="1">_xll.HPVAL($X24,$X$1,AA$1,$X$2,$X$3,$X$5)/1000</f>
        <v>#NAME?</v>
      </c>
      <c r="AB24" s="44" t="e">
        <f ca="1">_xll.HPVAL($X24,$X$1,AB$1,$X$2,$X$3,$X$5)/1000</f>
        <v>#NAME?</v>
      </c>
      <c r="AC24" s="44" t="e">
        <f ca="1">_xll.HPVAL($X24,$X$1,AC$1,$X$2,$X$3,$X$5)/1000</f>
        <v>#NAME?</v>
      </c>
      <c r="AE24" s="44" t="e">
        <f ca="1">_xll.HPVAL($X24,$AE$2,AE$1,$AF$2,$X$3,$X$5)/1000</f>
        <v>#NAME?</v>
      </c>
      <c r="AF24" s="44"/>
      <c r="AG24" s="44" t="e">
        <f ca="1">_xll.HPVAL($X24,$AE$2,AG$1,$AF$2,$X$3,$X$5)/1000</f>
        <v>#NAME?</v>
      </c>
      <c r="AH24" s="44" t="e">
        <f ca="1">_xll.HPVAL($X24,$AE$2,AH$1,$AF$2,$X$3,$X$5)/1000</f>
        <v>#NAME?</v>
      </c>
      <c r="AI24" s="44" t="e">
        <f ca="1">_xll.HPVAL($X24,$AE$2,AI$1,$AF$2,$X$3,$X$5)/1000</f>
        <v>#NAME?</v>
      </c>
    </row>
    <row r="25" spans="1:35" ht="12" customHeight="1" x14ac:dyDescent="0.25">
      <c r="A25" s="29" t="s">
        <v>104</v>
      </c>
      <c r="B25" s="38"/>
      <c r="C25" s="41" t="e">
        <f t="shared" ca="1" si="7"/>
        <v>#NAME?</v>
      </c>
      <c r="D25" s="42" t="e">
        <f t="shared" ca="1" si="8"/>
        <v>#NAME?</v>
      </c>
      <c r="E25" s="66" t="e">
        <f t="shared" ca="1" si="9"/>
        <v>#NAME?</v>
      </c>
      <c r="F25" s="42"/>
      <c r="G25" s="41"/>
      <c r="H25" s="42"/>
      <c r="I25" s="42"/>
      <c r="J25" s="83">
        <f t="shared" si="10"/>
        <v>0</v>
      </c>
      <c r="K25" s="65"/>
      <c r="L25" s="65"/>
      <c r="M25" s="42"/>
      <c r="N25" s="43"/>
      <c r="O25" s="83">
        <f>J25-M25-N25</f>
        <v>0</v>
      </c>
      <c r="P25" s="44"/>
      <c r="Q25" s="41"/>
      <c r="R25" s="42"/>
      <c r="S25" s="42"/>
      <c r="T25" s="42"/>
      <c r="U25" s="42"/>
      <c r="V25" s="66">
        <f t="shared" si="12"/>
        <v>0</v>
      </c>
      <c r="X25" s="25" t="s">
        <v>103</v>
      </c>
      <c r="Y25" s="44" t="e">
        <f ca="1">_xll.HPVAL($X25,$X$1,Y$1,$X$2,$X$3,$X$5)/1000</f>
        <v>#NAME?</v>
      </c>
      <c r="Z25" s="44"/>
      <c r="AA25" s="44" t="e">
        <f ca="1">_xll.HPVAL($X25,$X$1,AA$1,$X$2,$X$3,$X$5)/1000</f>
        <v>#NAME?</v>
      </c>
      <c r="AB25" s="44" t="e">
        <f ca="1">_xll.HPVAL($X25,$X$1,AB$1,$X$2,$X$3,$X$5)/1000</f>
        <v>#NAME?</v>
      </c>
      <c r="AC25" s="44" t="e">
        <f ca="1">_xll.HPVAL($X25,$X$1,AC$1,$X$2,$X$3,$X$5)/1000</f>
        <v>#NAME?</v>
      </c>
      <c r="AE25" s="44" t="e">
        <f ca="1">_xll.HPVAL($X25,$AE$2,AE$1,$AF$2,$X$3,$X$5)/1000</f>
        <v>#NAME?</v>
      </c>
      <c r="AF25" s="44"/>
      <c r="AG25" s="44" t="e">
        <f ca="1">_xll.HPVAL($X25,$AE$2,AG$1,$AF$2,$X$3,$X$5)/1000</f>
        <v>#NAME?</v>
      </c>
      <c r="AH25" s="44" t="e">
        <f ca="1">_xll.HPVAL($X25,$AE$2,AH$1,$AF$2,$X$3,$X$5)/1000</f>
        <v>#NAME?</v>
      </c>
      <c r="AI25" s="44" t="e">
        <f ca="1">_xll.HPVAL($X25,$AE$2,AI$1,$AF$2,$X$3,$X$5)/1000</f>
        <v>#NAME?</v>
      </c>
    </row>
    <row r="26" spans="1:35" ht="12" customHeight="1" x14ac:dyDescent="0.25">
      <c r="A26" s="29" t="s">
        <v>0</v>
      </c>
      <c r="B26" s="38"/>
      <c r="C26" s="41" t="e">
        <f t="shared" ca="1" si="7"/>
        <v>#NAME?</v>
      </c>
      <c r="D26" s="42" t="e">
        <f t="shared" ca="1" si="8"/>
        <v>#NAME?</v>
      </c>
      <c r="E26" s="66" t="e">
        <f t="shared" ca="1" si="9"/>
        <v>#NAME?</v>
      </c>
      <c r="F26" s="42"/>
      <c r="G26" s="41"/>
      <c r="H26" s="42"/>
      <c r="I26" s="42"/>
      <c r="J26" s="83">
        <f t="shared" si="10"/>
        <v>0</v>
      </c>
      <c r="K26" s="65"/>
      <c r="L26" s="65"/>
      <c r="M26" s="42"/>
      <c r="N26" s="43"/>
      <c r="O26" s="83">
        <f>J26-M26-N26</f>
        <v>0</v>
      </c>
      <c r="P26" s="44"/>
      <c r="Q26" s="41"/>
      <c r="R26" s="42"/>
      <c r="S26" s="42"/>
      <c r="T26" s="42"/>
      <c r="U26" s="42"/>
      <c r="V26" s="66">
        <f t="shared" si="12"/>
        <v>0</v>
      </c>
      <c r="X26" s="25" t="s">
        <v>36</v>
      </c>
      <c r="Y26" s="44" t="e">
        <f ca="1">_xll.HPVAL($X26,$X$1,Y$1,$X$2,$X$3,$X$5)/1000</f>
        <v>#NAME?</v>
      </c>
      <c r="Z26" s="44"/>
      <c r="AA26" s="44" t="e">
        <f ca="1">_xll.HPVAL($X26,$X$1,AA$1,$X$2,$X$3,$X$5)/1000</f>
        <v>#NAME?</v>
      </c>
      <c r="AB26" s="44" t="e">
        <f ca="1">_xll.HPVAL($X26,$X$1,AB$1,$X$2,$X$3,$X$5)/1000</f>
        <v>#NAME?</v>
      </c>
      <c r="AC26" s="44" t="e">
        <f ca="1">_xll.HPVAL($X26,$X$1,AC$1,$X$2,$X$3,$X$5)/1000</f>
        <v>#NAME?</v>
      </c>
      <c r="AE26" s="44" t="e">
        <f ca="1">_xll.HPVAL($X26,$AE$2,AE$1,$AF$2,$X$3,$X$5)/1000</f>
        <v>#NAME?</v>
      </c>
      <c r="AF26" s="44"/>
      <c r="AG26" s="44" t="e">
        <f ca="1">_xll.HPVAL($X26,$AE$2,AG$1,$AF$2,$X$3,$X$5)/1000</f>
        <v>#NAME?</v>
      </c>
      <c r="AH26" s="44" t="e">
        <f ca="1">_xll.HPVAL($X26,$AE$2,AH$1,$AF$2,$X$3,$X$5)/1000</f>
        <v>#NAME?</v>
      </c>
      <c r="AI26" s="44" t="e">
        <f ca="1">_xll.HPVAL($X26,$AE$2,AI$1,$AF$2,$X$3,$X$5)/1000</f>
        <v>#NAME?</v>
      </c>
    </row>
    <row r="27" spans="1:35" ht="12" customHeight="1" x14ac:dyDescent="0.25">
      <c r="A27" s="75" t="s">
        <v>1</v>
      </c>
      <c r="B27" s="38"/>
      <c r="C27" s="140" t="e">
        <f ca="1">SUM(C21:C26)</f>
        <v>#NAME?</v>
      </c>
      <c r="D27" s="141" t="e">
        <f ca="1">SUM(D21:D26)</f>
        <v>#NAME?</v>
      </c>
      <c r="E27" s="143" t="e">
        <f ca="1">SUM(E21:E26)</f>
        <v>#NAME?</v>
      </c>
      <c r="F27" s="42"/>
      <c r="G27" s="140">
        <f>SUM(G21:G26)</f>
        <v>0</v>
      </c>
      <c r="H27" s="141">
        <f>SUM(H21:H26)</f>
        <v>0</v>
      </c>
      <c r="I27" s="141">
        <f>SUM(I21:I26)</f>
        <v>0</v>
      </c>
      <c r="J27" s="144">
        <f>SUM(J21:J26)</f>
        <v>0</v>
      </c>
      <c r="K27" s="141"/>
      <c r="L27" s="141"/>
      <c r="M27" s="141">
        <f>SUM(M21:M26)</f>
        <v>0</v>
      </c>
      <c r="N27" s="143">
        <f>SUM(N21:N26)</f>
        <v>0</v>
      </c>
      <c r="O27" s="144">
        <f t="shared" si="11"/>
        <v>0</v>
      </c>
      <c r="P27" s="44"/>
      <c r="Q27" s="140">
        <f>SUM(Q21:Q26)</f>
        <v>0</v>
      </c>
      <c r="R27" s="141"/>
      <c r="S27" s="141"/>
      <c r="T27" s="141">
        <f>SUM(T21:T26)</f>
        <v>0</v>
      </c>
      <c r="U27" s="141">
        <f>SUM(U21:U26)</f>
        <v>0</v>
      </c>
      <c r="V27" s="143">
        <f>SUM(V21:V26)</f>
        <v>0</v>
      </c>
    </row>
    <row r="28" spans="1:35" ht="3" customHeight="1" x14ac:dyDescent="0.25">
      <c r="A28" s="29"/>
      <c r="B28" s="38"/>
      <c r="C28" s="41"/>
      <c r="D28" s="42"/>
      <c r="E28" s="66"/>
      <c r="F28" s="42"/>
      <c r="G28" s="41"/>
      <c r="H28" s="42"/>
      <c r="I28" s="42"/>
      <c r="J28" s="83"/>
      <c r="K28" s="65"/>
      <c r="L28" s="65"/>
      <c r="M28" s="42"/>
      <c r="N28" s="43"/>
      <c r="O28" s="83"/>
      <c r="P28" s="44"/>
      <c r="Q28" s="41"/>
      <c r="R28" s="42"/>
      <c r="S28" s="42"/>
      <c r="T28" s="42"/>
      <c r="U28" s="42"/>
      <c r="V28" s="66"/>
    </row>
    <row r="29" spans="1:35" ht="12" customHeight="1" x14ac:dyDescent="0.25">
      <c r="A29" s="29" t="s">
        <v>33</v>
      </c>
      <c r="B29" s="38"/>
      <c r="C29" s="41" t="e">
        <f ca="1">Y29</f>
        <v>#NAME?</v>
      </c>
      <c r="D29" s="42" t="e">
        <f ca="1">SUM(Z29:AC29)</f>
        <v>#NAME?</v>
      </c>
      <c r="E29" s="66" t="e">
        <f ca="1">C29-D29</f>
        <v>#NAME?</v>
      </c>
      <c r="F29" s="42"/>
      <c r="G29" s="41"/>
      <c r="H29" s="42"/>
      <c r="I29" s="42"/>
      <c r="J29" s="83">
        <f>SUM(G29:I29)</f>
        <v>0</v>
      </c>
      <c r="K29" s="65"/>
      <c r="L29" s="65"/>
      <c r="M29" s="42"/>
      <c r="N29" s="43"/>
      <c r="O29" s="83">
        <f>J29-M29-N29</f>
        <v>0</v>
      </c>
      <c r="P29" s="44"/>
      <c r="Q29" s="41"/>
      <c r="R29" s="42"/>
      <c r="S29" s="42"/>
      <c r="T29" s="42"/>
      <c r="U29" s="42"/>
      <c r="V29" s="66">
        <f>ROUND(SUM(Q29:U29),0)</f>
        <v>0</v>
      </c>
      <c r="X29" s="25" t="s">
        <v>34</v>
      </c>
      <c r="Y29" s="44" t="e">
        <f ca="1">_xll.HPVAL($X29,$X$1,Y$1,$X$2,$X$3,$X$5)/1000+Z29</f>
        <v>#NAME?</v>
      </c>
      <c r="Z29" s="44">
        <f>6605+8789</f>
        <v>15394</v>
      </c>
      <c r="AA29" s="44" t="e">
        <f ca="1">_xll.HPVAL($X29,$X$1,AA$1,$X$2,$X$3,$X$5)/1000</f>
        <v>#NAME?</v>
      </c>
      <c r="AB29" s="44" t="e">
        <f ca="1">_xll.HPVAL($X29,$X$1,AB$1,$X$2,$X$3,$X$5)/1000</f>
        <v>#NAME?</v>
      </c>
      <c r="AC29" s="44" t="e">
        <f ca="1">_xll.HPVAL($X29,$X$1,AC$1,$X$2,$X$3,$X$5)/1000</f>
        <v>#NAME?</v>
      </c>
      <c r="AE29" s="44" t="e">
        <f ca="1">_xll.HPVAL($X29,$AE$2,AE$1,$AF$2,$X$3,$X$5)/1000+AF29</f>
        <v>#NAME?</v>
      </c>
      <c r="AF29" s="44">
        <v>6640</v>
      </c>
      <c r="AG29" s="44" t="e">
        <f ca="1">_xll.HPVAL($X29,$AE$2,AG$1,$AF$2,$X$3,$X$5)/1000</f>
        <v>#NAME?</v>
      </c>
      <c r="AH29" s="44" t="e">
        <f ca="1">_xll.HPVAL($X29,$AE$2,AH$1,$AF$2,$X$3,$X$5)/1000</f>
        <v>#NAME?</v>
      </c>
      <c r="AI29" s="44" t="e">
        <f ca="1">_xll.HPVAL($X29,$AE$2,AI$1,$AF$2,$X$3,$X$5)/1000</f>
        <v>#NAME?</v>
      </c>
    </row>
    <row r="30" spans="1:35" ht="12" customHeight="1" x14ac:dyDescent="0.25">
      <c r="A30" s="29" t="s">
        <v>67</v>
      </c>
      <c r="B30" s="38"/>
      <c r="C30" s="41" t="e">
        <f ca="1">Y30</f>
        <v>#NAME?</v>
      </c>
      <c r="D30" s="42" t="e">
        <f ca="1">SUM(Z30:AC30)</f>
        <v>#NAME?</v>
      </c>
      <c r="E30" s="66" t="e">
        <f ca="1">C30-D30</f>
        <v>#NAME?</v>
      </c>
      <c r="F30" s="42"/>
      <c r="G30" s="41"/>
      <c r="H30" s="42"/>
      <c r="I30" s="42"/>
      <c r="J30" s="83">
        <f>SUM(G30:I30)</f>
        <v>0</v>
      </c>
      <c r="K30" s="65"/>
      <c r="L30" s="65"/>
      <c r="M30" s="42"/>
      <c r="N30" s="43"/>
      <c r="O30" s="83">
        <f>J30-M30-N30</f>
        <v>0</v>
      </c>
      <c r="P30" s="44"/>
      <c r="Q30" s="41"/>
      <c r="R30" s="42"/>
      <c r="S30" s="42"/>
      <c r="T30" s="42"/>
      <c r="U30" s="42"/>
      <c r="V30" s="66">
        <f>ROUND(SUM(Q30:U30),0)</f>
        <v>0</v>
      </c>
      <c r="X30" s="25" t="s">
        <v>37</v>
      </c>
      <c r="Y30" s="44" t="e">
        <f ca="1">_xll.HPVAL($X30,$X$1,Y$1,$X$2,$X$3,$X$5)/1000</f>
        <v>#NAME?</v>
      </c>
      <c r="Z30" s="44"/>
      <c r="AA30" s="44" t="e">
        <f ca="1">_xll.HPVAL($X30,$X$1,AA$1,$X$2,$X$3,$X$5)/1000</f>
        <v>#NAME?</v>
      </c>
      <c r="AB30" s="44" t="e">
        <f ca="1">_xll.HPVAL($X30,$X$1,AB$1,$X$2,$X$3,$X$5)/1000</f>
        <v>#NAME?</v>
      </c>
      <c r="AC30" s="44" t="e">
        <f ca="1">_xll.HPVAL($X30,$X$1,AC$1,$X$2,$X$3,$X$5)/1000</f>
        <v>#NAME?</v>
      </c>
      <c r="AE30" s="44" t="e">
        <f ca="1">_xll.HPVAL($X30,$AE$2,AE$1,$AF$2,$X$3,$X$5)/1000</f>
        <v>#NAME?</v>
      </c>
      <c r="AF30" s="44"/>
      <c r="AG30" s="44" t="e">
        <f ca="1">_xll.HPVAL($X30,$AE$2,AG$1,$AF$2,$X$3,$X$5)/1000</f>
        <v>#NAME?</v>
      </c>
      <c r="AH30" s="44" t="e">
        <f ca="1">_xll.HPVAL($X30,$AE$2,AH$1,$AF$2,$X$3,$X$5)/1000</f>
        <v>#NAME?</v>
      </c>
      <c r="AI30" s="44" t="e">
        <f ca="1">_xll.HPVAL($X30,$AE$2,AI$1,$AF$2,$X$3,$X$5)/1000</f>
        <v>#NAME?</v>
      </c>
    </row>
    <row r="31" spans="1:35" ht="12" customHeight="1" x14ac:dyDescent="0.25">
      <c r="A31" s="29" t="s">
        <v>92</v>
      </c>
      <c r="B31" s="38"/>
      <c r="C31" s="41" t="e">
        <f ca="1">Y31</f>
        <v>#NAME?</v>
      </c>
      <c r="D31" s="42" t="e">
        <f ca="1">SUM(Z31:AC31)</f>
        <v>#NAME?</v>
      </c>
      <c r="E31" s="66" t="e">
        <f ca="1">C31-D31</f>
        <v>#NAME?</v>
      </c>
      <c r="F31" s="42"/>
      <c r="G31" s="41"/>
      <c r="H31" s="42"/>
      <c r="I31" s="42"/>
      <c r="J31" s="83">
        <f>SUM(G31:I31)</f>
        <v>0</v>
      </c>
      <c r="K31" s="65"/>
      <c r="L31" s="65"/>
      <c r="M31" s="42"/>
      <c r="N31" s="43"/>
      <c r="O31" s="83">
        <f>J31-M31-N31</f>
        <v>0</v>
      </c>
      <c r="P31" s="44"/>
      <c r="Q31" s="41"/>
      <c r="R31" s="42"/>
      <c r="S31" s="42"/>
      <c r="T31" s="42"/>
      <c r="U31" s="42"/>
      <c r="V31" s="66">
        <f>ROUND(SUM(Q31:U31),0)</f>
        <v>0</v>
      </c>
      <c r="X31" s="25" t="s">
        <v>41</v>
      </c>
      <c r="Y31" s="44" t="e">
        <f ca="1">_xll.HPVAL($X31,$X$1,Y$1,$X$2,$X$3,$X$5)/1000+Z31</f>
        <v>#NAME?</v>
      </c>
      <c r="Z31" s="44">
        <f>35122+34587</f>
        <v>69709</v>
      </c>
      <c r="AA31" s="44" t="e">
        <f ca="1">_xll.HPVAL($X31,$X$1,AA$1,$X$2,$X$3,$X$5)/1000</f>
        <v>#NAME?</v>
      </c>
      <c r="AB31" s="44" t="e">
        <f ca="1">_xll.HPVAL($X31,$X$1,AB$1,$X$2,$X$3,$X$5)/1000</f>
        <v>#NAME?</v>
      </c>
      <c r="AC31" s="44" t="e">
        <f ca="1">_xll.HPVAL($X31,$X$1,AC$1,$X$2,$X$3,$X$5)/1000</f>
        <v>#NAME?</v>
      </c>
      <c r="AE31" s="44" t="e">
        <f ca="1">_xll.HPVAL($X31,$AE$2,AE$1,$AF$2,$X$3,$X$5)/1000+AF31</f>
        <v>#NAME?</v>
      </c>
      <c r="AF31" s="44">
        <v>42177</v>
      </c>
      <c r="AG31" s="44" t="e">
        <f ca="1">_xll.HPVAL($X31,$AE$2,AG$1,$AF$2,$X$3,$X$5)/1000</f>
        <v>#NAME?</v>
      </c>
      <c r="AH31" s="44" t="e">
        <f ca="1">_xll.HPVAL($X31,$AE$2,AH$1,$AF$2,$X$3,$X$5)/1000</f>
        <v>#NAME?</v>
      </c>
      <c r="AI31" s="44" t="e">
        <f ca="1">_xll.HPVAL($X31,$AE$2,AI$1,$AF$2,$X$3,$X$5)/1000</f>
        <v>#NAME?</v>
      </c>
    </row>
    <row r="32" spans="1:35" ht="12" customHeight="1" x14ac:dyDescent="0.25">
      <c r="A32" s="29" t="s">
        <v>93</v>
      </c>
      <c r="B32" s="38"/>
      <c r="C32" s="41" t="e">
        <f ca="1">Y32</f>
        <v>#NAME?</v>
      </c>
      <c r="D32" s="42" t="e">
        <f ca="1">SUM(Z32:AC32)</f>
        <v>#NAME?</v>
      </c>
      <c r="E32" s="66" t="e">
        <f ca="1">C32-D32</f>
        <v>#NAME?</v>
      </c>
      <c r="F32" s="42"/>
      <c r="G32" s="41"/>
      <c r="H32" s="42"/>
      <c r="I32" s="42"/>
      <c r="J32" s="83">
        <f>SUM(G32:I32)</f>
        <v>0</v>
      </c>
      <c r="K32" s="65"/>
      <c r="L32" s="65"/>
      <c r="M32" s="42"/>
      <c r="N32" s="43"/>
      <c r="O32" s="83">
        <f>J32-M32-N32</f>
        <v>0</v>
      </c>
      <c r="P32" s="44"/>
      <c r="Q32" s="41"/>
      <c r="R32" s="42"/>
      <c r="S32" s="42"/>
      <c r="T32" s="42"/>
      <c r="U32" s="42"/>
      <c r="V32" s="66">
        <f>ROUND(SUM(Q32:U32),0)</f>
        <v>0</v>
      </c>
      <c r="X32" s="25" t="s">
        <v>42</v>
      </c>
      <c r="Y32" s="44" t="e">
        <f ca="1">_xll.HPVAL($X32,$X$1,Y$1,$X$2,$X$3,$X$5)/1000</f>
        <v>#NAME?</v>
      </c>
      <c r="Z32" s="44"/>
      <c r="AA32" s="44" t="e">
        <f ca="1">_xll.HPVAL($X32,$X$1,AA$1,$X$2,$X$3,$X$5)/1000</f>
        <v>#NAME?</v>
      </c>
      <c r="AB32" s="44" t="e">
        <f ca="1">_xll.HPVAL($X32,$X$1,AB$1,$X$2,$X$3,$X$5)/1000</f>
        <v>#NAME?</v>
      </c>
      <c r="AC32" s="44" t="e">
        <f ca="1">_xll.HPVAL($X32,$X$1,AC$1,$X$2,$X$3,$X$5)/1000</f>
        <v>#NAME?</v>
      </c>
      <c r="AE32" s="44" t="e">
        <f ca="1">_xll.HPVAL($X32,$AE$2,AE$1,$AF$2,$X$3,$X$5)/1000</f>
        <v>#NAME?</v>
      </c>
      <c r="AF32" s="44"/>
      <c r="AG32" s="44" t="e">
        <f ca="1">_xll.HPVAL($X32,$AE$2,AG$1,$AF$2,$X$3,$X$5)/1000</f>
        <v>#NAME?</v>
      </c>
      <c r="AH32" s="44" t="e">
        <f ca="1">_xll.HPVAL($X32,$AE$2,AH$1,$AF$2,$X$3,$X$5)/1000</f>
        <v>#NAME?</v>
      </c>
      <c r="AI32" s="44" t="e">
        <f ca="1">_xll.HPVAL($X32,$AE$2,AI$1,$AF$2,$X$3,$X$5)/1000</f>
        <v>#NAME?</v>
      </c>
    </row>
    <row r="33" spans="1:35" ht="12" customHeight="1" x14ac:dyDescent="0.25">
      <c r="A33" s="75" t="s">
        <v>86</v>
      </c>
      <c r="B33" s="38"/>
      <c r="C33" s="140" t="e">
        <f ca="1">SUM(C29:C32)</f>
        <v>#NAME?</v>
      </c>
      <c r="D33" s="141" t="e">
        <f ca="1">SUM(D29:D32)</f>
        <v>#NAME?</v>
      </c>
      <c r="E33" s="143" t="e">
        <f ca="1">SUM(E29:E32)</f>
        <v>#NAME?</v>
      </c>
      <c r="F33" s="42"/>
      <c r="G33" s="140">
        <f t="shared" ref="G33:N33" si="13">SUM(G29:G32)</f>
        <v>0</v>
      </c>
      <c r="H33" s="141">
        <f t="shared" si="13"/>
        <v>0</v>
      </c>
      <c r="I33" s="141">
        <f t="shared" si="13"/>
        <v>0</v>
      </c>
      <c r="J33" s="144">
        <f t="shared" si="13"/>
        <v>0</v>
      </c>
      <c r="K33" s="141"/>
      <c r="L33" s="141"/>
      <c r="M33" s="141">
        <f t="shared" si="13"/>
        <v>0</v>
      </c>
      <c r="N33" s="143">
        <f t="shared" si="13"/>
        <v>0</v>
      </c>
      <c r="O33" s="144">
        <f>J33-M33-N33</f>
        <v>0</v>
      </c>
      <c r="P33" s="44"/>
      <c r="Q33" s="140">
        <f>SUM(Q29:Q32)</f>
        <v>0</v>
      </c>
      <c r="R33" s="141"/>
      <c r="S33" s="141"/>
      <c r="T33" s="141">
        <f>SUM(T29:T32)</f>
        <v>0</v>
      </c>
      <c r="U33" s="141">
        <f>SUM(U29:U32)</f>
        <v>0</v>
      </c>
      <c r="V33" s="143">
        <f>SUM(V29:V32)</f>
        <v>0</v>
      </c>
    </row>
    <row r="34" spans="1:35" ht="3" customHeight="1" x14ac:dyDescent="0.25">
      <c r="A34" s="29"/>
      <c r="B34" s="38"/>
      <c r="C34" s="41"/>
      <c r="D34" s="42"/>
      <c r="E34" s="66"/>
      <c r="F34" s="42"/>
      <c r="G34" s="41"/>
      <c r="H34" s="42"/>
      <c r="I34" s="42"/>
      <c r="J34" s="83"/>
      <c r="K34" s="65"/>
      <c r="L34" s="65"/>
      <c r="M34" s="42"/>
      <c r="N34" s="43"/>
      <c r="O34" s="83"/>
      <c r="P34" s="44"/>
      <c r="Q34" s="41"/>
      <c r="R34" s="42"/>
      <c r="S34" s="42"/>
      <c r="T34" s="42"/>
      <c r="U34" s="42"/>
      <c r="V34" s="66"/>
    </row>
    <row r="35" spans="1:35" ht="12" customHeight="1" x14ac:dyDescent="0.25">
      <c r="A35" s="29" t="s">
        <v>9</v>
      </c>
      <c r="B35" s="38"/>
      <c r="C35" s="41" t="e">
        <f ca="1">Y35</f>
        <v>#NAME?</v>
      </c>
      <c r="D35" s="42" t="e">
        <f ca="1">SUM(Z35:AC35)</f>
        <v>#NAME?</v>
      </c>
      <c r="E35" s="66" t="e">
        <f ca="1">C35-D35</f>
        <v>#NAME?</v>
      </c>
      <c r="F35" s="42"/>
      <c r="G35" s="41"/>
      <c r="H35" s="42"/>
      <c r="I35" s="42"/>
      <c r="J35" s="83">
        <f>SUM(G35:I35)</f>
        <v>0</v>
      </c>
      <c r="K35" s="65"/>
      <c r="L35" s="65"/>
      <c r="M35" s="42"/>
      <c r="N35" s="43"/>
      <c r="O35" s="83">
        <f>J35-M35-N35</f>
        <v>0</v>
      </c>
      <c r="P35" s="44"/>
      <c r="Q35" s="41"/>
      <c r="R35" s="42"/>
      <c r="S35" s="42"/>
      <c r="T35" s="42"/>
      <c r="U35" s="42"/>
      <c r="V35" s="66">
        <f>ROUND(SUM(Q35:U35),0)</f>
        <v>0</v>
      </c>
      <c r="X35" s="25" t="s">
        <v>40</v>
      </c>
      <c r="Y35" s="44" t="e">
        <f ca="1">_xll.HPVAL($X35,$X$1,Y$1,$X$2,$X$3,$X$5)/1000</f>
        <v>#NAME?</v>
      </c>
      <c r="Z35" s="44"/>
      <c r="AA35" s="44" t="e">
        <f ca="1">_xll.HPVAL($X35,$X$1,AA$1,$X$2,$X$3,$X$5)/1000</f>
        <v>#NAME?</v>
      </c>
      <c r="AB35" s="44" t="e">
        <f ca="1">_xll.HPVAL($X35,$X$1,AB$1,$X$2,$X$3,$X$5)/1000</f>
        <v>#NAME?</v>
      </c>
      <c r="AC35" s="44" t="e">
        <f ca="1">_xll.HPVAL($X35,$X$1,AC$1,$X$2,$X$3,$X$5)/1000</f>
        <v>#NAME?</v>
      </c>
      <c r="AE35" s="44" t="e">
        <f ca="1">_xll.HPVAL($X35,$AE$2,AE$1,$AF$2,$X$3,$X$5)/1000</f>
        <v>#NAME?</v>
      </c>
      <c r="AF35" s="44"/>
      <c r="AG35" s="44" t="e">
        <f ca="1">_xll.HPVAL($X35,$AE$2,AG$1,$AF$2,$X$3,$X$5)/1000</f>
        <v>#NAME?</v>
      </c>
      <c r="AH35" s="44" t="e">
        <f ca="1">_xll.HPVAL($X35,$AE$2,AH$1,$AF$2,$X$3,$X$5)/1000</f>
        <v>#NAME?</v>
      </c>
      <c r="AI35" s="44" t="e">
        <f ca="1">_xll.HPVAL($X35,$AE$2,AI$1,$AF$2,$X$3,$X$5)/1000</f>
        <v>#NAME?</v>
      </c>
    </row>
    <row r="36" spans="1:35" ht="12" customHeight="1" x14ac:dyDescent="0.25">
      <c r="A36" s="29" t="s">
        <v>151</v>
      </c>
      <c r="B36" s="38"/>
      <c r="C36" s="41" t="e">
        <f ca="1">Y36</f>
        <v>#NAME?</v>
      </c>
      <c r="D36" s="42" t="e">
        <f ca="1">SUM(Z36:AC36)</f>
        <v>#NAME?</v>
      </c>
      <c r="E36" s="66" t="e">
        <f ca="1">C36-D36</f>
        <v>#NAME?</v>
      </c>
      <c r="F36" s="42"/>
      <c r="G36" s="41"/>
      <c r="H36" s="42"/>
      <c r="I36" s="42"/>
      <c r="J36" s="83">
        <f>SUM(G36:I36)</f>
        <v>0</v>
      </c>
      <c r="K36" s="65"/>
      <c r="L36" s="65"/>
      <c r="M36" s="42"/>
      <c r="N36" s="43"/>
      <c r="O36" s="83">
        <f>J36-M36-N36</f>
        <v>0</v>
      </c>
      <c r="P36" s="44"/>
      <c r="Q36" s="41"/>
      <c r="R36" s="42"/>
      <c r="S36" s="42"/>
      <c r="T36" s="42"/>
      <c r="U36" s="42"/>
      <c r="V36" s="66">
        <f>ROUND(SUM(Q36:U36),0)</f>
        <v>0</v>
      </c>
      <c r="X36" s="25" t="s">
        <v>39</v>
      </c>
      <c r="Y36" s="44" t="e">
        <f ca="1">_xll.HPVAL($X36,$X$1,Y$1,$X$2,$X$3,$X$5)/1000</f>
        <v>#NAME?</v>
      </c>
      <c r="Z36" s="44"/>
      <c r="AA36" s="44" t="e">
        <f ca="1">_xll.HPVAL($X36,$X$1,AA$1,$X$2,$X$3,$X$5)/1000</f>
        <v>#NAME?</v>
      </c>
      <c r="AB36" s="44" t="e">
        <f ca="1">_xll.HPVAL($X36,$X$1,AB$1,$X$2,$X$3,$X$5)/1000</f>
        <v>#NAME?</v>
      </c>
      <c r="AC36" s="44" t="e">
        <f ca="1">_xll.HPVAL($X36,$X$1,AC$1,$X$2,$X$3,$X$5)/1000</f>
        <v>#NAME?</v>
      </c>
      <c r="AE36" s="44" t="e">
        <f ca="1">_xll.HPVAL($X36,$AE$2,AE$1,$AF$2,$X$3,$X$5)/1000</f>
        <v>#NAME?</v>
      </c>
      <c r="AF36" s="44"/>
      <c r="AG36" s="44" t="e">
        <f ca="1">_xll.HPVAL($X36,$AE$2,AG$1,$AF$2,$X$3,$X$5)/1000</f>
        <v>#NAME?</v>
      </c>
      <c r="AH36" s="44" t="e">
        <f ca="1">_xll.HPVAL($X36,$AE$2,AH$1,$AF$2,$X$3,$X$5)/1000</f>
        <v>#NAME?</v>
      </c>
      <c r="AI36" s="44" t="e">
        <f ca="1">_xll.HPVAL($X36,$AE$2,AI$1,$AF$2,$X$3,$X$5)/1000</f>
        <v>#NAME?</v>
      </c>
    </row>
    <row r="37" spans="1:35" ht="12" customHeight="1" x14ac:dyDescent="0.25">
      <c r="A37" s="29" t="s">
        <v>180</v>
      </c>
      <c r="B37" s="38"/>
      <c r="C37" s="41" t="e">
        <f ca="1">Y37</f>
        <v>#NAME?</v>
      </c>
      <c r="D37" s="42" t="e">
        <f ca="1">SUM(Z37:AC37)</f>
        <v>#NAME?</v>
      </c>
      <c r="E37" s="66" t="e">
        <f ca="1">C37-D37</f>
        <v>#NAME?</v>
      </c>
      <c r="F37" s="42"/>
      <c r="G37" s="41"/>
      <c r="H37" s="42"/>
      <c r="I37" s="42"/>
      <c r="J37" s="83">
        <f>SUM(G37:I37)</f>
        <v>0</v>
      </c>
      <c r="K37" s="65"/>
      <c r="L37" s="65"/>
      <c r="M37" s="42"/>
      <c r="N37" s="43"/>
      <c r="O37" s="83">
        <f>J37-M37-N37</f>
        <v>0</v>
      </c>
      <c r="P37" s="44"/>
      <c r="Q37" s="41"/>
      <c r="R37" s="42"/>
      <c r="S37" s="42"/>
      <c r="T37" s="42"/>
      <c r="U37" s="42"/>
      <c r="V37" s="66">
        <f>ROUND(SUM(Q37:U37),0)</f>
        <v>0</v>
      </c>
      <c r="X37" s="25" t="s">
        <v>153</v>
      </c>
      <c r="Y37" s="44" t="e">
        <f ca="1">_xll.HPVAL($X37,$X$1,Y$1,$X$2,$X$3,$X$5)/1000</f>
        <v>#NAME?</v>
      </c>
      <c r="Z37" s="44"/>
      <c r="AA37" s="44" t="e">
        <f ca="1">_xll.HPVAL($X37,$X$1,AA$1,$X$2,$X$3,$X$5)/1000</f>
        <v>#NAME?</v>
      </c>
      <c r="AB37" s="44" t="e">
        <f ca="1">_xll.HPVAL($X37,$X$1,AB$1,$X$2,$X$3,$X$5)/1000</f>
        <v>#NAME?</v>
      </c>
      <c r="AC37" s="44" t="e">
        <f ca="1">_xll.HPVAL($X37,$X$1,AC$1,$X$2,$X$3,$X$5)/1000</f>
        <v>#NAME?</v>
      </c>
      <c r="AE37" s="44" t="e">
        <f ca="1">_xll.HPVAL($X37,$AE$2,AE$1,$AF$2,$X$3,$X$5)/1000</f>
        <v>#NAME?</v>
      </c>
      <c r="AF37" s="44"/>
      <c r="AG37" s="44" t="e">
        <f ca="1">_xll.HPVAL($X37,$AE$2,AG$1,$AF$2,$X$3,$X$5)/1000</f>
        <v>#NAME?</v>
      </c>
      <c r="AH37" s="44" t="e">
        <f ca="1">_xll.HPVAL($X37,$AE$2,AH$1,$AF$2,$X$3,$X$5)/1000</f>
        <v>#NAME?</v>
      </c>
      <c r="AI37" s="44" t="e">
        <f ca="1">_xll.HPVAL($X37,$AE$2,AI$1,$AF$2,$X$3,$X$5)/1000</f>
        <v>#NAME?</v>
      </c>
    </row>
    <row r="38" spans="1:35" ht="12" customHeight="1" x14ac:dyDescent="0.25">
      <c r="A38" s="29" t="s">
        <v>154</v>
      </c>
      <c r="B38" s="38"/>
      <c r="C38" s="41" t="e">
        <f ca="1">Y38</f>
        <v>#NAME?</v>
      </c>
      <c r="D38" s="42" t="e">
        <f ca="1">SUM(Z38:AC38)</f>
        <v>#NAME?</v>
      </c>
      <c r="E38" s="66" t="e">
        <f ca="1">C38-D38</f>
        <v>#NAME?</v>
      </c>
      <c r="F38" s="42"/>
      <c r="G38" s="41"/>
      <c r="H38" s="42"/>
      <c r="I38" s="42"/>
      <c r="J38" s="83">
        <f>SUM(G38:I38)</f>
        <v>0</v>
      </c>
      <c r="K38" s="65"/>
      <c r="L38" s="65"/>
      <c r="M38" s="42"/>
      <c r="N38" s="43"/>
      <c r="O38" s="83">
        <f>J38-M38-N38</f>
        <v>0</v>
      </c>
      <c r="P38" s="44"/>
      <c r="Q38" s="41"/>
      <c r="R38" s="42"/>
      <c r="S38" s="42"/>
      <c r="T38" s="42"/>
      <c r="U38" s="42"/>
      <c r="V38" s="66">
        <f>ROUND(SUM(Q38:U38),0)</f>
        <v>0</v>
      </c>
      <c r="X38" s="25" t="s">
        <v>157</v>
      </c>
      <c r="Y38" s="44" t="e">
        <f ca="1">_xll.HPVAL($X38,$X$1,Y$1,$X$2,$X$3,$X$5)/1000</f>
        <v>#NAME?</v>
      </c>
      <c r="Z38" s="44"/>
      <c r="AA38" s="44" t="e">
        <f ca="1">_xll.HPVAL($X38,$X$1,AA$1,$X$2,$X$3,$X$5)/1000</f>
        <v>#NAME?</v>
      </c>
      <c r="AB38" s="44" t="e">
        <f ca="1">_xll.HPVAL($X38,$X$1,AB$1,$X$2,$X$3,$X$5)/1000</f>
        <v>#NAME?</v>
      </c>
      <c r="AC38" s="44" t="e">
        <f ca="1">_xll.HPVAL($X38,$X$1,AC$1,$X$2,$X$3,$X$5)/1000</f>
        <v>#NAME?</v>
      </c>
      <c r="AE38" s="44" t="e">
        <f ca="1">_xll.HPVAL($X38,$AE$2,AE$1,$AF$2,$X$3,$X$5)/1000</f>
        <v>#NAME?</v>
      </c>
      <c r="AF38" s="44"/>
      <c r="AG38" s="44" t="e">
        <f ca="1">_xll.HPVAL($X38,$AE$2,AG$1,$AF$2,$X$3,$X$5)/1000</f>
        <v>#NAME?</v>
      </c>
      <c r="AH38" s="44" t="e">
        <f ca="1">_xll.HPVAL($X38,$AE$2,AH$1,$AF$2,$X$3,$X$5)/1000</f>
        <v>#NAME?</v>
      </c>
      <c r="AI38" s="44" t="e">
        <f ca="1">_xll.HPVAL($X38,$AE$2,AI$1,$AF$2,$X$3,$X$5)/1000</f>
        <v>#NAME?</v>
      </c>
    </row>
    <row r="39" spans="1:35" ht="12" customHeight="1" x14ac:dyDescent="0.25">
      <c r="A39" s="75" t="s">
        <v>87</v>
      </c>
      <c r="B39" s="38"/>
      <c r="C39" s="140" t="e">
        <f ca="1">SUM(C35:C38)</f>
        <v>#NAME?</v>
      </c>
      <c r="D39" s="141" t="e">
        <f ca="1">SUM(D35:D38)</f>
        <v>#NAME?</v>
      </c>
      <c r="E39" s="143" t="e">
        <f ca="1">SUM(E35:E38)</f>
        <v>#NAME?</v>
      </c>
      <c r="F39" s="42"/>
      <c r="G39" s="140">
        <f>SUM(G35:G38)</f>
        <v>0</v>
      </c>
      <c r="H39" s="141">
        <f>SUM(H35:H38)</f>
        <v>0</v>
      </c>
      <c r="I39" s="141">
        <f>SUM(I35:I38)</f>
        <v>0</v>
      </c>
      <c r="J39" s="144">
        <f>SUM(J35:J38)</f>
        <v>0</v>
      </c>
      <c r="K39" s="141"/>
      <c r="L39" s="141"/>
      <c r="M39" s="141">
        <f>SUM(M35:M38)</f>
        <v>0</v>
      </c>
      <c r="N39" s="143">
        <f>SUM(N35:N38)</f>
        <v>0</v>
      </c>
      <c r="O39" s="144">
        <f>J39-M39-N39</f>
        <v>0</v>
      </c>
      <c r="P39" s="44"/>
      <c r="Q39" s="140">
        <f>SUM(Q35:Q38)</f>
        <v>0</v>
      </c>
      <c r="R39" s="141"/>
      <c r="S39" s="141"/>
      <c r="T39" s="141">
        <f>SUM(T35:T38)</f>
        <v>0</v>
      </c>
      <c r="U39" s="141">
        <f>SUM(U35:U38)</f>
        <v>0</v>
      </c>
      <c r="V39" s="143">
        <f>SUM(V35:V38)</f>
        <v>0</v>
      </c>
    </row>
    <row r="40" spans="1:35" ht="3" customHeight="1" x14ac:dyDescent="0.25">
      <c r="A40" s="29"/>
      <c r="B40" s="38"/>
      <c r="C40" s="41"/>
      <c r="D40" s="42"/>
      <c r="E40" s="66"/>
      <c r="F40" s="42"/>
      <c r="G40" s="41"/>
      <c r="H40" s="42"/>
      <c r="I40" s="42"/>
      <c r="J40" s="83"/>
      <c r="K40" s="65"/>
      <c r="L40" s="65"/>
      <c r="M40" s="42"/>
      <c r="N40" s="43"/>
      <c r="O40" s="83"/>
      <c r="P40" s="44"/>
      <c r="Q40" s="41"/>
      <c r="R40" s="42"/>
      <c r="S40" s="42"/>
      <c r="T40" s="42"/>
      <c r="U40" s="42"/>
      <c r="V40" s="66"/>
    </row>
    <row r="41" spans="1:35" ht="12" customHeight="1" x14ac:dyDescent="0.25">
      <c r="A41" s="29" t="s">
        <v>8</v>
      </c>
      <c r="B41" s="38"/>
      <c r="C41" s="41" t="e">
        <f ca="1">Y41</f>
        <v>#NAME?</v>
      </c>
      <c r="D41" s="42" t="e">
        <f ca="1">SUM(Z41:AC41)</f>
        <v>#NAME?</v>
      </c>
      <c r="E41" s="66" t="e">
        <f ca="1">C41-D41</f>
        <v>#NAME?</v>
      </c>
      <c r="F41" s="42"/>
      <c r="G41" s="41"/>
      <c r="H41" s="42"/>
      <c r="I41" s="42"/>
      <c r="J41" s="83">
        <f>SUM(G41:I41)</f>
        <v>0</v>
      </c>
      <c r="K41" s="65"/>
      <c r="L41" s="65"/>
      <c r="M41" s="42"/>
      <c r="N41" s="43"/>
      <c r="O41" s="83">
        <f>J41-M41-N41</f>
        <v>0</v>
      </c>
      <c r="P41" s="44"/>
      <c r="Q41" s="41"/>
      <c r="R41" s="42"/>
      <c r="S41" s="42"/>
      <c r="T41" s="42"/>
      <c r="U41" s="42"/>
      <c r="V41" s="66">
        <f>ROUND(SUM(Q41:U41),0)</f>
        <v>0</v>
      </c>
      <c r="X41" s="25" t="s">
        <v>82</v>
      </c>
      <c r="Y41" s="44" t="e">
        <f ca="1">_xll.HPVAL($X41,$X$1,Y$1,$X$2,$X$3,$X$5)/1000</f>
        <v>#NAME?</v>
      </c>
      <c r="Z41" s="44"/>
      <c r="AA41" s="44" t="e">
        <f ca="1">_xll.HPVAL($X41,$X$1,AA$1,$X$2,$X$3,$X$5)/1000</f>
        <v>#NAME?</v>
      </c>
      <c r="AB41" s="44" t="e">
        <f ca="1">_xll.HPVAL($X41,$X$1,AB$1,$X$2,$X$3,$X$5)/1000</f>
        <v>#NAME?</v>
      </c>
      <c r="AC41" s="44" t="e">
        <f ca="1">_xll.HPVAL($X41,$X$1,AC$1,$X$2,$X$3,$X$5)/1000</f>
        <v>#NAME?</v>
      </c>
      <c r="AE41" s="44" t="e">
        <f ca="1">_xll.HPVAL($X41,$AE$2,AE$1,$AF$2,$X$3,$X$5)/1000</f>
        <v>#NAME?</v>
      </c>
      <c r="AF41" s="44"/>
      <c r="AG41" s="44" t="e">
        <f ca="1">_xll.HPVAL($X41,$AE$2,AG$1,$AF$2,$X$3,$X$5)/1000</f>
        <v>#NAME?</v>
      </c>
      <c r="AH41" s="44" t="e">
        <f ca="1">_xll.HPVAL($X41,$AE$2,AH$1,$AF$2,$X$3,$X$5)/1000</f>
        <v>#NAME?</v>
      </c>
      <c r="AI41" s="44" t="e">
        <f ca="1">_xll.HPVAL($X41,$AE$2,AI$1,$AF$2,$X$3,$X$5)/1000</f>
        <v>#NAME?</v>
      </c>
    </row>
    <row r="42" spans="1:35" ht="3" customHeight="1" x14ac:dyDescent="0.25">
      <c r="A42" s="29"/>
      <c r="B42" s="38"/>
      <c r="C42" s="41"/>
      <c r="D42" s="42"/>
      <c r="E42" s="66"/>
      <c r="F42" s="42"/>
      <c r="G42" s="41"/>
      <c r="H42" s="42"/>
      <c r="I42" s="42"/>
      <c r="J42" s="83"/>
      <c r="K42" s="65"/>
      <c r="L42" s="65"/>
      <c r="M42" s="42"/>
      <c r="N42" s="43"/>
      <c r="O42" s="83"/>
      <c r="P42" s="44"/>
      <c r="Q42" s="41"/>
      <c r="R42" s="42"/>
      <c r="S42" s="42"/>
      <c r="T42" s="42"/>
      <c r="U42" s="42"/>
      <c r="V42" s="66"/>
    </row>
    <row r="43" spans="1:35" ht="12" customHeight="1" x14ac:dyDescent="0.25">
      <c r="A43" s="29" t="s">
        <v>7</v>
      </c>
      <c r="B43" s="38"/>
      <c r="C43" s="41"/>
      <c r="D43" s="42" t="e">
        <f ca="1">SUM(Z43:AC43)</f>
        <v>#NAME?</v>
      </c>
      <c r="E43" s="66" t="e">
        <f ca="1">C43-D43</f>
        <v>#NAME?</v>
      </c>
      <c r="F43" s="42"/>
      <c r="G43" s="41"/>
      <c r="H43" s="42"/>
      <c r="I43" s="42"/>
      <c r="J43" s="83">
        <f>SUM(G43:I43)</f>
        <v>0</v>
      </c>
      <c r="K43" s="65"/>
      <c r="L43" s="65"/>
      <c r="M43" s="42"/>
      <c r="N43" s="43"/>
      <c r="O43" s="83">
        <f>J43-M43-N43</f>
        <v>0</v>
      </c>
      <c r="P43" s="44"/>
      <c r="Q43" s="41"/>
      <c r="R43" s="42"/>
      <c r="S43" s="42"/>
      <c r="T43" s="42"/>
      <c r="U43" s="42"/>
      <c r="V43" s="66">
        <f>ROUND(SUM(Q43:U43),0)</f>
        <v>0</v>
      </c>
      <c r="X43" s="25" t="s">
        <v>44</v>
      </c>
      <c r="Y43" s="44"/>
      <c r="Z43" s="44"/>
      <c r="AA43" s="44" t="e">
        <f ca="1">_xll.HPVAL($X43,$X$1,AA$1,$X$2,$X$3,$X$5)/1000</f>
        <v>#NAME?</v>
      </c>
      <c r="AB43" s="44" t="e">
        <f ca="1">_xll.HPVAL($X43,$X$1,AB$1,$X$2,$X$3,$X$5)/1000</f>
        <v>#NAME?</v>
      </c>
      <c r="AC43" s="44" t="e">
        <f ca="1">_xll.HPVAL($X43,$X$1,AC$1,$X$2,$X$3,$X$5)/1000</f>
        <v>#NAME?</v>
      </c>
      <c r="AE43" s="44"/>
      <c r="AF43" s="44"/>
      <c r="AG43" s="44" t="e">
        <f ca="1">_xll.HPVAL($X43,$AE$2,AG$1,$AF$2,$X$3,$X$5)/1000</f>
        <v>#NAME?</v>
      </c>
      <c r="AH43" s="44" t="e">
        <f ca="1">_xll.HPVAL($X43,$AE$2,AH$1,$AF$2,$X$3,$X$5)/1000</f>
        <v>#NAME?</v>
      </c>
      <c r="AI43" s="44" t="e">
        <f ca="1">_xll.HPVAL($X43,$AE$2,AI$1,$AF$2,$X$3,$X$5)/1000</f>
        <v>#NAME?</v>
      </c>
    </row>
    <row r="44" spans="1:35" ht="3" customHeight="1" x14ac:dyDescent="0.25">
      <c r="A44" s="29"/>
      <c r="B44" s="38"/>
      <c r="C44" s="41"/>
      <c r="D44" s="42"/>
      <c r="E44" s="66"/>
      <c r="F44" s="42"/>
      <c r="G44" s="41"/>
      <c r="H44" s="42"/>
      <c r="I44" s="42"/>
      <c r="J44" s="83"/>
      <c r="K44" s="65"/>
      <c r="L44" s="65"/>
      <c r="M44" s="42"/>
      <c r="N44" s="43"/>
      <c r="O44" s="83"/>
      <c r="P44" s="44"/>
      <c r="Q44" s="41"/>
      <c r="R44" s="42"/>
      <c r="S44" s="42"/>
      <c r="T44" s="42"/>
      <c r="U44" s="42"/>
      <c r="V44" s="66"/>
    </row>
    <row r="45" spans="1:35" s="69" customFormat="1" ht="12" customHeight="1" x14ac:dyDescent="0.25">
      <c r="A45" s="75" t="s">
        <v>10</v>
      </c>
      <c r="B45" s="70"/>
      <c r="C45" s="140" t="e">
        <f ca="1">SUM(C39:C43)+C19+C27+C33</f>
        <v>#NAME?</v>
      </c>
      <c r="D45" s="141" t="e">
        <f ca="1">SUM(D39:D43)+D19+D27+D33</f>
        <v>#NAME?</v>
      </c>
      <c r="E45" s="143" t="e">
        <f ca="1">SUM(E39:E43)+E19+E27+E33</f>
        <v>#NAME?</v>
      </c>
      <c r="F45" s="67"/>
      <c r="G45" s="140">
        <f>SUM(G39:G43)+G19+G27+G33</f>
        <v>0</v>
      </c>
      <c r="H45" s="141">
        <f>SUM(H39:H43)+H19+H27+H33</f>
        <v>0</v>
      </c>
      <c r="I45" s="141">
        <f>SUM(I39:I43)+I19+I27+I33</f>
        <v>0</v>
      </c>
      <c r="J45" s="144">
        <f>SUM(J39:J43)+J19+J27+J33</f>
        <v>0</v>
      </c>
      <c r="K45" s="141"/>
      <c r="L45" s="141"/>
      <c r="M45" s="141">
        <f>SUM(M39:M43)+M19+M27+M33</f>
        <v>0</v>
      </c>
      <c r="N45" s="143">
        <f>SUM(N39:N43)+N19+N27+N33</f>
        <v>0</v>
      </c>
      <c r="O45" s="144">
        <f>J45-M45-N45</f>
        <v>0</v>
      </c>
      <c r="P45" s="71"/>
      <c r="Q45" s="140">
        <f>SUM(Q39:Q43)+Q19+Q27+Q33</f>
        <v>0</v>
      </c>
      <c r="R45" s="141"/>
      <c r="S45" s="141"/>
      <c r="T45" s="141">
        <f>SUM(T39:T43)+T19+T27+T33</f>
        <v>0</v>
      </c>
      <c r="U45" s="141">
        <f>SUM(U39:U43)+U19+U27+U33</f>
        <v>0</v>
      </c>
      <c r="V45" s="143">
        <f>SUM(V39:V43)+V19+V27+V33</f>
        <v>0</v>
      </c>
      <c r="X45" s="68"/>
    </row>
    <row r="46" spans="1:35" ht="3" customHeight="1" x14ac:dyDescent="0.25">
      <c r="A46" s="29"/>
      <c r="B46" s="38"/>
      <c r="C46" s="41"/>
      <c r="D46" s="42"/>
      <c r="E46" s="66"/>
      <c r="F46" s="42"/>
      <c r="G46" s="41"/>
      <c r="H46" s="42"/>
      <c r="I46" s="42"/>
      <c r="J46" s="83"/>
      <c r="K46" s="65"/>
      <c r="L46" s="65"/>
      <c r="M46" s="42"/>
      <c r="N46" s="43"/>
      <c r="O46" s="83"/>
      <c r="P46" s="44"/>
      <c r="Q46" s="41"/>
      <c r="R46" s="42"/>
      <c r="S46" s="42"/>
      <c r="T46" s="42"/>
      <c r="U46" s="42"/>
      <c r="V46" s="66"/>
    </row>
    <row r="47" spans="1:35" ht="12" customHeight="1" x14ac:dyDescent="0.25">
      <c r="A47" s="29" t="s">
        <v>48</v>
      </c>
      <c r="B47" s="38"/>
      <c r="C47" s="41"/>
      <c r="D47" s="42" t="e">
        <f ca="1">SUM(Z47:AC47)</f>
        <v>#NAME?</v>
      </c>
      <c r="E47" s="66" t="e">
        <f ca="1">C47-D47</f>
        <v>#NAME?</v>
      </c>
      <c r="F47" s="42"/>
      <c r="G47" s="41"/>
      <c r="H47" s="42"/>
      <c r="I47" s="42"/>
      <c r="J47" s="83"/>
      <c r="K47" s="65"/>
      <c r="L47" s="65"/>
      <c r="M47" s="42"/>
      <c r="N47" s="43"/>
      <c r="O47" s="83">
        <f>J47-M47-N47</f>
        <v>0</v>
      </c>
      <c r="P47" s="44"/>
      <c r="Q47" s="41"/>
      <c r="R47" s="42"/>
      <c r="S47" s="42"/>
      <c r="T47" s="42"/>
      <c r="U47" s="42"/>
      <c r="V47" s="66">
        <f>ROUND(SUM(Q47:U47),0)</f>
        <v>0</v>
      </c>
      <c r="X47" s="25" t="s">
        <v>45</v>
      </c>
      <c r="Y47" s="44"/>
      <c r="Z47" s="44"/>
      <c r="AA47" s="44"/>
      <c r="AB47" s="44" t="e">
        <f ca="1">_xll.HPVAL($X47,$X$1,AB$1,$X$2,$X$3,$X$5)/1000</f>
        <v>#NAME?</v>
      </c>
      <c r="AC47" s="44" t="e">
        <f ca="1">_xll.HPVAL($X47,$X$1,AC$1,$X$2,$X$3,$X$5)/1000</f>
        <v>#NAME?</v>
      </c>
      <c r="AE47" s="44"/>
      <c r="AF47" s="44"/>
      <c r="AG47" s="44"/>
      <c r="AH47" s="44" t="e">
        <f ca="1">_xll.HPVAL($X47,$AE$2,AH$1,$AF$2,$X$3,$X$5)/1000</f>
        <v>#NAME?</v>
      </c>
      <c r="AI47" s="44" t="e">
        <f ca="1">_xll.HPVAL($X47,$AE$2,AI$1,$AF$2,$X$3,$X$5)/1000</f>
        <v>#NAME?</v>
      </c>
    </row>
    <row r="48" spans="1:35" ht="3" customHeight="1" x14ac:dyDescent="0.25">
      <c r="A48" s="29"/>
      <c r="B48" s="38"/>
      <c r="C48" s="41"/>
      <c r="D48" s="42"/>
      <c r="E48" s="66"/>
      <c r="F48" s="42"/>
      <c r="G48" s="41"/>
      <c r="H48" s="42"/>
      <c r="I48" s="42"/>
      <c r="J48" s="83"/>
      <c r="K48" s="65"/>
      <c r="L48" s="65"/>
      <c r="M48" s="42"/>
      <c r="N48" s="43"/>
      <c r="O48" s="83"/>
      <c r="P48" s="44"/>
      <c r="Q48" s="41"/>
      <c r="R48" s="42"/>
      <c r="S48" s="42"/>
      <c r="T48" s="42"/>
      <c r="U48" s="42"/>
      <c r="V48" s="66"/>
    </row>
    <row r="49" spans="1:35" ht="12" customHeight="1" x14ac:dyDescent="0.25">
      <c r="A49" s="29" t="s">
        <v>18</v>
      </c>
      <c r="B49" s="38"/>
      <c r="C49" s="41" t="e">
        <f ca="1">Y49</f>
        <v>#NAME?</v>
      </c>
      <c r="D49" s="42" t="e">
        <f ca="1">SUM(Z49:AC49)</f>
        <v>#NAME?</v>
      </c>
      <c r="E49" s="66" t="e">
        <f ca="1">C49-D49</f>
        <v>#NAME?</v>
      </c>
      <c r="F49" s="65"/>
      <c r="G49" s="41"/>
      <c r="H49" s="42"/>
      <c r="I49" s="42"/>
      <c r="J49" s="83"/>
      <c r="K49" s="65"/>
      <c r="L49" s="65"/>
      <c r="M49" s="42"/>
      <c r="N49" s="43"/>
      <c r="O49" s="83">
        <f>J49-M49-N49</f>
        <v>0</v>
      </c>
      <c r="P49" s="44"/>
      <c r="Q49" s="41"/>
      <c r="R49" s="42"/>
      <c r="S49" s="42"/>
      <c r="T49" s="42"/>
      <c r="U49" s="42"/>
      <c r="V49" s="66">
        <f>ROUND(SUM(Q49:U49),0)</f>
        <v>0</v>
      </c>
      <c r="X49" s="25" t="s">
        <v>46</v>
      </c>
      <c r="Y49" s="44" t="e">
        <f ca="1">_xll.HPVAL($X49,$X$1,Y$1,$X$2,$X$3,$X$5)/1000</f>
        <v>#NAME?</v>
      </c>
      <c r="Z49" s="44"/>
      <c r="AA49" s="44"/>
      <c r="AB49" s="44" t="e">
        <f ca="1">_xll.HPVAL($X49,$X$1,AB$1,$X$2,$X$3,$X$5)/1000</f>
        <v>#NAME?</v>
      </c>
      <c r="AC49" s="44"/>
      <c r="AE49" s="44" t="e">
        <f ca="1">_xll.HPVAL($X49,$AE$2,AE$1,$AF$2,$X$3,$X$5)/1000</f>
        <v>#NAME?</v>
      </c>
      <c r="AF49" s="44"/>
      <c r="AG49" s="44"/>
      <c r="AH49" s="44" t="e">
        <f ca="1">_xll.HPVAL($X49,$AE$2,AH$1,$AF$2,$X$3,$X$5)/1000</f>
        <v>#NAME?</v>
      </c>
      <c r="AI49" s="44"/>
    </row>
    <row r="50" spans="1:35" ht="3" customHeight="1" x14ac:dyDescent="0.25">
      <c r="A50" s="29"/>
      <c r="B50" s="38"/>
      <c r="C50" s="41"/>
      <c r="D50" s="42"/>
      <c r="E50" s="66"/>
      <c r="F50" s="42"/>
      <c r="G50" s="41"/>
      <c r="H50" s="42"/>
      <c r="I50" s="42"/>
      <c r="J50" s="83"/>
      <c r="K50" s="65"/>
      <c r="L50" s="65"/>
      <c r="M50" s="42"/>
      <c r="N50" s="43"/>
      <c r="O50" s="83"/>
      <c r="P50" s="44"/>
      <c r="Q50" s="41"/>
      <c r="R50" s="42"/>
      <c r="S50" s="42"/>
      <c r="T50" s="42"/>
      <c r="U50" s="42"/>
      <c r="V50" s="66"/>
    </row>
    <row r="51" spans="1:35" ht="12" customHeight="1" x14ac:dyDescent="0.25">
      <c r="A51" s="29" t="s">
        <v>60</v>
      </c>
      <c r="B51" s="38"/>
      <c r="C51" s="41"/>
      <c r="D51" s="42" t="e">
        <f ca="1">SUM(Z51:AC51)</f>
        <v>#NAME?</v>
      </c>
      <c r="E51" s="66" t="e">
        <f ca="1">C51-D51</f>
        <v>#NAME?</v>
      </c>
      <c r="F51" s="42"/>
      <c r="G51" s="41"/>
      <c r="H51" s="42"/>
      <c r="I51" s="42"/>
      <c r="J51" s="83">
        <f>SUM(G51:I51)</f>
        <v>0</v>
      </c>
      <c r="K51" s="65"/>
      <c r="L51" s="65"/>
      <c r="M51" s="42"/>
      <c r="N51" s="43"/>
      <c r="O51" s="83">
        <f>J51-M51-N51</f>
        <v>0</v>
      </c>
      <c r="P51" s="44"/>
      <c r="Q51" s="41"/>
      <c r="R51" s="42"/>
      <c r="S51" s="42"/>
      <c r="T51" s="42"/>
      <c r="U51" s="42"/>
      <c r="V51" s="66">
        <f>ROUND(SUM(Q51:U51),0)</f>
        <v>0</v>
      </c>
      <c r="X51" s="25" t="s">
        <v>46</v>
      </c>
      <c r="Y51" s="44"/>
      <c r="Z51" s="44"/>
      <c r="AA51" s="44" t="e">
        <f ca="1">_xll.HPVAL($X51,$X$1,AA$1,$X$2,$X$3,$X$5)/1000</f>
        <v>#NAME?</v>
      </c>
      <c r="AB51" s="44"/>
      <c r="AC51" s="44"/>
      <c r="AE51" s="44"/>
      <c r="AF51" s="44"/>
      <c r="AG51" s="44" t="e">
        <f ca="1">_xll.HPVAL($X51,$AE$2,AG$1,$AF$2,$X$3,$X$5)/1000</f>
        <v>#NAME?</v>
      </c>
      <c r="AH51" s="44"/>
      <c r="AI51" s="44"/>
    </row>
    <row r="52" spans="1:35" ht="3" customHeight="1" x14ac:dyDescent="0.25">
      <c r="A52" s="29"/>
      <c r="B52" s="38"/>
      <c r="C52" s="41"/>
      <c r="D52" s="42"/>
      <c r="E52" s="66"/>
      <c r="F52" s="42"/>
      <c r="G52" s="41"/>
      <c r="H52" s="42"/>
      <c r="I52" s="42"/>
      <c r="J52" s="83"/>
      <c r="K52" s="65"/>
      <c r="L52" s="65"/>
      <c r="M52" s="42"/>
      <c r="N52" s="43"/>
      <c r="O52" s="83"/>
      <c r="P52" s="44"/>
      <c r="Q52" s="41"/>
      <c r="R52" s="42"/>
      <c r="S52" s="42"/>
      <c r="T52" s="42"/>
      <c r="U52" s="42"/>
      <c r="V52" s="66">
        <f>ROUND(SUM(Q52:U52),0)</f>
        <v>0</v>
      </c>
    </row>
    <row r="53" spans="1:35" ht="12" customHeight="1" x14ac:dyDescent="0.25">
      <c r="A53" s="29" t="s">
        <v>19</v>
      </c>
      <c r="B53" s="38"/>
      <c r="C53" s="41" t="e">
        <f ca="1">Y53</f>
        <v>#NAME?</v>
      </c>
      <c r="D53" s="42"/>
      <c r="E53" s="66" t="e">
        <f ca="1">C53-D53</f>
        <v>#NAME?</v>
      </c>
      <c r="F53" s="42"/>
      <c r="G53" s="41"/>
      <c r="H53" s="42"/>
      <c r="I53" s="42"/>
      <c r="J53" s="83"/>
      <c r="K53" s="65"/>
      <c r="L53" s="65"/>
      <c r="M53" s="42"/>
      <c r="N53" s="43"/>
      <c r="O53" s="83">
        <f>J53-M53-N53</f>
        <v>0</v>
      </c>
      <c r="P53" s="44"/>
      <c r="Q53" s="41"/>
      <c r="R53" s="42"/>
      <c r="S53" s="42"/>
      <c r="T53" s="42"/>
      <c r="U53" s="42"/>
      <c r="V53" s="66">
        <f>ROUND(SUM(Q53:U53),0)</f>
        <v>0</v>
      </c>
      <c r="X53" s="25" t="s">
        <v>44</v>
      </c>
      <c r="Y53" s="44" t="e">
        <f ca="1">_xll.HPVAL($X53,$X$1,Y$1,$X$2,$X$3,$X$5)/1000</f>
        <v>#NAME?</v>
      </c>
      <c r="Z53" s="44"/>
      <c r="AA53" s="44"/>
      <c r="AB53" s="44"/>
      <c r="AC53" s="44"/>
      <c r="AE53" s="44"/>
      <c r="AF53" s="44"/>
      <c r="AG53" s="44"/>
      <c r="AH53" s="44"/>
      <c r="AI53" s="44"/>
    </row>
    <row r="54" spans="1:35" ht="3" customHeight="1" x14ac:dyDescent="0.25">
      <c r="A54" s="29"/>
      <c r="B54" s="38"/>
      <c r="C54" s="41"/>
      <c r="D54" s="42"/>
      <c r="E54" s="66"/>
      <c r="F54" s="42"/>
      <c r="G54" s="41"/>
      <c r="H54" s="42"/>
      <c r="I54" s="42"/>
      <c r="J54" s="83"/>
      <c r="K54" s="65"/>
      <c r="L54" s="65"/>
      <c r="M54" s="42"/>
      <c r="N54" s="43"/>
      <c r="O54" s="83"/>
      <c r="P54" s="44"/>
      <c r="Q54" s="41"/>
      <c r="R54" s="42"/>
      <c r="S54" s="42"/>
      <c r="T54" s="42"/>
      <c r="U54" s="42"/>
      <c r="V54" s="66"/>
    </row>
    <row r="55" spans="1:35" ht="12" customHeight="1" x14ac:dyDescent="0.25">
      <c r="A55" s="75" t="s">
        <v>65</v>
      </c>
      <c r="B55" s="38"/>
      <c r="C55" s="140" t="e">
        <f ca="1">SUM(C45:C53)</f>
        <v>#NAME?</v>
      </c>
      <c r="D55" s="141" t="e">
        <f ca="1">SUM(D45:D53)</f>
        <v>#NAME?</v>
      </c>
      <c r="E55" s="143" t="e">
        <f ca="1">SUM(E45:E53)</f>
        <v>#NAME?</v>
      </c>
      <c r="F55" s="42"/>
      <c r="G55" s="140">
        <f t="shared" ref="G55:N55" si="14">SUM(G45:G53)</f>
        <v>0</v>
      </c>
      <c r="H55" s="141">
        <f t="shared" si="14"/>
        <v>0</v>
      </c>
      <c r="I55" s="141">
        <f t="shared" si="14"/>
        <v>0</v>
      </c>
      <c r="J55" s="144">
        <f t="shared" si="14"/>
        <v>0</v>
      </c>
      <c r="K55" s="141"/>
      <c r="L55" s="141"/>
      <c r="M55" s="141">
        <f t="shared" si="14"/>
        <v>0</v>
      </c>
      <c r="N55" s="143">
        <f t="shared" si="14"/>
        <v>0</v>
      </c>
      <c r="O55" s="144">
        <f>J55-M55-N55</f>
        <v>0</v>
      </c>
      <c r="P55" s="44"/>
      <c r="Q55" s="140">
        <f>SUM(Q45:Q53)</f>
        <v>0</v>
      </c>
      <c r="R55" s="141"/>
      <c r="S55" s="141"/>
      <c r="T55" s="141">
        <f>SUM(T45:T53)</f>
        <v>0</v>
      </c>
      <c r="U55" s="141">
        <f>SUM(U45:U53)</f>
        <v>0</v>
      </c>
      <c r="V55" s="143">
        <f>SUM(V45:V53)</f>
        <v>0</v>
      </c>
    </row>
    <row r="56" spans="1:35" ht="3" customHeight="1" x14ac:dyDescent="0.25">
      <c r="A56" s="29"/>
      <c r="B56" s="38"/>
      <c r="C56" s="41"/>
      <c r="D56" s="42"/>
      <c r="E56" s="66"/>
      <c r="F56" s="42"/>
      <c r="G56" s="41"/>
      <c r="H56" s="42"/>
      <c r="I56" s="42"/>
      <c r="J56" s="83"/>
      <c r="K56" s="65"/>
      <c r="L56" s="65"/>
      <c r="M56" s="42"/>
      <c r="N56" s="43"/>
      <c r="O56" s="83"/>
      <c r="P56" s="44"/>
      <c r="Q56" s="41"/>
      <c r="R56" s="42"/>
      <c r="S56" s="42"/>
      <c r="T56" s="42"/>
      <c r="U56" s="42"/>
      <c r="V56" s="66"/>
    </row>
    <row r="57" spans="1:35" ht="12" customHeight="1" x14ac:dyDescent="0.25">
      <c r="A57" s="29" t="s">
        <v>150</v>
      </c>
      <c r="B57" s="38"/>
      <c r="C57" s="41"/>
      <c r="D57" s="42">
        <f>12000+8600</f>
        <v>20600</v>
      </c>
      <c r="E57" s="66">
        <f>C57-D57</f>
        <v>-20600</v>
      </c>
      <c r="F57" s="42"/>
      <c r="G57" s="41"/>
      <c r="H57" s="42"/>
      <c r="I57" s="42"/>
      <c r="J57" s="83"/>
      <c r="K57" s="65"/>
      <c r="L57" s="65"/>
      <c r="M57" s="42"/>
      <c r="N57" s="43"/>
      <c r="O57" s="83">
        <f>J57-M57-N57</f>
        <v>0</v>
      </c>
      <c r="P57" s="44"/>
      <c r="Q57" s="41"/>
      <c r="R57" s="42"/>
      <c r="S57" s="42"/>
      <c r="T57" s="42"/>
      <c r="U57" s="42"/>
      <c r="V57" s="66">
        <f>ROUND(SUM(Q57:U57),0)</f>
        <v>0</v>
      </c>
    </row>
    <row r="58" spans="1:35" ht="3" customHeight="1" x14ac:dyDescent="0.25">
      <c r="A58" s="29"/>
      <c r="B58" s="38"/>
      <c r="C58" s="41"/>
      <c r="D58" s="42"/>
      <c r="E58" s="66"/>
      <c r="F58" s="42"/>
      <c r="G58" s="41"/>
      <c r="H58" s="42"/>
      <c r="I58" s="42"/>
      <c r="J58" s="83"/>
      <c r="K58" s="65"/>
      <c r="L58" s="65"/>
      <c r="M58" s="42"/>
      <c r="N58" s="43"/>
      <c r="O58" s="83"/>
      <c r="P58" s="44"/>
      <c r="Q58" s="41"/>
      <c r="R58" s="42"/>
      <c r="S58" s="42"/>
      <c r="T58" s="42"/>
      <c r="U58" s="42"/>
      <c r="V58" s="66"/>
    </row>
    <row r="59" spans="1:35" ht="12" customHeight="1" x14ac:dyDescent="0.25">
      <c r="A59" s="75" t="s">
        <v>66</v>
      </c>
      <c r="B59" s="38"/>
      <c r="C59" s="95" t="e">
        <f ca="1">SUM(C55:C57)</f>
        <v>#NAME?</v>
      </c>
      <c r="D59" s="96" t="e">
        <f ca="1">SUM(D55:D57)</f>
        <v>#NAME?</v>
      </c>
      <c r="E59" s="97" t="e">
        <f ca="1">SUM(E55:E57)</f>
        <v>#NAME?</v>
      </c>
      <c r="F59" s="42"/>
      <c r="G59" s="95">
        <f t="shared" ref="G59:N59" si="15">SUM(G55:G57)</f>
        <v>0</v>
      </c>
      <c r="H59" s="96">
        <f t="shared" si="15"/>
        <v>0</v>
      </c>
      <c r="I59" s="96">
        <f t="shared" si="15"/>
        <v>0</v>
      </c>
      <c r="J59" s="98">
        <f t="shared" si="15"/>
        <v>0</v>
      </c>
      <c r="K59" s="96"/>
      <c r="L59" s="96"/>
      <c r="M59" s="96">
        <f t="shared" si="15"/>
        <v>0</v>
      </c>
      <c r="N59" s="97">
        <f t="shared" si="15"/>
        <v>0</v>
      </c>
      <c r="O59" s="98">
        <f>J59-M59-N59</f>
        <v>0</v>
      </c>
      <c r="P59" s="44"/>
      <c r="Q59" s="95">
        <f>SUM(Q55:Q57)</f>
        <v>0</v>
      </c>
      <c r="R59" s="96"/>
      <c r="S59" s="96"/>
      <c r="T59" s="96">
        <f>SUM(T55:T57)</f>
        <v>0</v>
      </c>
      <c r="U59" s="96">
        <f>SUM(U55:U57)</f>
        <v>0</v>
      </c>
      <c r="V59" s="97">
        <f>SUM(V55:V57)</f>
        <v>0</v>
      </c>
    </row>
    <row r="60" spans="1:35" s="38" customFormat="1" ht="3" customHeight="1" x14ac:dyDescent="0.25">
      <c r="A60" s="48"/>
      <c r="B60" s="36"/>
      <c r="C60" s="49"/>
      <c r="D60" s="50"/>
      <c r="E60" s="51"/>
      <c r="F60" s="42"/>
      <c r="G60" s="52"/>
      <c r="H60" s="53"/>
      <c r="I60" s="53"/>
      <c r="J60" s="48"/>
      <c r="K60" s="53"/>
      <c r="L60" s="53"/>
      <c r="M60" s="53"/>
      <c r="N60" s="54"/>
      <c r="O60" s="48"/>
      <c r="Q60" s="52"/>
      <c r="R60" s="53"/>
      <c r="S60" s="53"/>
      <c r="T60" s="53"/>
      <c r="U60" s="53"/>
      <c r="V60" s="54"/>
      <c r="X60" s="25"/>
    </row>
    <row r="61" spans="1:35" ht="6" customHeight="1" x14ac:dyDescent="0.25">
      <c r="A61" s="55"/>
      <c r="C61" s="44"/>
      <c r="D61" s="44"/>
      <c r="E61" s="44"/>
      <c r="F61" s="44"/>
    </row>
    <row r="62" spans="1:35" x14ac:dyDescent="0.25">
      <c r="A62" s="177" t="s">
        <v>149</v>
      </c>
      <c r="C62" s="44"/>
      <c r="D62" s="44"/>
      <c r="E62" s="44"/>
      <c r="F62" s="44"/>
    </row>
    <row r="63" spans="1:35" x14ac:dyDescent="0.25">
      <c r="C63" s="44"/>
      <c r="D63" s="44"/>
      <c r="E63" s="44"/>
      <c r="F63" s="44"/>
    </row>
    <row r="64" spans="1:35" x14ac:dyDescent="0.25">
      <c r="C64" s="44"/>
      <c r="D64" s="44"/>
      <c r="E64" s="44"/>
      <c r="F64" s="44"/>
    </row>
    <row r="65" spans="3:6" x14ac:dyDescent="0.25">
      <c r="C65" s="44"/>
      <c r="D65" s="44"/>
      <c r="E65" s="44"/>
      <c r="F65" s="44"/>
    </row>
    <row r="66" spans="3:6" x14ac:dyDescent="0.25">
      <c r="C66" s="44"/>
      <c r="D66" s="44"/>
      <c r="E66" s="44"/>
      <c r="F66" s="44"/>
    </row>
    <row r="67" spans="3:6" x14ac:dyDescent="0.25">
      <c r="C67" s="44"/>
      <c r="D67" s="44"/>
      <c r="E67" s="44"/>
      <c r="F67" s="44"/>
    </row>
    <row r="68" spans="3:6" x14ac:dyDescent="0.25">
      <c r="C68" s="44"/>
      <c r="D68" s="44"/>
      <c r="E68" s="44"/>
      <c r="F68" s="44"/>
    </row>
    <row r="69" spans="3:6" x14ac:dyDescent="0.25">
      <c r="C69" s="44"/>
      <c r="D69" s="44"/>
      <c r="E69" s="44"/>
      <c r="F69" s="44"/>
    </row>
    <row r="70" spans="3:6" x14ac:dyDescent="0.25">
      <c r="C70" s="44"/>
      <c r="D70" s="44"/>
      <c r="E70" s="44"/>
      <c r="F70" s="44"/>
    </row>
    <row r="71" spans="3:6" x14ac:dyDescent="0.25">
      <c r="C71" s="44"/>
      <c r="D71" s="44"/>
      <c r="E71" s="44"/>
      <c r="F71" s="44"/>
    </row>
    <row r="72" spans="3:6" x14ac:dyDescent="0.25">
      <c r="C72" s="44"/>
      <c r="D72" s="44"/>
      <c r="E72" s="44"/>
      <c r="F72" s="44"/>
    </row>
    <row r="73" spans="3:6" x14ac:dyDescent="0.25">
      <c r="C73" s="44"/>
      <c r="D73" s="44"/>
      <c r="E73" s="44"/>
      <c r="F73" s="44"/>
    </row>
    <row r="74" spans="3:6" x14ac:dyDescent="0.25">
      <c r="C74" s="44"/>
      <c r="D74" s="44"/>
      <c r="E74" s="44"/>
      <c r="F74" s="44"/>
    </row>
    <row r="75" spans="3:6" x14ac:dyDescent="0.25">
      <c r="C75" s="44"/>
      <c r="D75" s="44"/>
      <c r="E75" s="44"/>
      <c r="F75" s="44"/>
    </row>
    <row r="76" spans="3:6" x14ac:dyDescent="0.25">
      <c r="C76" s="44"/>
      <c r="D76" s="44"/>
      <c r="E76" s="44"/>
      <c r="F76" s="44"/>
    </row>
    <row r="77" spans="3:6" x14ac:dyDescent="0.25">
      <c r="C77" s="44"/>
      <c r="D77" s="44"/>
      <c r="E77" s="44"/>
      <c r="F77" s="44"/>
    </row>
    <row r="78" spans="3:6" x14ac:dyDescent="0.25">
      <c r="C78" s="44"/>
      <c r="D78" s="44"/>
      <c r="E78" s="44"/>
      <c r="F78" s="44"/>
    </row>
    <row r="79" spans="3:6" x14ac:dyDescent="0.25">
      <c r="C79" s="44"/>
      <c r="D79" s="44"/>
      <c r="E79" s="44"/>
      <c r="F79" s="44"/>
    </row>
    <row r="80" spans="3:6" x14ac:dyDescent="0.25">
      <c r="C80" s="44"/>
      <c r="D80" s="44"/>
      <c r="E80" s="44"/>
      <c r="F80" s="44"/>
    </row>
    <row r="81" spans="3:6" x14ac:dyDescent="0.25">
      <c r="C81" s="44"/>
      <c r="D81" s="44"/>
      <c r="E81" s="44"/>
      <c r="F81" s="44"/>
    </row>
    <row r="82" spans="3:6" x14ac:dyDescent="0.25">
      <c r="C82" s="44"/>
      <c r="D82" s="44"/>
      <c r="E82" s="44"/>
      <c r="F82" s="44"/>
    </row>
    <row r="83" spans="3:6" x14ac:dyDescent="0.25">
      <c r="C83" s="44"/>
      <c r="D83" s="44"/>
      <c r="E83" s="44"/>
      <c r="F83" s="44"/>
    </row>
    <row r="84" spans="3:6" x14ac:dyDescent="0.25">
      <c r="C84" s="44"/>
      <c r="D84" s="44"/>
      <c r="E84" s="44"/>
      <c r="F84" s="44"/>
    </row>
    <row r="85" spans="3:6" x14ac:dyDescent="0.25">
      <c r="C85" s="44"/>
      <c r="D85" s="44"/>
      <c r="E85" s="44"/>
      <c r="F85" s="44"/>
    </row>
  </sheetData>
  <mergeCells count="8">
    <mergeCell ref="Y5:AC5"/>
    <mergeCell ref="AE5:AI5"/>
    <mergeCell ref="A1:V1"/>
    <mergeCell ref="A2:V2"/>
    <mergeCell ref="A3:V3"/>
    <mergeCell ref="C5:E5"/>
    <mergeCell ref="Q5:V5"/>
    <mergeCell ref="G5:O5"/>
  </mergeCells>
  <printOptions horizontalCentered="1"/>
  <pageMargins left="0.1" right="0.1" top="0.25" bottom="0.5" header="0.25" footer="0.25"/>
  <pageSetup scale="79" orientation="landscape" verticalDpi="300" r:id="rId1"/>
  <headerFooter alignWithMargins="0">
    <oddFooter>&amp;L&amp;8&amp;A
&amp;D &amp;T&amp;R&amp;8&amp;F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6"/>
  <sheetViews>
    <sheetView topLeftCell="B2" workbookViewId="0">
      <selection activeCell="B6" sqref="B6"/>
    </sheetView>
  </sheetViews>
  <sheetFormatPr defaultRowHeight="12.75" x14ac:dyDescent="0.25"/>
  <cols>
    <col min="1" max="1" width="16.85546875" style="25" hidden="1" customWidth="1"/>
    <col min="2" max="2" width="23.7109375" style="27" customWidth="1"/>
    <col min="3" max="3" width="1" style="27" customWidth="1"/>
    <col min="4" max="4" width="7.7109375" style="27" customWidth="1"/>
    <col min="5" max="5" width="8.5703125" style="27" customWidth="1"/>
    <col min="6" max="6" width="7.7109375" style="27" customWidth="1"/>
    <col min="7" max="7" width="0.85546875" style="27" customWidth="1"/>
    <col min="8" max="10" width="7.7109375" style="27" customWidth="1"/>
    <col min="11" max="11" width="0.85546875" style="27" customWidth="1"/>
    <col min="12" max="14" width="7.7109375" style="27" customWidth="1"/>
    <col min="15" max="15" width="0.85546875" style="27" customWidth="1"/>
    <col min="16" max="18" width="7.7109375" style="27" customWidth="1"/>
    <col min="19" max="19" width="0.85546875" style="27" customWidth="1"/>
    <col min="20" max="22" width="7.7109375" style="27" customWidth="1"/>
    <col min="23" max="16384" width="9.140625" style="27"/>
  </cols>
  <sheetData>
    <row r="1" spans="1:22" s="25" customFormat="1" hidden="1" x14ac:dyDescent="0.25">
      <c r="D1" s="25" t="s">
        <v>64</v>
      </c>
      <c r="E1" s="25" t="s">
        <v>102</v>
      </c>
      <c r="F1" s="142">
        <v>36586</v>
      </c>
      <c r="H1" s="25" t="s">
        <v>102</v>
      </c>
      <c r="I1" s="25" t="s">
        <v>102</v>
      </c>
      <c r="J1" s="142">
        <v>36678</v>
      </c>
      <c r="L1" s="25" t="s">
        <v>102</v>
      </c>
      <c r="M1" s="25" t="s">
        <v>102</v>
      </c>
      <c r="N1" s="142">
        <v>36770</v>
      </c>
      <c r="P1" s="25" t="s">
        <v>102</v>
      </c>
      <c r="Q1" s="25" t="s">
        <v>102</v>
      </c>
      <c r="R1" s="142">
        <v>36861</v>
      </c>
      <c r="V1" s="142"/>
    </row>
    <row r="2" spans="1:22" ht="15.75" x14ac:dyDescent="0.25">
      <c r="A2" s="25" t="s">
        <v>80</v>
      </c>
      <c r="B2" s="378" t="s">
        <v>17</v>
      </c>
      <c r="C2" s="378"/>
      <c r="D2" s="378"/>
      <c r="E2" s="378"/>
      <c r="F2" s="378"/>
      <c r="G2" s="378"/>
      <c r="H2" s="378"/>
      <c r="I2" s="378"/>
      <c r="J2" s="378"/>
      <c r="K2" s="378"/>
      <c r="L2" s="378"/>
      <c r="M2" s="378"/>
      <c r="N2" s="378"/>
      <c r="O2" s="378"/>
      <c r="P2" s="378"/>
      <c r="Q2" s="378"/>
      <c r="R2" s="378"/>
      <c r="S2" s="378"/>
      <c r="T2" s="378"/>
      <c r="U2" s="378"/>
      <c r="V2" s="378"/>
    </row>
    <row r="3" spans="1:22" ht="16.5" x14ac:dyDescent="0.3">
      <c r="A3" s="26" t="s">
        <v>81</v>
      </c>
      <c r="B3" s="379" t="s">
        <v>159</v>
      </c>
      <c r="C3" s="379"/>
      <c r="D3" s="379"/>
      <c r="E3" s="379"/>
      <c r="F3" s="379"/>
      <c r="G3" s="379"/>
      <c r="H3" s="379"/>
      <c r="I3" s="379"/>
      <c r="J3" s="379"/>
      <c r="K3" s="379"/>
      <c r="L3" s="379"/>
      <c r="M3" s="379"/>
      <c r="N3" s="379"/>
      <c r="O3" s="379"/>
      <c r="P3" s="379"/>
      <c r="Q3" s="379"/>
      <c r="R3" s="379"/>
      <c r="S3" s="379"/>
      <c r="T3" s="379"/>
      <c r="U3" s="379"/>
      <c r="V3" s="379"/>
    </row>
    <row r="4" spans="1:22" ht="13.5" x14ac:dyDescent="0.25">
      <c r="A4" s="25" t="s">
        <v>125</v>
      </c>
      <c r="B4" s="380" t="s">
        <v>160</v>
      </c>
      <c r="C4" s="380"/>
      <c r="D4" s="380"/>
      <c r="E4" s="380"/>
      <c r="F4" s="380"/>
      <c r="G4" s="380"/>
      <c r="H4" s="380"/>
      <c r="I4" s="380"/>
      <c r="J4" s="380"/>
      <c r="K4" s="380"/>
      <c r="L4" s="380"/>
      <c r="M4" s="380"/>
      <c r="N4" s="380"/>
      <c r="O4" s="380"/>
      <c r="P4" s="380"/>
      <c r="Q4" s="380"/>
      <c r="R4" s="380"/>
      <c r="S4" s="380"/>
      <c r="T4" s="380"/>
      <c r="U4" s="380"/>
      <c r="V4" s="380"/>
    </row>
    <row r="5" spans="1:22" ht="3" customHeight="1" x14ac:dyDescent="0.25"/>
    <row r="6" spans="1:22" ht="12" customHeight="1" x14ac:dyDescent="0.25">
      <c r="B6" s="28"/>
      <c r="D6" s="381" t="s">
        <v>79</v>
      </c>
      <c r="E6" s="382"/>
      <c r="F6" s="383"/>
      <c r="H6" s="381" t="s">
        <v>83</v>
      </c>
      <c r="I6" s="382"/>
      <c r="J6" s="383"/>
      <c r="L6" s="381" t="s">
        <v>84</v>
      </c>
      <c r="M6" s="382"/>
      <c r="N6" s="383"/>
      <c r="P6" s="381" t="s">
        <v>85</v>
      </c>
      <c r="Q6" s="382"/>
      <c r="R6" s="383"/>
      <c r="T6" s="381" t="s">
        <v>14</v>
      </c>
      <c r="U6" s="382"/>
      <c r="V6" s="383"/>
    </row>
    <row r="7" spans="1:22" ht="12" customHeight="1" x14ac:dyDescent="0.25">
      <c r="B7" s="29"/>
      <c r="D7" s="78"/>
      <c r="E7" s="79"/>
      <c r="F7" s="80"/>
      <c r="H7" s="78"/>
      <c r="I7" s="79"/>
      <c r="J7" s="80"/>
      <c r="L7" s="78"/>
      <c r="M7" s="79"/>
      <c r="N7" s="80"/>
      <c r="P7" s="78"/>
      <c r="Q7" s="79"/>
      <c r="R7" s="80"/>
      <c r="T7" s="78"/>
      <c r="U7" s="79"/>
      <c r="V7" s="80"/>
    </row>
    <row r="8" spans="1:22" ht="12" customHeight="1" x14ac:dyDescent="0.25">
      <c r="B8" s="32" t="s">
        <v>16</v>
      </c>
      <c r="C8" s="29"/>
      <c r="D8" s="33" t="s">
        <v>71</v>
      </c>
      <c r="E8" s="34" t="s">
        <v>15</v>
      </c>
      <c r="F8" s="35" t="s">
        <v>20</v>
      </c>
      <c r="G8" s="36"/>
      <c r="H8" s="33" t="s">
        <v>62</v>
      </c>
      <c r="I8" s="34" t="s">
        <v>15</v>
      </c>
      <c r="J8" s="35" t="s">
        <v>20</v>
      </c>
      <c r="K8" s="36"/>
      <c r="L8" s="33" t="s">
        <v>15</v>
      </c>
      <c r="M8" s="34" t="s">
        <v>15</v>
      </c>
      <c r="N8" s="35" t="s">
        <v>20</v>
      </c>
      <c r="O8" s="36"/>
      <c r="P8" s="33" t="s">
        <v>15</v>
      </c>
      <c r="Q8" s="34" t="s">
        <v>15</v>
      </c>
      <c r="R8" s="35" t="s">
        <v>20</v>
      </c>
      <c r="S8" s="36"/>
      <c r="T8" s="33" t="s">
        <v>62</v>
      </c>
      <c r="U8" s="34" t="s">
        <v>15</v>
      </c>
      <c r="V8" s="35" t="s">
        <v>20</v>
      </c>
    </row>
    <row r="9" spans="1:22" ht="3" customHeight="1" x14ac:dyDescent="0.25">
      <c r="B9" s="28"/>
      <c r="C9" s="38"/>
      <c r="D9" s="39"/>
      <c r="E9" s="40"/>
      <c r="F9" s="30"/>
      <c r="G9" s="38"/>
      <c r="H9" s="39"/>
      <c r="I9" s="40"/>
      <c r="J9" s="30"/>
      <c r="K9" s="38"/>
      <c r="L9" s="39"/>
      <c r="M9" s="40"/>
      <c r="N9" s="30"/>
      <c r="O9" s="38"/>
      <c r="P9" s="39"/>
      <c r="Q9" s="40"/>
      <c r="R9" s="30"/>
      <c r="S9" s="38"/>
      <c r="T9" s="39"/>
      <c r="U9" s="40"/>
      <c r="V9" s="30"/>
    </row>
    <row r="10" spans="1:22" ht="12" customHeight="1" x14ac:dyDescent="0.25">
      <c r="A10" s="25" t="s">
        <v>26</v>
      </c>
      <c r="B10" s="29" t="s">
        <v>3</v>
      </c>
      <c r="C10" s="38"/>
      <c r="D10" s="59" t="e">
        <f ca="1">ROUND(_xll.HPVAL($A10,D$1,$A$2,F$1,$A$3,$A$4)/1000,0)</f>
        <v>#NAME?</v>
      </c>
      <c r="E10" s="60" t="e">
        <f ca="1">ROUND(_xll.HPVAL($A10,E$1,$A$2,F$1,$A$3,$A$4)/1000,0)</f>
        <v>#NAME?</v>
      </c>
      <c r="F10" s="66" t="e">
        <f t="shared" ref="F10:F19" ca="1" si="0">ROUND(D10-E10,0)</f>
        <v>#NAME?</v>
      </c>
      <c r="G10" s="42"/>
      <c r="H10" s="59" t="e">
        <f ca="1">ROUND(_xll.HPVAL($A10,H$1,$A$2,J$1,$A$3,$A$4)/1000,0)</f>
        <v>#NAME?</v>
      </c>
      <c r="I10" s="60" t="e">
        <f ca="1">ROUND(_xll.HPVAL($A10,I$1,$A$2,J$1,$A$3,$A$4)/1000,0)</f>
        <v>#NAME?</v>
      </c>
      <c r="J10" s="66" t="e">
        <f t="shared" ref="J10:J19" ca="1" si="1">ROUND(H10-I10,0)</f>
        <v>#NAME?</v>
      </c>
      <c r="K10" s="42"/>
      <c r="L10" s="59" t="e">
        <f ca="1">ROUND(_xll.HPVAL($A10,L$1,$A$2,N$1,$A$3,$A$4)/1000,0)</f>
        <v>#NAME?</v>
      </c>
      <c r="M10" s="60" t="e">
        <f ca="1">ROUND(_xll.HPVAL($A10,M$1,$A$2,N$1,$A$3,$A$4)/1000,0)</f>
        <v>#NAME?</v>
      </c>
      <c r="N10" s="66" t="e">
        <f t="shared" ref="N10:N19" ca="1" si="2">ROUND(L10-M10,0)</f>
        <v>#NAME?</v>
      </c>
      <c r="O10" s="42"/>
      <c r="P10" s="59" t="e">
        <f ca="1">ROUND(_xll.HPVAL($A10,P$1,$A$2,R$1,$A$3,$A$4)/1000,0)</f>
        <v>#NAME?</v>
      </c>
      <c r="Q10" s="60" t="e">
        <f ca="1">ROUND(_xll.HPVAL($A10,Q$1,$A$2,R$1,$A$3,$A$4)/1000,0)</f>
        <v>#NAME?</v>
      </c>
      <c r="R10" s="66" t="e">
        <f t="shared" ref="R10:R19" ca="1" si="3">ROUND(P10-Q10,0)</f>
        <v>#NAME?</v>
      </c>
      <c r="S10" s="42"/>
      <c r="T10" s="59" t="e">
        <f ca="1">D10+H10+L10+P10</f>
        <v>#NAME?</v>
      </c>
      <c r="U10" s="60" t="e">
        <f ca="1">E10+I10+M10+Q10</f>
        <v>#NAME?</v>
      </c>
      <c r="V10" s="66" t="e">
        <f t="shared" ref="V10:V19" ca="1" si="4">ROUND(T10-U10,0)</f>
        <v>#NAME?</v>
      </c>
    </row>
    <row r="11" spans="1:22" ht="12" customHeight="1" x14ac:dyDescent="0.25">
      <c r="A11" s="25" t="s">
        <v>110</v>
      </c>
      <c r="B11" s="29" t="s">
        <v>106</v>
      </c>
      <c r="C11" s="38"/>
      <c r="D11" s="41" t="e">
        <f ca="1">ROUND(_xll.HPVAL($A11,D$1,$A$2,F$1,$A$3,$A$4)/1000,0)-D30</f>
        <v>#NAME?</v>
      </c>
      <c r="E11" s="42" t="e">
        <f ca="1">ROUND(_xll.HPVAL($A11,E$1,$A$2,F$1,$A$3,$A$4)/1000,0)-E30</f>
        <v>#NAME?</v>
      </c>
      <c r="F11" s="66" t="e">
        <f t="shared" ca="1" si="0"/>
        <v>#NAME?</v>
      </c>
      <c r="G11" s="42"/>
      <c r="H11" s="41" t="e">
        <f ca="1">ROUND(_xll.HPVAL($A11,H$1,$A$2,J$1,$A$3,$A$4)/1000,0)-H30</f>
        <v>#NAME?</v>
      </c>
      <c r="I11" s="42" t="e">
        <f ca="1">ROUND(_xll.HPVAL($A11,I$1,$A$2,J$1,$A$3,$A$4)/1000,0)-I30</f>
        <v>#NAME?</v>
      </c>
      <c r="J11" s="66" t="e">
        <f t="shared" ca="1" si="1"/>
        <v>#NAME?</v>
      </c>
      <c r="K11" s="42"/>
      <c r="L11" s="41" t="e">
        <f ca="1">ROUND(_xll.HPVAL($A11,L$1,$A$2,N$1,$A$3,$A$4)/1000,0)-L30</f>
        <v>#NAME?</v>
      </c>
      <c r="M11" s="42" t="e">
        <f ca="1">ROUND(_xll.HPVAL($A11,M$1,$A$2,N$1,$A$3,$A$4)/1000,0)-M30</f>
        <v>#NAME?</v>
      </c>
      <c r="N11" s="66" t="e">
        <f t="shared" ca="1" si="2"/>
        <v>#NAME?</v>
      </c>
      <c r="O11" s="42"/>
      <c r="P11" s="41" t="e">
        <f ca="1">ROUND(_xll.HPVAL($A11,P$1,$A$2,R$1,$A$3,$A$4)/1000,0)-P30</f>
        <v>#NAME?</v>
      </c>
      <c r="Q11" s="42" t="e">
        <f ca="1">ROUND(_xll.HPVAL($A11,Q$1,$A$2,R$1,$A$3,$A$4)/1000,0)-Q30</f>
        <v>#NAME?</v>
      </c>
      <c r="R11" s="66" t="e">
        <f t="shared" ca="1" si="3"/>
        <v>#NAME?</v>
      </c>
      <c r="S11" s="42"/>
      <c r="T11" s="41" t="e">
        <f t="shared" ref="T11:T19" ca="1" si="5">D11+H11+L11+P11</f>
        <v>#NAME?</v>
      </c>
      <c r="U11" s="42" t="e">
        <f t="shared" ref="U11:U19" ca="1" si="6">E11+I11+M11+Q11</f>
        <v>#NAME?</v>
      </c>
      <c r="V11" s="66" t="e">
        <f t="shared" ca="1" si="4"/>
        <v>#NAME?</v>
      </c>
    </row>
    <row r="12" spans="1:22" ht="12" customHeight="1" x14ac:dyDescent="0.25">
      <c r="A12" s="25" t="s">
        <v>27</v>
      </c>
      <c r="B12" s="29" t="s">
        <v>132</v>
      </c>
      <c r="C12" s="38"/>
      <c r="D12" s="41" t="e">
        <f ca="1">ROUND((_xll.HPVAL($A12,D$1,"other",F$1,$A$3,$A$4)+_xll.HPVAL($A12,D$1,"overview",F$1,$A$3,$A$4)-(_xll.HPVAL($A12,D$1,"tot_ops_expenses",F$1,$A$3,$A$4)*0.8577)-(_xll.HPVAL($A12,D$1,"tot_allocation",F$1,$A$3,$A$4)*0.8577))/1000,0)</f>
        <v>#NAME?</v>
      </c>
      <c r="E12" s="42" t="e">
        <f ca="1">ROUND((_xll.HPVAL($A12,E$1,"other",F$1,$A$3,$A$4)+_xll.HPVAL($A12,E$1,"overview",F$1,$A$3,$A$4)-(_xll.HPVAL($A12,E$1,"tot_ops_expenses",F$1,$A$3,$A$4)*0.8577)-(_xll.HPVAL($A12,E$1,"tot_allocation",F$1,$A$3,$A$4)*0.8577))/1000,0)</f>
        <v>#NAME?</v>
      </c>
      <c r="F12" s="66" t="e">
        <f t="shared" ca="1" si="0"/>
        <v>#NAME?</v>
      </c>
      <c r="G12" s="42"/>
      <c r="H12" s="41" t="e">
        <f ca="1">ROUND((_xll.HPVAL($A12,H$1,"other",J$1,$A$3,$A$4)+_xll.HPVAL($A12,H$1,"overview",J$1,$A$3,$A$4)-(_xll.HPVAL($A12,H$1,"tot_ops_expenses",J$1,$A$3,$A$4)*0.8577)-(_xll.HPVAL($A12,H$1,"tot_allocation",J$1,$A$3,$A$4)*0.8577))/1000,0)</f>
        <v>#NAME?</v>
      </c>
      <c r="I12" s="42" t="e">
        <f ca="1">ROUND((_xll.HPVAL($A12,I$1,"other",J$1,$A$3,$A$4)+_xll.HPVAL($A12,I$1,"overview",J$1,$A$3,$A$4)-(_xll.HPVAL($A12,I$1,"tot_ops_expenses",J$1,$A$3,$A$4)*0.8577)-(_xll.HPVAL($A12,I$1,"tot_allocation",J$1,$A$3,$A$4)*0.8577))/1000,0)</f>
        <v>#NAME?</v>
      </c>
      <c r="J12" s="66" t="e">
        <f t="shared" ca="1" si="1"/>
        <v>#NAME?</v>
      </c>
      <c r="K12" s="42"/>
      <c r="L12" s="41" t="e">
        <f ca="1">ROUND((_xll.HPVAL($A12,L$1,"other",N$1,$A$3,$A$4)+_xll.HPVAL($A12,L$1,"overview",N$1,$A$3,$A$4)-(_xll.HPVAL($A12,L$1,"tot_ops_expenses",N$1,$A$3,$A$4)*0.8577)-(_xll.HPVAL($A12,L$1,"tot_allocation",N$1,$A$3,$A$4)*0.8577))/1000,0)</f>
        <v>#NAME?</v>
      </c>
      <c r="M12" s="42" t="e">
        <f ca="1">ROUND((_xll.HPVAL($A12,M$1,"other",N$1,$A$3,$A$4)+_xll.HPVAL($A12,M$1,"overview",N$1,$A$3,$A$4)-(_xll.HPVAL($A12,M$1,"tot_ops_expenses",N$1,$A$3,$A$4)*0.8577)-(_xll.HPVAL($A12,M$1,"tot_allocation",N$1,$A$3,$A$4)*0.8577))/1000,0)</f>
        <v>#NAME?</v>
      </c>
      <c r="N12" s="66" t="e">
        <f t="shared" ca="1" si="2"/>
        <v>#NAME?</v>
      </c>
      <c r="O12" s="42"/>
      <c r="P12" s="41" t="e">
        <f ca="1">ROUND((_xll.HPVAL($A12,P$1,"other",R$1,$A$3,$A$4)+_xll.HPVAL($A12,P$1,"overview",R$1,$A$3,$A$4)-(_xll.HPVAL($A12,P$1,"tot_ops_expenses",R$1,$A$3,$A$4)*0.8577)-(_xll.HPVAL($A12,P$1,"tot_allocation",R$1,$A$3,$A$4)*0.8577))/1000,0)</f>
        <v>#NAME?</v>
      </c>
      <c r="Q12" s="42" t="e">
        <f ca="1">ROUND((_xll.HPVAL($A12,Q$1,"other",R$1,$A$3,$A$4)+_xll.HPVAL($A12,Q$1,"overview",R$1,$A$3,$A$4)-(_xll.HPVAL($A12,Q$1,"tot_ops_expenses",R$1,$A$3,$A$4)*0.8577)-(_xll.HPVAL($A12,Q$1,"tot_allocation",R$1,$A$3,$A$4)*0.8577))/1000,0)</f>
        <v>#NAME?</v>
      </c>
      <c r="R12" s="66" t="e">
        <f t="shared" ca="1" si="3"/>
        <v>#NAME?</v>
      </c>
      <c r="S12" s="42"/>
      <c r="T12" s="41" t="e">
        <f t="shared" ca="1" si="5"/>
        <v>#NAME?</v>
      </c>
      <c r="U12" s="42" t="e">
        <f t="shared" ca="1" si="6"/>
        <v>#NAME?</v>
      </c>
      <c r="V12" s="66" t="e">
        <f t="shared" ca="1" si="4"/>
        <v>#NAME?</v>
      </c>
    </row>
    <row r="13" spans="1:22" ht="12" customHeight="1" x14ac:dyDescent="0.25">
      <c r="A13" s="25" t="s">
        <v>134</v>
      </c>
      <c r="B13" s="29" t="s">
        <v>133</v>
      </c>
      <c r="C13" s="38"/>
      <c r="D13" s="41" t="e">
        <f ca="1">ROUND(_xll.HPVAL($A13,D$1,$A$2,F$1,$A$3,$A$4)/1000,0)-D12</f>
        <v>#NAME?</v>
      </c>
      <c r="E13" s="42" t="e">
        <f ca="1">ROUND(_xll.HPVAL($A13,E$1,$A$2,F$1,$A$3,$A$4)/1000,0)-E12</f>
        <v>#NAME?</v>
      </c>
      <c r="F13" s="66" t="e">
        <f ca="1">ROUND(D13-E13,0)</f>
        <v>#NAME?</v>
      </c>
      <c r="G13" s="42"/>
      <c r="H13" s="41" t="e">
        <f ca="1">ROUND(_xll.HPVAL($A13,H$1,$A$2,J$1,$A$3,$A$4)/1000,0)-H12</f>
        <v>#NAME?</v>
      </c>
      <c r="I13" s="42" t="e">
        <f ca="1">ROUND(_xll.HPVAL($A13,I$1,$A$2,J$1,$A$3,$A$4)/1000,0)-I12</f>
        <v>#NAME?</v>
      </c>
      <c r="J13" s="66" t="e">
        <f ca="1">ROUND(H13-I13,0)</f>
        <v>#NAME?</v>
      </c>
      <c r="K13" s="42"/>
      <c r="L13" s="41" t="e">
        <f ca="1">ROUND(_xll.HPVAL($A13,L$1,$A$2,N$1,$A$3,$A$4)/1000,0)-L12</f>
        <v>#NAME?</v>
      </c>
      <c r="M13" s="42" t="e">
        <f ca="1">ROUND(_xll.HPVAL($A13,M$1,$A$2,N$1,$A$3,$A$4)/1000,0)-M12</f>
        <v>#NAME?</v>
      </c>
      <c r="N13" s="66" t="e">
        <f ca="1">ROUND(L13-M13,0)</f>
        <v>#NAME?</v>
      </c>
      <c r="O13" s="42"/>
      <c r="P13" s="41" t="e">
        <f ca="1">ROUND(_xll.HPVAL($A13,P$1,$A$2,R$1,$A$3,$A$4)/1000,0)-P12</f>
        <v>#NAME?</v>
      </c>
      <c r="Q13" s="42" t="e">
        <f ca="1">ROUND(_xll.HPVAL($A13,Q$1,$A$2,R$1,$A$3,$A$4)/1000,0)-Q12</f>
        <v>#NAME?</v>
      </c>
      <c r="R13" s="66" t="e">
        <f ca="1">ROUND(P13-Q13,0)</f>
        <v>#NAME?</v>
      </c>
      <c r="S13" s="42"/>
      <c r="T13" s="41" t="e">
        <f ca="1">D13+H13+L13+P13</f>
        <v>#NAME?</v>
      </c>
      <c r="U13" s="42" t="e">
        <f ca="1">E13+I13+M13+Q13</f>
        <v>#NAME?</v>
      </c>
      <c r="V13" s="66" t="e">
        <f ca="1">ROUND(T13-U13,0)</f>
        <v>#NAME?</v>
      </c>
    </row>
    <row r="14" spans="1:22" ht="12" customHeight="1" x14ac:dyDescent="0.25">
      <c r="A14" s="25" t="s">
        <v>43</v>
      </c>
      <c r="B14" s="29" t="s">
        <v>114</v>
      </c>
      <c r="C14" s="38"/>
      <c r="D14" s="41" t="e">
        <f ca="1">ROUND(_xll.HPVAL($A14,D$1,$A$2,F$1,$A$3,$A$4)/1000,0)</f>
        <v>#NAME?</v>
      </c>
      <c r="E14" s="42" t="e">
        <f ca="1">ROUND(_xll.HPVAL($A14,E$1,$A$2,F$1,$A$3,$A$4)/1000,0)</f>
        <v>#NAME?</v>
      </c>
      <c r="F14" s="66" t="e">
        <f t="shared" ca="1" si="0"/>
        <v>#NAME?</v>
      </c>
      <c r="G14" s="42"/>
      <c r="H14" s="41" t="e">
        <f ca="1">ROUND(_xll.HPVAL($A14,H$1,$A$2,J$1,$A$3,$A$4)/1000,0)</f>
        <v>#NAME?</v>
      </c>
      <c r="I14" s="42" t="e">
        <f ca="1">ROUND(_xll.HPVAL($A14,I$1,$A$2,J$1,$A$3,$A$4)/1000,0)</f>
        <v>#NAME?</v>
      </c>
      <c r="J14" s="66" t="e">
        <f t="shared" ca="1" si="1"/>
        <v>#NAME?</v>
      </c>
      <c r="K14" s="42"/>
      <c r="L14" s="41" t="e">
        <f ca="1">ROUND(_xll.HPVAL($A14,L$1,$A$2,N$1,$A$3,$A$4)/1000,0)</f>
        <v>#NAME?</v>
      </c>
      <c r="M14" s="42" t="e">
        <f ca="1">ROUND(_xll.HPVAL($A14,M$1,$A$2,N$1,$A$3,$A$4)/1000,0)</f>
        <v>#NAME?</v>
      </c>
      <c r="N14" s="66" t="e">
        <f t="shared" ca="1" si="2"/>
        <v>#NAME?</v>
      </c>
      <c r="O14" s="42"/>
      <c r="P14" s="41" t="e">
        <f ca="1">ROUND(_xll.HPVAL($A14,P$1,$A$2,R$1,$A$3,$A$4)/1000,0)</f>
        <v>#NAME?</v>
      </c>
      <c r="Q14" s="42" t="e">
        <f ca="1">ROUND(_xll.HPVAL($A14,Q$1,$A$2,R$1,$A$3,$A$4)/1000,0)</f>
        <v>#NAME?</v>
      </c>
      <c r="R14" s="66" t="e">
        <f t="shared" ca="1" si="3"/>
        <v>#NAME?</v>
      </c>
      <c r="S14" s="42"/>
      <c r="T14" s="41" t="e">
        <f t="shared" ca="1" si="5"/>
        <v>#NAME?</v>
      </c>
      <c r="U14" s="42" t="e">
        <f t="shared" ca="1" si="6"/>
        <v>#NAME?</v>
      </c>
      <c r="V14" s="66" t="e">
        <f t="shared" ca="1" si="4"/>
        <v>#NAME?</v>
      </c>
    </row>
    <row r="15" spans="1:22" ht="12" customHeight="1" x14ac:dyDescent="0.25">
      <c r="A15" s="25" t="s">
        <v>28</v>
      </c>
      <c r="B15" s="29" t="s">
        <v>5</v>
      </c>
      <c r="C15" s="38"/>
      <c r="D15" s="41" t="e">
        <f ca="1">ROUND(_xll.HPVAL($A15,D$1,$A$2,F$1,$A$3,$A$4)/1000,0)</f>
        <v>#NAME?</v>
      </c>
      <c r="E15" s="42" t="e">
        <f ca="1">ROUND(_xll.HPVAL($A15,E$1,$A$2,F$1,$A$3,$A$4)/1000,0)</f>
        <v>#NAME?</v>
      </c>
      <c r="F15" s="66" t="e">
        <f t="shared" ca="1" si="0"/>
        <v>#NAME?</v>
      </c>
      <c r="G15" s="42"/>
      <c r="H15" s="41" t="e">
        <f ca="1">ROUND(_xll.HPVAL($A15,H$1,$A$2,J$1,$A$3,$A$4)/1000,0)</f>
        <v>#NAME?</v>
      </c>
      <c r="I15" s="42" t="e">
        <f ca="1">ROUND(_xll.HPVAL($A15,I$1,$A$2,J$1,$A$3,$A$4)/1000,0)</f>
        <v>#NAME?</v>
      </c>
      <c r="J15" s="66" t="e">
        <f t="shared" ca="1" si="1"/>
        <v>#NAME?</v>
      </c>
      <c r="K15" s="42"/>
      <c r="L15" s="41" t="e">
        <f ca="1">ROUND(_xll.HPVAL($A15,L$1,$A$2,N$1,$A$3,$A$4)/1000,0)</f>
        <v>#NAME?</v>
      </c>
      <c r="M15" s="42" t="e">
        <f ca="1">ROUND(_xll.HPVAL($A15,M$1,$A$2,N$1,$A$3,$A$4)/1000,0)</f>
        <v>#NAME?</v>
      </c>
      <c r="N15" s="66" t="e">
        <f t="shared" ca="1" si="2"/>
        <v>#NAME?</v>
      </c>
      <c r="O15" s="42"/>
      <c r="P15" s="41" t="e">
        <f ca="1">ROUND(_xll.HPVAL($A15,P$1,$A$2,R$1,$A$3,$A$4)/1000,0)</f>
        <v>#NAME?</v>
      </c>
      <c r="Q15" s="42" t="e">
        <f ca="1">ROUND(_xll.HPVAL($A15,Q$1,$A$2,R$1,$A$3,$A$4)/1000,0)</f>
        <v>#NAME?</v>
      </c>
      <c r="R15" s="66" t="e">
        <f t="shared" ca="1" si="3"/>
        <v>#NAME?</v>
      </c>
      <c r="S15" s="42"/>
      <c r="T15" s="41" t="e">
        <f t="shared" ca="1" si="5"/>
        <v>#NAME?</v>
      </c>
      <c r="U15" s="42" t="e">
        <f t="shared" ca="1" si="6"/>
        <v>#NAME?</v>
      </c>
      <c r="V15" s="66" t="e">
        <f t="shared" ca="1" si="4"/>
        <v>#NAME?</v>
      </c>
    </row>
    <row r="16" spans="1:22" ht="12" customHeight="1" x14ac:dyDescent="0.25">
      <c r="A16" s="25" t="s">
        <v>30</v>
      </c>
      <c r="B16" s="29" t="s">
        <v>155</v>
      </c>
      <c r="C16" s="38"/>
      <c r="D16" s="41" t="e">
        <f ca="1">ROUND(_xll.HPVAL($A16,D$1,$A$2,F$1,$A$3,$A$4)/1000,0)</f>
        <v>#NAME?</v>
      </c>
      <c r="E16" s="42" t="e">
        <f ca="1">ROUND(_xll.HPVAL($A16,E$1,$A$2,F$1,$A$3,$A$4)/1000,0)</f>
        <v>#NAME?</v>
      </c>
      <c r="F16" s="66" t="e">
        <f t="shared" ca="1" si="0"/>
        <v>#NAME?</v>
      </c>
      <c r="G16" s="42"/>
      <c r="H16" s="41" t="e">
        <f ca="1">ROUND(_xll.HPVAL($A16,H$1,$A$2,J$1,$A$3,$A$4)/1000,0)</f>
        <v>#NAME?</v>
      </c>
      <c r="I16" s="42" t="e">
        <f ca="1">ROUND(_xll.HPVAL($A16,I$1,$A$2,J$1,$A$3,$A$4)/1000,0)</f>
        <v>#NAME?</v>
      </c>
      <c r="J16" s="66" t="e">
        <f t="shared" ca="1" si="1"/>
        <v>#NAME?</v>
      </c>
      <c r="K16" s="42"/>
      <c r="L16" s="41" t="e">
        <f ca="1">ROUND(_xll.HPVAL($A16,L$1,$A$2,N$1,$A$3,$A$4)/1000,0)</f>
        <v>#NAME?</v>
      </c>
      <c r="M16" s="42" t="e">
        <f ca="1">ROUND(_xll.HPVAL($A16,M$1,$A$2,N$1,$A$3,$A$4)/1000,0)</f>
        <v>#NAME?</v>
      </c>
      <c r="N16" s="66" t="e">
        <f t="shared" ca="1" si="2"/>
        <v>#NAME?</v>
      </c>
      <c r="O16" s="42"/>
      <c r="P16" s="41" t="e">
        <f ca="1">ROUND(_xll.HPVAL($A16,P$1,$A$2,R$1,$A$3,$A$4)/1000,0)</f>
        <v>#NAME?</v>
      </c>
      <c r="Q16" s="42" t="e">
        <f ca="1">ROUND(_xll.HPVAL($A16,Q$1,$A$2,R$1,$A$3,$A$4)/1000,0)</f>
        <v>#NAME?</v>
      </c>
      <c r="R16" s="66" t="e">
        <f t="shared" ca="1" si="3"/>
        <v>#NAME?</v>
      </c>
      <c r="S16" s="42"/>
      <c r="T16" s="41" t="e">
        <f t="shared" ca="1" si="5"/>
        <v>#NAME?</v>
      </c>
      <c r="U16" s="42" t="e">
        <f t="shared" ca="1" si="6"/>
        <v>#NAME?</v>
      </c>
      <c r="V16" s="66" t="e">
        <f t="shared" ca="1" si="4"/>
        <v>#NAME?</v>
      </c>
    </row>
    <row r="17" spans="1:22" ht="12" customHeight="1" x14ac:dyDescent="0.25">
      <c r="A17" s="25" t="s">
        <v>4</v>
      </c>
      <c r="B17" s="29" t="s">
        <v>107</v>
      </c>
      <c r="C17" s="38"/>
      <c r="D17" s="41" t="e">
        <f ca="1">ROUND(_xll.HPVAL($A17,D$1,$A$2,F$1,$A$3,$A$4)/1000,0)</f>
        <v>#NAME?</v>
      </c>
      <c r="E17" s="42" t="e">
        <f ca="1">ROUND(_xll.HPVAL($A17,E$1,$A$2,F$1,$A$3,$A$4)/1000,0)</f>
        <v>#NAME?</v>
      </c>
      <c r="F17" s="66" t="e">
        <f t="shared" ca="1" si="0"/>
        <v>#NAME?</v>
      </c>
      <c r="G17" s="42"/>
      <c r="H17" s="41" t="e">
        <f ca="1">ROUND(_xll.HPVAL($A17,H$1,$A$2,J$1,$A$3,$A$4)/1000,0)</f>
        <v>#NAME?</v>
      </c>
      <c r="I17" s="42" t="e">
        <f ca="1">ROUND(_xll.HPVAL($A17,I$1,$A$2,J$1,$A$3,$A$4)/1000,0)</f>
        <v>#NAME?</v>
      </c>
      <c r="J17" s="66" t="e">
        <f t="shared" ca="1" si="1"/>
        <v>#NAME?</v>
      </c>
      <c r="K17" s="42"/>
      <c r="L17" s="41" t="e">
        <f ca="1">ROUND(_xll.HPVAL($A17,L$1,$A$2,N$1,$A$3,$A$4)/1000,0)</f>
        <v>#NAME?</v>
      </c>
      <c r="M17" s="42" t="e">
        <f ca="1">ROUND(_xll.HPVAL($A17,M$1,$A$2,N$1,$A$3,$A$4)/1000,0)</f>
        <v>#NAME?</v>
      </c>
      <c r="N17" s="66" t="e">
        <f t="shared" ca="1" si="2"/>
        <v>#NAME?</v>
      </c>
      <c r="O17" s="42"/>
      <c r="P17" s="41" t="e">
        <f ca="1">ROUND(_xll.HPVAL($A17,P$1,$A$2,R$1,$A$3,$A$4)/1000,0)</f>
        <v>#NAME?</v>
      </c>
      <c r="Q17" s="42" t="e">
        <f ca="1">ROUND(_xll.HPVAL($A17,Q$1,$A$2,R$1,$A$3,$A$4)/1000,0)</f>
        <v>#NAME?</v>
      </c>
      <c r="R17" s="66" t="e">
        <f t="shared" ca="1" si="3"/>
        <v>#NAME?</v>
      </c>
      <c r="S17" s="42"/>
      <c r="T17" s="41" t="e">
        <f t="shared" ca="1" si="5"/>
        <v>#NAME?</v>
      </c>
      <c r="U17" s="42" t="e">
        <f t="shared" ca="1" si="6"/>
        <v>#NAME?</v>
      </c>
      <c r="V17" s="66" t="e">
        <f t="shared" ca="1" si="4"/>
        <v>#NAME?</v>
      </c>
    </row>
    <row r="18" spans="1:22" ht="12" customHeight="1" x14ac:dyDescent="0.25">
      <c r="A18" s="25" t="s">
        <v>73</v>
      </c>
      <c r="B18" s="29" t="s">
        <v>156</v>
      </c>
      <c r="C18" s="38"/>
      <c r="D18" s="41" t="e">
        <f ca="1">ROUND(_xll.HPVAL($A18,D$1,$A$2,F$1,$A$3,$A$4)/1000,0)</f>
        <v>#NAME?</v>
      </c>
      <c r="E18" s="42" t="e">
        <f ca="1">ROUND(_xll.HPVAL($A18,E$1,$A$2,F$1,$A$3,$A$4)/1000,0)</f>
        <v>#NAME?</v>
      </c>
      <c r="F18" s="66" t="e">
        <f t="shared" ca="1" si="0"/>
        <v>#NAME?</v>
      </c>
      <c r="G18" s="42"/>
      <c r="H18" s="41" t="e">
        <f ca="1">ROUND(_xll.HPVAL($A18,H$1,$A$2,J$1,$A$3,$A$4)/1000,0)</f>
        <v>#NAME?</v>
      </c>
      <c r="I18" s="42" t="e">
        <f ca="1">ROUND(_xll.HPVAL($A18,I$1,$A$2,J$1,$A$3,$A$4)/1000,0)</f>
        <v>#NAME?</v>
      </c>
      <c r="J18" s="66" t="e">
        <f t="shared" ca="1" si="1"/>
        <v>#NAME?</v>
      </c>
      <c r="K18" s="42"/>
      <c r="L18" s="41" t="e">
        <f ca="1">ROUND(_xll.HPVAL($A18,L$1,$A$2,N$1,$A$3,$A$4)/1000,0)</f>
        <v>#NAME?</v>
      </c>
      <c r="M18" s="42" t="e">
        <f ca="1">ROUND(_xll.HPVAL($A18,M$1,$A$2,N$1,$A$3,$A$4)/1000,0)</f>
        <v>#NAME?</v>
      </c>
      <c r="N18" s="66" t="e">
        <f t="shared" ca="1" si="2"/>
        <v>#NAME?</v>
      </c>
      <c r="O18" s="42"/>
      <c r="P18" s="41" t="e">
        <f ca="1">ROUND(_xll.HPVAL($A18,P$1,$A$2,R$1,$A$3,$A$4)/1000,0)</f>
        <v>#NAME?</v>
      </c>
      <c r="Q18" s="42" t="e">
        <f ca="1">ROUND(_xll.HPVAL($A18,Q$1,$A$2,R$1,$A$3,$A$4)/1000,0)</f>
        <v>#NAME?</v>
      </c>
      <c r="R18" s="66" t="e">
        <f t="shared" ca="1" si="3"/>
        <v>#NAME?</v>
      </c>
      <c r="S18" s="42"/>
      <c r="T18" s="41" t="e">
        <f t="shared" ca="1" si="5"/>
        <v>#NAME?</v>
      </c>
      <c r="U18" s="42" t="e">
        <f t="shared" ca="1" si="6"/>
        <v>#NAME?</v>
      </c>
      <c r="V18" s="66" t="e">
        <f t="shared" ca="1" si="4"/>
        <v>#NAME?</v>
      </c>
    </row>
    <row r="19" spans="1:22" ht="12" customHeight="1" x14ac:dyDescent="0.25">
      <c r="A19" s="25" t="s">
        <v>31</v>
      </c>
      <c r="B19" s="29" t="s">
        <v>2</v>
      </c>
      <c r="C19" s="38"/>
      <c r="D19" s="41" t="e">
        <f ca="1">ROUND(_xll.HPVAL($A19,D$1,$A$2,F$1,$A$3,$A$4)/1000,0)</f>
        <v>#NAME?</v>
      </c>
      <c r="E19" s="42" t="e">
        <f ca="1">ROUND(_xll.HPVAL($A19,E$1,$A$2,F$1,$A$3,$A$4)/1000,0)</f>
        <v>#NAME?</v>
      </c>
      <c r="F19" s="66" t="e">
        <f t="shared" ca="1" si="0"/>
        <v>#NAME?</v>
      </c>
      <c r="G19" s="42"/>
      <c r="H19" s="41" t="e">
        <f ca="1">ROUND(_xll.HPVAL($A19,H$1,$A$2,J$1,$A$3,$A$4)/1000,0)</f>
        <v>#NAME?</v>
      </c>
      <c r="I19" s="42" t="e">
        <f ca="1">ROUND(_xll.HPVAL($A19,I$1,$A$2,J$1,$A$3,$A$4)/1000,0)</f>
        <v>#NAME?</v>
      </c>
      <c r="J19" s="66" t="e">
        <f t="shared" ca="1" si="1"/>
        <v>#NAME?</v>
      </c>
      <c r="K19" s="42"/>
      <c r="L19" s="41" t="e">
        <f ca="1">ROUND(_xll.HPVAL($A19,L$1,$A$2,N$1,$A$3,$A$4)/1000,0)</f>
        <v>#NAME?</v>
      </c>
      <c r="M19" s="42" t="e">
        <f ca="1">ROUND(_xll.HPVAL($A19,M$1,$A$2,N$1,$A$3,$A$4)/1000,0)</f>
        <v>#NAME?</v>
      </c>
      <c r="N19" s="66" t="e">
        <f t="shared" ca="1" si="2"/>
        <v>#NAME?</v>
      </c>
      <c r="O19" s="42"/>
      <c r="P19" s="41" t="e">
        <f ca="1">ROUND(_xll.HPVAL($A19,P$1,$A$2,R$1,$A$3,$A$4)/1000,0)</f>
        <v>#NAME?</v>
      </c>
      <c r="Q19" s="42" t="e">
        <f ca="1">ROUND(_xll.HPVAL($A19,Q$1,$A$2,R$1,$A$3,$A$4)/1000,0)</f>
        <v>#NAME?</v>
      </c>
      <c r="R19" s="66" t="e">
        <f t="shared" ca="1" si="3"/>
        <v>#NAME?</v>
      </c>
      <c r="S19" s="42"/>
      <c r="T19" s="41" t="e">
        <f t="shared" ca="1" si="5"/>
        <v>#NAME?</v>
      </c>
      <c r="U19" s="42" t="e">
        <f t="shared" ca="1" si="6"/>
        <v>#NAME?</v>
      </c>
      <c r="V19" s="66" t="e">
        <f t="shared" ca="1" si="4"/>
        <v>#NAME?</v>
      </c>
    </row>
    <row r="20" spans="1:22" ht="12" customHeight="1" x14ac:dyDescent="0.25">
      <c r="B20" s="75" t="s">
        <v>6</v>
      </c>
      <c r="C20" s="38"/>
      <c r="D20" s="140" t="e">
        <f ca="1">SUM(D10:D19)</f>
        <v>#NAME?</v>
      </c>
      <c r="E20" s="141" t="e">
        <f ca="1">SUM(E10:E19)</f>
        <v>#NAME?</v>
      </c>
      <c r="F20" s="143" t="e">
        <f ca="1">SUM(F10:F19)</f>
        <v>#NAME?</v>
      </c>
      <c r="G20" s="42"/>
      <c r="H20" s="140" t="e">
        <f ca="1">SUM(H10:H19)</f>
        <v>#NAME?</v>
      </c>
      <c r="I20" s="141" t="e">
        <f ca="1">SUM(I10:I19)</f>
        <v>#NAME?</v>
      </c>
      <c r="J20" s="143" t="e">
        <f ca="1">SUM(J10:J19)</f>
        <v>#NAME?</v>
      </c>
      <c r="K20" s="42"/>
      <c r="L20" s="140" t="e">
        <f ca="1">SUM(L10:L19)</f>
        <v>#NAME?</v>
      </c>
      <c r="M20" s="141" t="e">
        <f ca="1">SUM(M10:M19)</f>
        <v>#NAME?</v>
      </c>
      <c r="N20" s="143" t="e">
        <f ca="1">SUM(N10:N19)</f>
        <v>#NAME?</v>
      </c>
      <c r="O20" s="42"/>
      <c r="P20" s="140" t="e">
        <f ca="1">SUM(P10:P19)</f>
        <v>#NAME?</v>
      </c>
      <c r="Q20" s="141" t="e">
        <f ca="1">SUM(Q10:Q19)</f>
        <v>#NAME?</v>
      </c>
      <c r="R20" s="143" t="e">
        <f ca="1">SUM(R10:R19)</f>
        <v>#NAME?</v>
      </c>
      <c r="S20" s="42"/>
      <c r="T20" s="140" t="e">
        <f ca="1">SUM(T10:T19)</f>
        <v>#NAME?</v>
      </c>
      <c r="U20" s="141" t="e">
        <f ca="1">SUM(U10:U19)</f>
        <v>#NAME?</v>
      </c>
      <c r="V20" s="143" t="e">
        <f ca="1">SUM(V10:V19)</f>
        <v>#NAME?</v>
      </c>
    </row>
    <row r="21" spans="1:22" ht="3" customHeight="1" x14ac:dyDescent="0.25">
      <c r="B21" s="29"/>
      <c r="C21" s="38"/>
      <c r="D21" s="41"/>
      <c r="E21" s="42"/>
      <c r="F21" s="66"/>
      <c r="G21" s="42"/>
      <c r="H21" s="41"/>
      <c r="I21" s="42"/>
      <c r="J21" s="66"/>
      <c r="K21" s="42"/>
      <c r="L21" s="41"/>
      <c r="M21" s="42"/>
      <c r="N21" s="66"/>
      <c r="O21" s="42"/>
      <c r="P21" s="41"/>
      <c r="Q21" s="42"/>
      <c r="R21" s="66"/>
      <c r="S21" s="42"/>
      <c r="T21" s="41"/>
      <c r="U21" s="42"/>
      <c r="V21" s="66"/>
    </row>
    <row r="22" spans="1:22" ht="12" customHeight="1" x14ac:dyDescent="0.25">
      <c r="A22" s="25" t="s">
        <v>32</v>
      </c>
      <c r="B22" s="29" t="s">
        <v>88</v>
      </c>
      <c r="C22" s="38"/>
      <c r="D22" s="41" t="e">
        <f ca="1">ROUND(_xll.HPVAL($A22,D$1,$A$2,F$1,$A$3,$A$4)/1000,0)</f>
        <v>#NAME?</v>
      </c>
      <c r="E22" s="42" t="e">
        <f ca="1">ROUND(_xll.HPVAL($A22,E$1,$A$2,F$1,$A$3,$A$4)/1000,0)</f>
        <v>#NAME?</v>
      </c>
      <c r="F22" s="66" t="e">
        <f t="shared" ref="F22:F27" ca="1" si="7">ROUND(D22-E22,0)</f>
        <v>#NAME?</v>
      </c>
      <c r="G22" s="42"/>
      <c r="H22" s="41" t="e">
        <f ca="1">ROUND(_xll.HPVAL($A22,H$1,$A$2,J$1,$A$3,$A$4)/1000,0)</f>
        <v>#NAME?</v>
      </c>
      <c r="I22" s="42" t="e">
        <f ca="1">ROUND(_xll.HPVAL($A22,I$1,$A$2,J$1,$A$3,$A$4)/1000,0)</f>
        <v>#NAME?</v>
      </c>
      <c r="J22" s="66" t="e">
        <f t="shared" ref="J22:J27" ca="1" si="8">ROUND(H22-I22,0)</f>
        <v>#NAME?</v>
      </c>
      <c r="K22" s="42"/>
      <c r="L22" s="41" t="e">
        <f ca="1">ROUND(_xll.HPVAL($A22,L$1,$A$2,N$1,$A$3,$A$4)/1000,0)</f>
        <v>#NAME?</v>
      </c>
      <c r="M22" s="42" t="e">
        <f ca="1">ROUND(_xll.HPVAL($A22,M$1,$A$2,N$1,$A$3,$A$4)/1000,0)</f>
        <v>#NAME?</v>
      </c>
      <c r="N22" s="66" t="e">
        <f t="shared" ref="N22:N27" ca="1" si="9">ROUND(L22-M22,0)</f>
        <v>#NAME?</v>
      </c>
      <c r="O22" s="42"/>
      <c r="P22" s="41" t="e">
        <f ca="1">ROUND(_xll.HPVAL($A22,P$1,$A$2,R$1,$A$3,$A$4)/1000,0)</f>
        <v>#NAME?</v>
      </c>
      <c r="Q22" s="42" t="e">
        <f ca="1">ROUND(_xll.HPVAL($A22,Q$1,$A$2,R$1,$A$3,$A$4)/1000,0)</f>
        <v>#NAME?</v>
      </c>
      <c r="R22" s="66" t="e">
        <f t="shared" ref="R22:R27" ca="1" si="10">ROUND(P22-Q22,0)</f>
        <v>#NAME?</v>
      </c>
      <c r="S22" s="42"/>
      <c r="T22" s="41" t="e">
        <f t="shared" ref="T22:T27" ca="1" si="11">D22+H22+L22+P22</f>
        <v>#NAME?</v>
      </c>
      <c r="U22" s="42" t="e">
        <f t="shared" ref="U22:U27" ca="1" si="12">E22+I22+M22+Q22</f>
        <v>#NAME?</v>
      </c>
      <c r="V22" s="66" t="e">
        <f t="shared" ref="V22:V27" ca="1" si="13">ROUND(T22-U22,0)</f>
        <v>#NAME?</v>
      </c>
    </row>
    <row r="23" spans="1:22" ht="12" customHeight="1" x14ac:dyDescent="0.25">
      <c r="A23" s="25" t="s">
        <v>38</v>
      </c>
      <c r="B23" s="29" t="s">
        <v>89</v>
      </c>
      <c r="C23" s="38"/>
      <c r="D23" s="41" t="e">
        <f ca="1">ROUND(_xll.HPVAL($A23,D$1,$A$2,F$1,$A$3,$A$4)/1000,0)</f>
        <v>#NAME?</v>
      </c>
      <c r="E23" s="42" t="e">
        <f ca="1">ROUND(_xll.HPVAL($A23,E$1,$A$2,F$1,$A$3,$A$4)/1000,0)</f>
        <v>#NAME?</v>
      </c>
      <c r="F23" s="66" t="e">
        <f t="shared" ca="1" si="7"/>
        <v>#NAME?</v>
      </c>
      <c r="G23" s="42"/>
      <c r="H23" s="41" t="e">
        <f ca="1">ROUND(_xll.HPVAL($A23,H$1,$A$2,J$1,$A$3,$A$4)/1000,0)</f>
        <v>#NAME?</v>
      </c>
      <c r="I23" s="42" t="e">
        <f ca="1">ROUND(_xll.HPVAL($A23,I$1,$A$2,J$1,$A$3,$A$4)/1000,0)</f>
        <v>#NAME?</v>
      </c>
      <c r="J23" s="66" t="e">
        <f t="shared" ca="1" si="8"/>
        <v>#NAME?</v>
      </c>
      <c r="K23" s="42"/>
      <c r="L23" s="41" t="e">
        <f ca="1">ROUND(_xll.HPVAL($A23,L$1,$A$2,N$1,$A$3,$A$4)/1000,0)</f>
        <v>#NAME?</v>
      </c>
      <c r="M23" s="42" t="e">
        <f ca="1">ROUND(_xll.HPVAL($A23,M$1,$A$2,N$1,$A$3,$A$4)/1000,0)</f>
        <v>#NAME?</v>
      </c>
      <c r="N23" s="66" t="e">
        <f t="shared" ca="1" si="9"/>
        <v>#NAME?</v>
      </c>
      <c r="O23" s="42"/>
      <c r="P23" s="41" t="e">
        <f ca="1">ROUND(_xll.HPVAL($A23,P$1,$A$2,R$1,$A$3,$A$4)/1000,0)</f>
        <v>#NAME?</v>
      </c>
      <c r="Q23" s="42" t="e">
        <f ca="1">ROUND(_xll.HPVAL($A23,Q$1,$A$2,R$1,$A$3,$A$4)/1000,0)</f>
        <v>#NAME?</v>
      </c>
      <c r="R23" s="66" t="e">
        <f t="shared" ca="1" si="10"/>
        <v>#NAME?</v>
      </c>
      <c r="S23" s="42"/>
      <c r="T23" s="41" t="e">
        <f t="shared" ca="1" si="11"/>
        <v>#NAME?</v>
      </c>
      <c r="U23" s="42" t="e">
        <f t="shared" ca="1" si="12"/>
        <v>#NAME?</v>
      </c>
      <c r="V23" s="66" t="e">
        <f t="shared" ca="1" si="13"/>
        <v>#NAME?</v>
      </c>
    </row>
    <row r="24" spans="1:22" ht="12" customHeight="1" x14ac:dyDescent="0.25">
      <c r="A24" s="25" t="s">
        <v>35</v>
      </c>
      <c r="B24" s="29" t="s">
        <v>90</v>
      </c>
      <c r="C24" s="38"/>
      <c r="D24" s="41" t="e">
        <f ca="1">ROUND(_xll.HPVAL($A24,D$1,$A$2,F$1,$A$3,$A$4)/1000,0)</f>
        <v>#NAME?</v>
      </c>
      <c r="E24" s="42" t="e">
        <f ca="1">ROUND(_xll.HPVAL($A24,E$1,$A$2,F$1,$A$3,$A$4)/1000,0)</f>
        <v>#NAME?</v>
      </c>
      <c r="F24" s="66" t="e">
        <f t="shared" ca="1" si="7"/>
        <v>#NAME?</v>
      </c>
      <c r="G24" s="42"/>
      <c r="H24" s="41" t="e">
        <f ca="1">ROUND(_xll.HPVAL($A24,H$1,$A$2,J$1,$A$3,$A$4)/1000,0)</f>
        <v>#NAME?</v>
      </c>
      <c r="I24" s="42" t="e">
        <f ca="1">ROUND(_xll.HPVAL($A24,I$1,$A$2,J$1,$A$3,$A$4)/1000,0)</f>
        <v>#NAME?</v>
      </c>
      <c r="J24" s="66" t="e">
        <f t="shared" ca="1" si="8"/>
        <v>#NAME?</v>
      </c>
      <c r="K24" s="42"/>
      <c r="L24" s="41" t="e">
        <f ca="1">ROUND(_xll.HPVAL($A24,L$1,$A$2,N$1,$A$3,$A$4)/1000,0)</f>
        <v>#NAME?</v>
      </c>
      <c r="M24" s="42" t="e">
        <f ca="1">ROUND(_xll.HPVAL($A24,M$1,$A$2,N$1,$A$3,$A$4)/1000,0)</f>
        <v>#NAME?</v>
      </c>
      <c r="N24" s="66" t="e">
        <f t="shared" ca="1" si="9"/>
        <v>#NAME?</v>
      </c>
      <c r="O24" s="42"/>
      <c r="P24" s="41" t="e">
        <f ca="1">ROUND(_xll.HPVAL($A24,P$1,$A$2,R$1,$A$3,$A$4)/1000,0)</f>
        <v>#NAME?</v>
      </c>
      <c r="Q24" s="42" t="e">
        <f ca="1">ROUND(_xll.HPVAL($A24,Q$1,$A$2,R$1,$A$3,$A$4)/1000,0)</f>
        <v>#NAME?</v>
      </c>
      <c r="R24" s="66" t="e">
        <f t="shared" ca="1" si="10"/>
        <v>#NAME?</v>
      </c>
      <c r="S24" s="42"/>
      <c r="T24" s="41" t="e">
        <f t="shared" ca="1" si="11"/>
        <v>#NAME?</v>
      </c>
      <c r="U24" s="42" t="e">
        <f t="shared" ca="1" si="12"/>
        <v>#NAME?</v>
      </c>
      <c r="V24" s="66" t="e">
        <f t="shared" ca="1" si="13"/>
        <v>#NAME?</v>
      </c>
    </row>
    <row r="25" spans="1:22" ht="12" customHeight="1" x14ac:dyDescent="0.25">
      <c r="A25" s="25" t="s">
        <v>152</v>
      </c>
      <c r="B25" s="29" t="s">
        <v>91</v>
      </c>
      <c r="C25" s="38"/>
      <c r="D25" s="41" t="e">
        <f ca="1">ROUND(_xll.HPVAL($A25,D$1,$A$2,F$1,$A$3,$A$4)/1000,0)</f>
        <v>#NAME?</v>
      </c>
      <c r="E25" s="42" t="e">
        <f ca="1">ROUND(_xll.HPVAL($A25,E$1,$A$2,F$1,$A$3,$A$4)/1000,0)</f>
        <v>#NAME?</v>
      </c>
      <c r="F25" s="66" t="e">
        <f t="shared" ca="1" si="7"/>
        <v>#NAME?</v>
      </c>
      <c r="G25" s="42"/>
      <c r="H25" s="41" t="e">
        <f ca="1">ROUND(_xll.HPVAL($A25,H$1,$A$2,J$1,$A$3,$A$4)/1000,0)</f>
        <v>#NAME?</v>
      </c>
      <c r="I25" s="42" t="e">
        <f ca="1">ROUND(_xll.HPVAL($A25,I$1,$A$2,J$1,$A$3,$A$4)/1000,0)</f>
        <v>#NAME?</v>
      </c>
      <c r="J25" s="66" t="e">
        <f t="shared" ca="1" si="8"/>
        <v>#NAME?</v>
      </c>
      <c r="K25" s="42"/>
      <c r="L25" s="41" t="e">
        <f ca="1">ROUND(_xll.HPVAL($A25,L$1,$A$2,N$1,$A$3,$A$4)/1000,0)</f>
        <v>#NAME?</v>
      </c>
      <c r="M25" s="42" t="e">
        <f ca="1">ROUND(_xll.HPVAL($A25,M$1,$A$2,N$1,$A$3,$A$4)/1000,0)</f>
        <v>#NAME?</v>
      </c>
      <c r="N25" s="66" t="e">
        <f t="shared" ca="1" si="9"/>
        <v>#NAME?</v>
      </c>
      <c r="O25" s="42"/>
      <c r="P25" s="41" t="e">
        <f ca="1">ROUND(_xll.HPVAL($A25,P$1,$A$2,R$1,$A$3,$A$4)/1000,0)</f>
        <v>#NAME?</v>
      </c>
      <c r="Q25" s="42" t="e">
        <f ca="1">ROUND(_xll.HPVAL($A25,Q$1,$A$2,R$1,$A$3,$A$4)/1000,0)</f>
        <v>#NAME?</v>
      </c>
      <c r="R25" s="66" t="e">
        <f t="shared" ca="1" si="10"/>
        <v>#NAME?</v>
      </c>
      <c r="S25" s="42"/>
      <c r="T25" s="41" t="e">
        <f t="shared" ca="1" si="11"/>
        <v>#NAME?</v>
      </c>
      <c r="U25" s="42" t="e">
        <f t="shared" ca="1" si="12"/>
        <v>#NAME?</v>
      </c>
      <c r="V25" s="66" t="e">
        <f t="shared" ca="1" si="13"/>
        <v>#NAME?</v>
      </c>
    </row>
    <row r="26" spans="1:22" ht="12" customHeight="1" x14ac:dyDescent="0.25">
      <c r="A26" s="25" t="s">
        <v>103</v>
      </c>
      <c r="B26" s="29" t="s">
        <v>104</v>
      </c>
      <c r="C26" s="38"/>
      <c r="D26" s="41">
        <v>0</v>
      </c>
      <c r="E26" s="42" t="e">
        <f ca="1">ROUND(_xll.HPVAL($A26,E$1,$A$2,F$1,$A$3,$A$4)/1000,0)</f>
        <v>#NAME?</v>
      </c>
      <c r="F26" s="66" t="e">
        <f t="shared" ca="1" si="7"/>
        <v>#NAME?</v>
      </c>
      <c r="G26" s="42"/>
      <c r="H26" s="41" t="e">
        <f ca="1">ROUND(_xll.HPVAL($A26,H$1,$A$2,J$1,$A$3,$A$4)/1000,0)</f>
        <v>#NAME?</v>
      </c>
      <c r="I26" s="42" t="e">
        <f ca="1">ROUND(_xll.HPVAL($A26,I$1,$A$2,J$1,$A$3,$A$4)/1000,0)</f>
        <v>#NAME?</v>
      </c>
      <c r="J26" s="66" t="e">
        <f t="shared" ca="1" si="8"/>
        <v>#NAME?</v>
      </c>
      <c r="K26" s="42"/>
      <c r="L26" s="41" t="e">
        <f ca="1">ROUND(_xll.HPVAL($A26,L$1,$A$2,N$1,$A$3,$A$4)/1000,0)</f>
        <v>#NAME?</v>
      </c>
      <c r="M26" s="42" t="e">
        <f ca="1">ROUND(_xll.HPVAL($A26,M$1,$A$2,N$1,$A$3,$A$4)/1000,0)</f>
        <v>#NAME?</v>
      </c>
      <c r="N26" s="66" t="e">
        <f t="shared" ca="1" si="9"/>
        <v>#NAME?</v>
      </c>
      <c r="O26" s="42"/>
      <c r="P26" s="41" t="e">
        <f ca="1">ROUND(_xll.HPVAL($A26,P$1,$A$2,R$1,$A$3,$A$4)/1000,0)</f>
        <v>#NAME?</v>
      </c>
      <c r="Q26" s="42" t="e">
        <f ca="1">ROUND(_xll.HPVAL($A26,Q$1,$A$2,R$1,$A$3,$A$4)/1000,0)</f>
        <v>#NAME?</v>
      </c>
      <c r="R26" s="66" t="e">
        <f t="shared" ca="1" si="10"/>
        <v>#NAME?</v>
      </c>
      <c r="S26" s="42"/>
      <c r="T26" s="41" t="e">
        <f t="shared" ca="1" si="11"/>
        <v>#NAME?</v>
      </c>
      <c r="U26" s="42" t="e">
        <f t="shared" ca="1" si="12"/>
        <v>#NAME?</v>
      </c>
      <c r="V26" s="66" t="e">
        <f t="shared" ca="1" si="13"/>
        <v>#NAME?</v>
      </c>
    </row>
    <row r="27" spans="1:22" ht="12" customHeight="1" x14ac:dyDescent="0.25">
      <c r="A27" s="25" t="s">
        <v>36</v>
      </c>
      <c r="B27" s="29" t="s">
        <v>0</v>
      </c>
      <c r="C27" s="38"/>
      <c r="D27" s="41" t="e">
        <f ca="1">ROUND(_xll.HPVAL($A27,D$1,$A$2,F$1,$A$3,$A$4)/1000,0)</f>
        <v>#NAME?</v>
      </c>
      <c r="E27" s="42" t="e">
        <f ca="1">ROUND(_xll.HPVAL($A27,E$1,$A$2,F$1,$A$3,$A$4)/1000,0)</f>
        <v>#NAME?</v>
      </c>
      <c r="F27" s="66" t="e">
        <f t="shared" ca="1" si="7"/>
        <v>#NAME?</v>
      </c>
      <c r="G27" s="42"/>
      <c r="H27" s="41" t="e">
        <f ca="1">ROUND(_xll.HPVAL($A27,H$1,$A$2,J$1,$A$3,$A$4)/1000,0)</f>
        <v>#NAME?</v>
      </c>
      <c r="I27" s="42" t="e">
        <f ca="1">ROUND(_xll.HPVAL($A27,I$1,$A$2,J$1,$A$3,$A$4)/1000,0)</f>
        <v>#NAME?</v>
      </c>
      <c r="J27" s="66" t="e">
        <f t="shared" ca="1" si="8"/>
        <v>#NAME?</v>
      </c>
      <c r="K27" s="42"/>
      <c r="L27" s="41" t="e">
        <f ca="1">ROUND(_xll.HPVAL($A27,L$1,$A$2,N$1,$A$3,$A$4)/1000,0)</f>
        <v>#NAME?</v>
      </c>
      <c r="M27" s="42" t="e">
        <f ca="1">ROUND(_xll.HPVAL($A27,M$1,$A$2,N$1,$A$3,$A$4)/1000,0)</f>
        <v>#NAME?</v>
      </c>
      <c r="N27" s="66" t="e">
        <f t="shared" ca="1" si="9"/>
        <v>#NAME?</v>
      </c>
      <c r="O27" s="42"/>
      <c r="P27" s="41" t="e">
        <f ca="1">ROUND(_xll.HPVAL($A27,P$1,$A$2,R$1,$A$3,$A$4)/1000,0)</f>
        <v>#NAME?</v>
      </c>
      <c r="Q27" s="42" t="e">
        <f ca="1">ROUND(_xll.HPVAL($A27,Q$1,$A$2,R$1,$A$3,$A$4)/1000,0)</f>
        <v>#NAME?</v>
      </c>
      <c r="R27" s="66" t="e">
        <f t="shared" ca="1" si="10"/>
        <v>#NAME?</v>
      </c>
      <c r="S27" s="42"/>
      <c r="T27" s="41" t="e">
        <f t="shared" ca="1" si="11"/>
        <v>#NAME?</v>
      </c>
      <c r="U27" s="42" t="e">
        <f t="shared" ca="1" si="12"/>
        <v>#NAME?</v>
      </c>
      <c r="V27" s="66" t="e">
        <f t="shared" ca="1" si="13"/>
        <v>#NAME?</v>
      </c>
    </row>
    <row r="28" spans="1:22" ht="12" customHeight="1" x14ac:dyDescent="0.25">
      <c r="A28" s="27"/>
      <c r="B28" s="75" t="s">
        <v>1</v>
      </c>
      <c r="C28" s="38"/>
      <c r="D28" s="140" t="e">
        <f ca="1">SUM(D22:D27)</f>
        <v>#NAME?</v>
      </c>
      <c r="E28" s="141" t="e">
        <f ca="1">SUM(E22:E27)</f>
        <v>#NAME?</v>
      </c>
      <c r="F28" s="143" t="e">
        <f ca="1">SUM(F22:F27)</f>
        <v>#NAME?</v>
      </c>
      <c r="G28" s="42"/>
      <c r="H28" s="140" t="e">
        <f ca="1">SUM(H22:H27)</f>
        <v>#NAME?</v>
      </c>
      <c r="I28" s="141" t="e">
        <f ca="1">SUM(I22:I27)</f>
        <v>#NAME?</v>
      </c>
      <c r="J28" s="143" t="e">
        <f ca="1">SUM(J22:J27)</f>
        <v>#NAME?</v>
      </c>
      <c r="K28" s="42"/>
      <c r="L28" s="140" t="e">
        <f ca="1">SUM(L22:L27)</f>
        <v>#NAME?</v>
      </c>
      <c r="M28" s="141" t="e">
        <f ca="1">SUM(M22:M27)</f>
        <v>#NAME?</v>
      </c>
      <c r="N28" s="143" t="e">
        <f ca="1">SUM(N22:N27)</f>
        <v>#NAME?</v>
      </c>
      <c r="O28" s="42"/>
      <c r="P28" s="140" t="e">
        <f ca="1">SUM(P22:P27)</f>
        <v>#NAME?</v>
      </c>
      <c r="Q28" s="141" t="e">
        <f ca="1">SUM(Q22:Q27)</f>
        <v>#NAME?</v>
      </c>
      <c r="R28" s="143" t="e">
        <f ca="1">SUM(R22:R27)</f>
        <v>#NAME?</v>
      </c>
      <c r="S28" s="42"/>
      <c r="T28" s="140" t="e">
        <f ca="1">SUM(T22:T27)</f>
        <v>#NAME?</v>
      </c>
      <c r="U28" s="141" t="e">
        <f ca="1">SUM(U22:U27)</f>
        <v>#NAME?</v>
      </c>
      <c r="V28" s="143" t="e">
        <f ca="1">SUM(V22:V27)</f>
        <v>#NAME?</v>
      </c>
    </row>
    <row r="29" spans="1:22" ht="3" customHeight="1" x14ac:dyDescent="0.25">
      <c r="B29" s="29"/>
      <c r="C29" s="38"/>
      <c r="D29" s="41"/>
      <c r="E29" s="42"/>
      <c r="F29" s="66"/>
      <c r="G29" s="42"/>
      <c r="H29" s="41"/>
      <c r="I29" s="42"/>
      <c r="J29" s="66"/>
      <c r="K29" s="42"/>
      <c r="L29" s="41"/>
      <c r="M29" s="42"/>
      <c r="N29" s="66"/>
      <c r="O29" s="42"/>
      <c r="P29" s="41"/>
      <c r="Q29" s="42"/>
      <c r="R29" s="66"/>
      <c r="S29" s="42"/>
      <c r="T29" s="41"/>
      <c r="U29" s="42"/>
      <c r="V29" s="66"/>
    </row>
    <row r="30" spans="1:22" ht="12" customHeight="1" x14ac:dyDescent="0.25">
      <c r="A30" s="25" t="s">
        <v>34</v>
      </c>
      <c r="B30" s="29" t="s">
        <v>33</v>
      </c>
      <c r="C30" s="38"/>
      <c r="D30" s="41" t="e">
        <f ca="1">ROUND(_xll.HPVAL($A30,D$1,$A$2,F$1,$A$3,$A$4)/1000,0)</f>
        <v>#NAME?</v>
      </c>
      <c r="E30" s="42" t="e">
        <f ca="1">ROUND(_xll.HPVAL($A30,E$1,$A$2,F$1,$A$3,$A$4)/1000,0)</f>
        <v>#NAME?</v>
      </c>
      <c r="F30" s="66" t="e">
        <f ca="1">ROUND(D30-E30,0)</f>
        <v>#NAME?</v>
      </c>
      <c r="G30" s="42"/>
      <c r="H30" s="41" t="e">
        <f ca="1">ROUND(_xll.HPVAL($A30,H$1,$A$2,J$1,$A$3,$A$4)/1000,0)</f>
        <v>#NAME?</v>
      </c>
      <c r="I30" s="42" t="e">
        <f ca="1">ROUND(_xll.HPVAL($A30,I$1,$A$2,J$1,$A$3,$A$4)/1000,0)</f>
        <v>#NAME?</v>
      </c>
      <c r="J30" s="66" t="e">
        <f ca="1">ROUND(H30-I30,0)</f>
        <v>#NAME?</v>
      </c>
      <c r="K30" s="42"/>
      <c r="L30" s="41" t="e">
        <f ca="1">ROUND(_xll.HPVAL($A30,L$1,$A$2,N$1,$A$3,$A$4)/1000,0)</f>
        <v>#NAME?</v>
      </c>
      <c r="M30" s="42" t="e">
        <f ca="1">ROUND(_xll.HPVAL($A30,M$1,$A$2,N$1,$A$3,$A$4)/1000,0)</f>
        <v>#NAME?</v>
      </c>
      <c r="N30" s="66" t="e">
        <f ca="1">ROUND(L30-M30,0)</f>
        <v>#NAME?</v>
      </c>
      <c r="O30" s="42"/>
      <c r="P30" s="41" t="e">
        <f ca="1">ROUND(_xll.HPVAL($A30,P$1,$A$2,R$1,$A$3,$A$4)/1000,0)</f>
        <v>#NAME?</v>
      </c>
      <c r="Q30" s="42" t="e">
        <f ca="1">ROUND(_xll.HPVAL($A30,Q$1,$A$2,R$1,$A$3,$A$4)/1000,0)</f>
        <v>#NAME?</v>
      </c>
      <c r="R30" s="66" t="e">
        <f ca="1">ROUND(P30-Q30,0)</f>
        <v>#NAME?</v>
      </c>
      <c r="S30" s="42"/>
      <c r="T30" s="41" t="e">
        <f ca="1">D30+H30+L30+P30</f>
        <v>#NAME?</v>
      </c>
      <c r="U30" s="42" t="e">
        <f ca="1">E30+I30+M30+Q30</f>
        <v>#NAME?</v>
      </c>
      <c r="V30" s="66" t="e">
        <f ca="1">ROUND(T30-U30,0)</f>
        <v>#NAME?</v>
      </c>
    </row>
    <row r="31" spans="1:22" ht="12" customHeight="1" x14ac:dyDescent="0.25">
      <c r="A31" s="25" t="s">
        <v>37</v>
      </c>
      <c r="B31" s="29" t="s">
        <v>67</v>
      </c>
      <c r="C31" s="38"/>
      <c r="D31" s="41" t="e">
        <f ca="1">ROUND(_xll.HPVAL($A31,D$1,$A$2,F$1,$A$3,$A$4)/1000,0)</f>
        <v>#NAME?</v>
      </c>
      <c r="E31" s="42" t="e">
        <f ca="1">ROUND(_xll.HPVAL($A31,E$1,$A$2,F$1,$A$3,$A$4)/1000,0)</f>
        <v>#NAME?</v>
      </c>
      <c r="F31" s="66" t="e">
        <f ca="1">ROUND(D31-E31,0)</f>
        <v>#NAME?</v>
      </c>
      <c r="G31" s="42"/>
      <c r="H31" s="41" t="e">
        <f ca="1">ROUND(_xll.HPVAL($A31,H$1,$A$2,J$1,$A$3,$A$4)/1000,0)</f>
        <v>#NAME?</v>
      </c>
      <c r="I31" s="42" t="e">
        <f ca="1">ROUND(_xll.HPVAL($A31,I$1,$A$2,J$1,$A$3,$A$4)/1000,0)</f>
        <v>#NAME?</v>
      </c>
      <c r="J31" s="66" t="e">
        <f ca="1">ROUND(H31-I31,0)</f>
        <v>#NAME?</v>
      </c>
      <c r="K31" s="42"/>
      <c r="L31" s="41" t="e">
        <f ca="1">ROUND(_xll.HPVAL($A31,L$1,$A$2,N$1,$A$3,$A$4)/1000,0)</f>
        <v>#NAME?</v>
      </c>
      <c r="M31" s="42" t="e">
        <f ca="1">ROUND(_xll.HPVAL($A31,M$1,$A$2,N$1,$A$3,$A$4)/1000,0)</f>
        <v>#NAME?</v>
      </c>
      <c r="N31" s="66" t="e">
        <f ca="1">ROUND(L31-M31,0)</f>
        <v>#NAME?</v>
      </c>
      <c r="O31" s="42"/>
      <c r="P31" s="41" t="e">
        <f ca="1">ROUND(_xll.HPVAL($A31,P$1,$A$2,R$1,$A$3,$A$4)/1000,0)</f>
        <v>#NAME?</v>
      </c>
      <c r="Q31" s="42" t="e">
        <f ca="1">ROUND(_xll.HPVAL($A31,Q$1,$A$2,R$1,$A$3,$A$4)/1000,0)</f>
        <v>#NAME?</v>
      </c>
      <c r="R31" s="66" t="e">
        <f ca="1">ROUND(P31-Q31,0)</f>
        <v>#NAME?</v>
      </c>
      <c r="S31" s="42"/>
      <c r="T31" s="41" t="e">
        <f t="shared" ref="T31:U33" ca="1" si="14">D31+H31+L31+P31</f>
        <v>#NAME?</v>
      </c>
      <c r="U31" s="42" t="e">
        <f t="shared" ca="1" si="14"/>
        <v>#NAME?</v>
      </c>
      <c r="V31" s="66" t="e">
        <f ca="1">ROUND(T31-U31,0)</f>
        <v>#NAME?</v>
      </c>
    </row>
    <row r="32" spans="1:22" ht="12" customHeight="1" x14ac:dyDescent="0.25">
      <c r="A32" s="25" t="s">
        <v>41</v>
      </c>
      <c r="B32" s="29" t="s">
        <v>92</v>
      </c>
      <c r="C32" s="38"/>
      <c r="D32" s="41" t="e">
        <f ca="1">ROUND(_xll.HPVAL($A32,D$1,$A$2,F$1,$A$3,$A$4)/1000,0)</f>
        <v>#NAME?</v>
      </c>
      <c r="E32" s="42" t="e">
        <f ca="1">ROUND(_xll.HPVAL($A32,E$1,$A$2,F$1,$A$3,$A$4)/1000,0)</f>
        <v>#NAME?</v>
      </c>
      <c r="F32" s="66" t="e">
        <f ca="1">ROUND(D32-E32,0)</f>
        <v>#NAME?</v>
      </c>
      <c r="G32" s="42"/>
      <c r="H32" s="41" t="e">
        <f ca="1">ROUND(_xll.HPVAL($A32,H$1,$A$2,J$1,$A$3,$A$4)/1000,0)</f>
        <v>#NAME?</v>
      </c>
      <c r="I32" s="42" t="e">
        <f ca="1">ROUND(_xll.HPVAL($A32,I$1,$A$2,J$1,$A$3,$A$4)/1000,0)</f>
        <v>#NAME?</v>
      </c>
      <c r="J32" s="66" t="e">
        <f ca="1">ROUND(H32-I32,0)</f>
        <v>#NAME?</v>
      </c>
      <c r="K32" s="42"/>
      <c r="L32" s="41" t="e">
        <f ca="1">ROUND(_xll.HPVAL($A32,L$1,$A$2,N$1,$A$3,$A$4)/1000,0)</f>
        <v>#NAME?</v>
      </c>
      <c r="M32" s="42" t="e">
        <f ca="1">ROUND(_xll.HPVAL($A32,M$1,$A$2,N$1,$A$3,$A$4)/1000,0)</f>
        <v>#NAME?</v>
      </c>
      <c r="N32" s="66" t="e">
        <f ca="1">ROUND(L32-M32,0)</f>
        <v>#NAME?</v>
      </c>
      <c r="O32" s="42"/>
      <c r="P32" s="41" t="e">
        <f ca="1">ROUND(_xll.HPVAL($A32,P$1,$A$2,R$1,$A$3,$A$4)/1000,0)</f>
        <v>#NAME?</v>
      </c>
      <c r="Q32" s="42" t="e">
        <f ca="1">ROUND(_xll.HPVAL($A32,Q$1,$A$2,R$1,$A$3,$A$4)/1000,0)</f>
        <v>#NAME?</v>
      </c>
      <c r="R32" s="66" t="e">
        <f ca="1">ROUND(P32-Q32,0)</f>
        <v>#NAME?</v>
      </c>
      <c r="S32" s="42"/>
      <c r="T32" s="41" t="e">
        <f t="shared" ca="1" si="14"/>
        <v>#NAME?</v>
      </c>
      <c r="U32" s="42" t="e">
        <f t="shared" ca="1" si="14"/>
        <v>#NAME?</v>
      </c>
      <c r="V32" s="66" t="e">
        <f ca="1">ROUND(T32-U32,0)</f>
        <v>#NAME?</v>
      </c>
    </row>
    <row r="33" spans="1:22" ht="12" customHeight="1" x14ac:dyDescent="0.25">
      <c r="A33" s="25" t="s">
        <v>42</v>
      </c>
      <c r="B33" s="29" t="s">
        <v>93</v>
      </c>
      <c r="C33" s="38"/>
      <c r="D33" s="41" t="e">
        <f ca="1">ROUND(_xll.HPVAL($A33,D$1,$A$2,F$1,$A$3,$A$4)/1000,0)</f>
        <v>#NAME?</v>
      </c>
      <c r="E33" s="42" t="e">
        <f ca="1">ROUND(_xll.HPVAL($A33,E$1,$A$2,F$1,$A$3,$A$4)/1000,0)</f>
        <v>#NAME?</v>
      </c>
      <c r="F33" s="66" t="e">
        <f ca="1">ROUND(D33-E33,0)</f>
        <v>#NAME?</v>
      </c>
      <c r="G33" s="42"/>
      <c r="H33" s="41" t="e">
        <f ca="1">ROUND(_xll.HPVAL($A33,H$1,$A$2,J$1,$A$3,$A$4)/1000,0)</f>
        <v>#NAME?</v>
      </c>
      <c r="I33" s="42" t="e">
        <f ca="1">ROUND(_xll.HPVAL($A33,I$1,$A$2,J$1,$A$3,$A$4)/1000,0)</f>
        <v>#NAME?</v>
      </c>
      <c r="J33" s="66" t="e">
        <f ca="1">ROUND(H33-I33,0)</f>
        <v>#NAME?</v>
      </c>
      <c r="K33" s="42"/>
      <c r="L33" s="41" t="e">
        <f ca="1">ROUND(_xll.HPVAL($A33,L$1,$A$2,N$1,$A$3,$A$4)/1000,0)</f>
        <v>#NAME?</v>
      </c>
      <c r="M33" s="42" t="e">
        <f ca="1">ROUND(_xll.HPVAL($A33,M$1,$A$2,N$1,$A$3,$A$4)/1000,0)</f>
        <v>#NAME?</v>
      </c>
      <c r="N33" s="66" t="e">
        <f ca="1">ROUND(L33-M33,0)</f>
        <v>#NAME?</v>
      </c>
      <c r="O33" s="42"/>
      <c r="P33" s="41" t="e">
        <f ca="1">ROUND(_xll.HPVAL($A33,P$1,$A$2,R$1,$A$3,$A$4)/1000,0)</f>
        <v>#NAME?</v>
      </c>
      <c r="Q33" s="42" t="e">
        <f ca="1">ROUND(_xll.HPVAL($A33,Q$1,$A$2,R$1,$A$3,$A$4)/1000,0)</f>
        <v>#NAME?</v>
      </c>
      <c r="R33" s="66" t="e">
        <f ca="1">ROUND(P33-Q33,0)</f>
        <v>#NAME?</v>
      </c>
      <c r="S33" s="42"/>
      <c r="T33" s="41" t="e">
        <f t="shared" ca="1" si="14"/>
        <v>#NAME?</v>
      </c>
      <c r="U33" s="42" t="e">
        <f t="shared" ca="1" si="14"/>
        <v>#NAME?</v>
      </c>
      <c r="V33" s="66" t="e">
        <f ca="1">ROUND(T33-U33,0)</f>
        <v>#NAME?</v>
      </c>
    </row>
    <row r="34" spans="1:22" ht="12" customHeight="1" x14ac:dyDescent="0.25">
      <c r="B34" s="75" t="s">
        <v>86</v>
      </c>
      <c r="C34" s="38"/>
      <c r="D34" s="140" t="e">
        <f ca="1">SUM(D30:D33)</f>
        <v>#NAME?</v>
      </c>
      <c r="E34" s="141" t="e">
        <f ca="1">SUM(E30:E33)</f>
        <v>#NAME?</v>
      </c>
      <c r="F34" s="143" t="e">
        <f ca="1">SUM(F30:F33)</f>
        <v>#NAME?</v>
      </c>
      <c r="G34" s="42"/>
      <c r="H34" s="140" t="e">
        <f ca="1">SUM(H30:H33)</f>
        <v>#NAME?</v>
      </c>
      <c r="I34" s="141" t="e">
        <f ca="1">SUM(I30:I33)</f>
        <v>#NAME?</v>
      </c>
      <c r="J34" s="143" t="e">
        <f ca="1">SUM(J30:J33)</f>
        <v>#NAME?</v>
      </c>
      <c r="K34" s="42"/>
      <c r="L34" s="140" t="e">
        <f ca="1">SUM(L30:L33)</f>
        <v>#NAME?</v>
      </c>
      <c r="M34" s="141" t="e">
        <f ca="1">SUM(M30:M33)</f>
        <v>#NAME?</v>
      </c>
      <c r="N34" s="143" t="e">
        <f ca="1">SUM(N30:N33)</f>
        <v>#NAME?</v>
      </c>
      <c r="O34" s="42"/>
      <c r="P34" s="140" t="e">
        <f ca="1">SUM(P30:P33)</f>
        <v>#NAME?</v>
      </c>
      <c r="Q34" s="141" t="e">
        <f ca="1">SUM(Q30:Q33)</f>
        <v>#NAME?</v>
      </c>
      <c r="R34" s="143" t="e">
        <f ca="1">SUM(R30:R33)</f>
        <v>#NAME?</v>
      </c>
      <c r="S34" s="42"/>
      <c r="T34" s="140" t="e">
        <f ca="1">SUM(T30:T33)</f>
        <v>#NAME?</v>
      </c>
      <c r="U34" s="141" t="e">
        <f ca="1">SUM(U30:U33)</f>
        <v>#NAME?</v>
      </c>
      <c r="V34" s="143" t="e">
        <f ca="1">SUM(V30:V33)</f>
        <v>#NAME?</v>
      </c>
    </row>
    <row r="35" spans="1:22" ht="3" customHeight="1" x14ac:dyDescent="0.25">
      <c r="B35" s="29"/>
      <c r="C35" s="38"/>
      <c r="D35" s="41"/>
      <c r="E35" s="42"/>
      <c r="F35" s="66"/>
      <c r="G35" s="42"/>
      <c r="H35" s="41"/>
      <c r="I35" s="42"/>
      <c r="J35" s="66"/>
      <c r="K35" s="42"/>
      <c r="L35" s="41"/>
      <c r="M35" s="42"/>
      <c r="N35" s="66"/>
      <c r="O35" s="42"/>
      <c r="P35" s="41"/>
      <c r="Q35" s="42"/>
      <c r="R35" s="66"/>
      <c r="S35" s="42"/>
      <c r="T35" s="41"/>
      <c r="U35" s="42"/>
      <c r="V35" s="66"/>
    </row>
    <row r="36" spans="1:22" ht="12" customHeight="1" x14ac:dyDescent="0.25">
      <c r="A36" s="25" t="s">
        <v>40</v>
      </c>
      <c r="B36" s="29" t="s">
        <v>9</v>
      </c>
      <c r="C36" s="38"/>
      <c r="D36" s="41" t="e">
        <f ca="1">ROUND(_xll.HPVAL($A36,D$1,$A$2,F$1,$A$3,$A$4)/1000,0)</f>
        <v>#NAME?</v>
      </c>
      <c r="E36" s="42" t="e">
        <f ca="1">ROUND(_xll.HPVAL($A36,E$1,$A$2,F$1,$A$3,$A$4)/1000,0)</f>
        <v>#NAME?</v>
      </c>
      <c r="F36" s="66" t="e">
        <f ca="1">ROUND(D36-E36,0)</f>
        <v>#NAME?</v>
      </c>
      <c r="G36" s="42"/>
      <c r="H36" s="41" t="e">
        <f ca="1">ROUND(_xll.HPVAL($A36,H$1,$A$2,J$1,$A$3,$A$4)/1000,0)</f>
        <v>#NAME?</v>
      </c>
      <c r="I36" s="42" t="e">
        <f ca="1">ROUND(_xll.HPVAL($A36,I$1,$A$2,J$1,$A$3,$A$4)/1000,0)</f>
        <v>#NAME?</v>
      </c>
      <c r="J36" s="66" t="e">
        <f ca="1">ROUND(H36-I36,0)</f>
        <v>#NAME?</v>
      </c>
      <c r="K36" s="42"/>
      <c r="L36" s="41" t="e">
        <f ca="1">ROUND(_xll.HPVAL($A36,L$1,$A$2,N$1,$A$3,$A$4)/1000,0)</f>
        <v>#NAME?</v>
      </c>
      <c r="M36" s="42" t="e">
        <f ca="1">ROUND(_xll.HPVAL($A36,M$1,$A$2,N$1,$A$3,$A$4)/1000,0)</f>
        <v>#NAME?</v>
      </c>
      <c r="N36" s="66" t="e">
        <f ca="1">ROUND(L36-M36,0)</f>
        <v>#NAME?</v>
      </c>
      <c r="O36" s="42"/>
      <c r="P36" s="41" t="e">
        <f ca="1">ROUND(_xll.HPVAL($A36,P$1,$A$2,R$1,$A$3,$A$4)/1000,0)</f>
        <v>#NAME?</v>
      </c>
      <c r="Q36" s="42" t="e">
        <f ca="1">ROUND(_xll.HPVAL($A36,Q$1,$A$2,R$1,$A$3,$A$4)/1000,0)</f>
        <v>#NAME?</v>
      </c>
      <c r="R36" s="66" t="e">
        <f ca="1">ROUND(P36-Q36,0)</f>
        <v>#NAME?</v>
      </c>
      <c r="S36" s="42"/>
      <c r="T36" s="41" t="e">
        <f t="shared" ref="T36:U39" ca="1" si="15">D36+H36+L36+P36</f>
        <v>#NAME?</v>
      </c>
      <c r="U36" s="42" t="e">
        <f t="shared" ca="1" si="15"/>
        <v>#NAME?</v>
      </c>
      <c r="V36" s="66" t="e">
        <f ca="1">ROUND(T36-U36,0)</f>
        <v>#NAME?</v>
      </c>
    </row>
    <row r="37" spans="1:22" ht="12" customHeight="1" x14ac:dyDescent="0.25">
      <c r="A37" s="25" t="s">
        <v>39</v>
      </c>
      <c r="B37" s="29" t="s">
        <v>151</v>
      </c>
      <c r="C37" s="38"/>
      <c r="D37" s="41" t="e">
        <f ca="1">ROUND(_xll.HPVAL($A37,D$1,$A$2,F$1,$A$3,$A$4)/1000,0)</f>
        <v>#NAME?</v>
      </c>
      <c r="E37" s="42" t="e">
        <f ca="1">ROUND(_xll.HPVAL($A37,E$1,$A$2,F$1,$A$3,$A$4)/1000,0)</f>
        <v>#NAME?</v>
      </c>
      <c r="F37" s="66" t="e">
        <f ca="1">ROUND(D37-E37,0)</f>
        <v>#NAME?</v>
      </c>
      <c r="G37" s="42"/>
      <c r="H37" s="41" t="e">
        <f ca="1">ROUND(_xll.HPVAL($A37,H$1,$A$2,J$1,$A$3,$A$4)/1000,0)</f>
        <v>#NAME?</v>
      </c>
      <c r="I37" s="42" t="e">
        <f ca="1">ROUND(_xll.HPVAL($A37,I$1,$A$2,J$1,$A$3,$A$4)/1000,0)</f>
        <v>#NAME?</v>
      </c>
      <c r="J37" s="66" t="e">
        <f ca="1">ROUND(H37-I37,0)</f>
        <v>#NAME?</v>
      </c>
      <c r="K37" s="42"/>
      <c r="L37" s="41" t="e">
        <f ca="1">ROUND(_xll.HPVAL($A37,L$1,$A$2,N$1,$A$3,$A$4)/1000,0)</f>
        <v>#NAME?</v>
      </c>
      <c r="M37" s="42" t="e">
        <f ca="1">ROUND(_xll.HPVAL($A37,M$1,$A$2,N$1,$A$3,$A$4)/1000,0)</f>
        <v>#NAME?</v>
      </c>
      <c r="N37" s="66" t="e">
        <f ca="1">ROUND(L37-M37,0)</f>
        <v>#NAME?</v>
      </c>
      <c r="O37" s="42"/>
      <c r="P37" s="41" t="e">
        <f ca="1">ROUND(_xll.HPVAL($A37,P$1,$A$2,R$1,$A$3,$A$4)/1000,0)</f>
        <v>#NAME?</v>
      </c>
      <c r="Q37" s="42" t="e">
        <f ca="1">ROUND(_xll.HPVAL($A37,Q$1,$A$2,R$1,$A$3,$A$4)/1000,0)</f>
        <v>#NAME?</v>
      </c>
      <c r="R37" s="66" t="e">
        <f ca="1">ROUND(P37-Q37,0)</f>
        <v>#NAME?</v>
      </c>
      <c r="S37" s="42"/>
      <c r="T37" s="41" t="e">
        <f t="shared" ca="1" si="15"/>
        <v>#NAME?</v>
      </c>
      <c r="U37" s="42" t="e">
        <f t="shared" ca="1" si="15"/>
        <v>#NAME?</v>
      </c>
      <c r="V37" s="66" t="e">
        <f ca="1">ROUND(T37-U37,0)</f>
        <v>#NAME?</v>
      </c>
    </row>
    <row r="38" spans="1:22" ht="12" customHeight="1" x14ac:dyDescent="0.25">
      <c r="A38" s="25" t="s">
        <v>153</v>
      </c>
      <c r="B38" s="29" t="s">
        <v>180</v>
      </c>
      <c r="C38" s="38"/>
      <c r="D38" s="41" t="e">
        <f ca="1">ROUND(_xll.HPVAL($A38,D$1,$A$2,F$1,$A$3,$A$4)/1000,0)</f>
        <v>#NAME?</v>
      </c>
      <c r="E38" s="42" t="e">
        <f ca="1">ROUND(_xll.HPVAL($A38,E$1,$A$2,F$1,$A$3,$A$4)/1000,0)</f>
        <v>#NAME?</v>
      </c>
      <c r="F38" s="66" t="e">
        <f ca="1">ROUND(D38-E38,0)</f>
        <v>#NAME?</v>
      </c>
      <c r="G38" s="42"/>
      <c r="H38" s="41" t="e">
        <f ca="1">ROUND(_xll.HPVAL($A38,H$1,$A$2,J$1,$A$3,$A$4)/1000,0)</f>
        <v>#NAME?</v>
      </c>
      <c r="I38" s="42" t="e">
        <f ca="1">ROUND(_xll.HPVAL($A38,I$1,$A$2,J$1,$A$3,$A$4)/1000,0)</f>
        <v>#NAME?</v>
      </c>
      <c r="J38" s="66" t="e">
        <f ca="1">ROUND(H38-I38,0)</f>
        <v>#NAME?</v>
      </c>
      <c r="K38" s="42"/>
      <c r="L38" s="41" t="e">
        <f ca="1">ROUND(_xll.HPVAL($A38,L$1,$A$2,N$1,$A$3,$A$4)/1000,0)</f>
        <v>#NAME?</v>
      </c>
      <c r="M38" s="42" t="e">
        <f ca="1">ROUND(_xll.HPVAL($A38,M$1,$A$2,N$1,$A$3,$A$4)/1000,0)</f>
        <v>#NAME?</v>
      </c>
      <c r="N38" s="66" t="e">
        <f ca="1">ROUND(L38-M38,0)</f>
        <v>#NAME?</v>
      </c>
      <c r="O38" s="42"/>
      <c r="P38" s="41" t="e">
        <f ca="1">ROUND(_xll.HPVAL($A38,P$1,$A$2,R$1,$A$3,$A$4)/1000,0)</f>
        <v>#NAME?</v>
      </c>
      <c r="Q38" s="42" t="e">
        <f ca="1">ROUND(_xll.HPVAL($A38,Q$1,$A$2,R$1,$A$3,$A$4)/1000,0)</f>
        <v>#NAME?</v>
      </c>
      <c r="R38" s="66" t="e">
        <f ca="1">ROUND(P38-Q38,0)</f>
        <v>#NAME?</v>
      </c>
      <c r="S38" s="42"/>
      <c r="T38" s="41" t="e">
        <f t="shared" ca="1" si="15"/>
        <v>#NAME?</v>
      </c>
      <c r="U38" s="42" t="e">
        <f t="shared" ca="1" si="15"/>
        <v>#NAME?</v>
      </c>
      <c r="V38" s="66" t="e">
        <f ca="1">ROUND(T38-U38,0)</f>
        <v>#NAME?</v>
      </c>
    </row>
    <row r="39" spans="1:22" ht="12" customHeight="1" x14ac:dyDescent="0.25">
      <c r="A39" s="25" t="s">
        <v>157</v>
      </c>
      <c r="B39" s="29" t="s">
        <v>154</v>
      </c>
      <c r="C39" s="38"/>
      <c r="D39" s="41" t="e">
        <f ca="1">ROUND(_xll.HPVAL($A39,D$1,$A$2,F$1,$A$3,$A$4)/1000,0)</f>
        <v>#NAME?</v>
      </c>
      <c r="E39" s="42" t="e">
        <f ca="1">ROUND(_xll.HPVAL($A39,E$1,$A$2,F$1,$A$3,$A$4)/1000,0)</f>
        <v>#NAME?</v>
      </c>
      <c r="F39" s="66" t="e">
        <f ca="1">ROUND(D39-E39,0)</f>
        <v>#NAME?</v>
      </c>
      <c r="G39" s="42"/>
      <c r="H39" s="41" t="e">
        <f ca="1">ROUND(_xll.HPVAL($A39,H$1,$A$2,J$1,$A$3,$A$4)/1000,0)</f>
        <v>#NAME?</v>
      </c>
      <c r="I39" s="42" t="e">
        <f ca="1">ROUND(_xll.HPVAL($A39,I$1,$A$2,J$1,$A$3,$A$4)/1000,0)</f>
        <v>#NAME?</v>
      </c>
      <c r="J39" s="66" t="e">
        <f ca="1">ROUND(H39-I39,0)</f>
        <v>#NAME?</v>
      </c>
      <c r="K39" s="42"/>
      <c r="L39" s="41" t="e">
        <f ca="1">ROUND(_xll.HPVAL($A39,L$1,$A$2,N$1,$A$3,$A$4)/1000,0)</f>
        <v>#NAME?</v>
      </c>
      <c r="M39" s="42" t="e">
        <f ca="1">ROUND(_xll.HPVAL($A39,M$1,$A$2,N$1,$A$3,$A$4)/1000,0)</f>
        <v>#NAME?</v>
      </c>
      <c r="N39" s="66" t="e">
        <f ca="1">ROUND(L39-M39,0)</f>
        <v>#NAME?</v>
      </c>
      <c r="O39" s="42"/>
      <c r="P39" s="41" t="e">
        <f ca="1">ROUND(_xll.HPVAL($A39,P$1,$A$2,R$1,$A$3,$A$4)/1000,0)</f>
        <v>#NAME?</v>
      </c>
      <c r="Q39" s="42" t="e">
        <f ca="1">ROUND(_xll.HPVAL($A39,Q$1,$A$2,R$1,$A$3,$A$4)/1000,0)</f>
        <v>#NAME?</v>
      </c>
      <c r="R39" s="66" t="e">
        <f ca="1">ROUND(P39-Q39,0)</f>
        <v>#NAME?</v>
      </c>
      <c r="S39" s="42"/>
      <c r="T39" s="41" t="e">
        <f t="shared" ca="1" si="15"/>
        <v>#NAME?</v>
      </c>
      <c r="U39" s="42" t="e">
        <f t="shared" ca="1" si="15"/>
        <v>#NAME?</v>
      </c>
      <c r="V39" s="66" t="e">
        <f ca="1">ROUND(T39-U39,0)</f>
        <v>#NAME?</v>
      </c>
    </row>
    <row r="40" spans="1:22" ht="12" customHeight="1" x14ac:dyDescent="0.25">
      <c r="B40" s="75" t="s">
        <v>87</v>
      </c>
      <c r="C40" s="38"/>
      <c r="D40" s="140" t="e">
        <f ca="1">SUM(D36:D39)</f>
        <v>#NAME?</v>
      </c>
      <c r="E40" s="141" t="e">
        <f ca="1">SUM(E36:E39)</f>
        <v>#NAME?</v>
      </c>
      <c r="F40" s="143" t="e">
        <f ca="1">SUM(F36:F39)</f>
        <v>#NAME?</v>
      </c>
      <c r="G40" s="42"/>
      <c r="H40" s="140" t="e">
        <f ca="1">SUM(H36:H39)</f>
        <v>#NAME?</v>
      </c>
      <c r="I40" s="141" t="e">
        <f ca="1">SUM(I36:I39)</f>
        <v>#NAME?</v>
      </c>
      <c r="J40" s="143" t="e">
        <f ca="1">SUM(J36:J39)</f>
        <v>#NAME?</v>
      </c>
      <c r="K40" s="42"/>
      <c r="L40" s="140" t="e">
        <f ca="1">SUM(L36:L39)</f>
        <v>#NAME?</v>
      </c>
      <c r="M40" s="141" t="e">
        <f ca="1">SUM(M36:M39)</f>
        <v>#NAME?</v>
      </c>
      <c r="N40" s="143" t="e">
        <f ca="1">SUM(N36:N39)</f>
        <v>#NAME?</v>
      </c>
      <c r="O40" s="42"/>
      <c r="P40" s="140" t="e">
        <f ca="1">SUM(P36:P39)</f>
        <v>#NAME?</v>
      </c>
      <c r="Q40" s="141" t="e">
        <f ca="1">SUM(Q36:Q39)</f>
        <v>#NAME?</v>
      </c>
      <c r="R40" s="143" t="e">
        <f ca="1">SUM(R36:R39)</f>
        <v>#NAME?</v>
      </c>
      <c r="S40" s="42"/>
      <c r="T40" s="140" t="e">
        <f ca="1">SUM(T36:T39)</f>
        <v>#NAME?</v>
      </c>
      <c r="U40" s="141" t="e">
        <f ca="1">SUM(U36:U39)</f>
        <v>#NAME?</v>
      </c>
      <c r="V40" s="143" t="e">
        <f ca="1">SUM(V36:V39)</f>
        <v>#NAME?</v>
      </c>
    </row>
    <row r="41" spans="1:22" ht="3" customHeight="1" x14ac:dyDescent="0.25">
      <c r="B41" s="29"/>
      <c r="C41" s="38"/>
      <c r="D41" s="41"/>
      <c r="E41" s="42"/>
      <c r="F41" s="66"/>
      <c r="G41" s="42"/>
      <c r="H41" s="41"/>
      <c r="I41" s="42"/>
      <c r="J41" s="66"/>
      <c r="K41" s="42"/>
      <c r="L41" s="41"/>
      <c r="M41" s="42"/>
      <c r="N41" s="66"/>
      <c r="O41" s="42"/>
      <c r="P41" s="41"/>
      <c r="Q41" s="42"/>
      <c r="R41" s="66"/>
      <c r="S41" s="42"/>
      <c r="T41" s="41"/>
      <c r="U41" s="42"/>
      <c r="V41" s="66"/>
    </row>
    <row r="42" spans="1:22" ht="12" customHeight="1" x14ac:dyDescent="0.25">
      <c r="A42" s="25" t="s">
        <v>82</v>
      </c>
      <c r="B42" s="29" t="s">
        <v>8</v>
      </c>
      <c r="C42" s="38"/>
      <c r="D42" s="41" t="e">
        <f ca="1">ROUND(_xll.HPVAL($A42,D$1,$A$2,F$1,$A$3,$A$4)/1000,0)</f>
        <v>#NAME?</v>
      </c>
      <c r="E42" s="42" t="e">
        <f ca="1">ROUND(_xll.HPVAL($A42,E$1,$A$2,F$1,$A$3,$A$4)/1000,0)</f>
        <v>#NAME?</v>
      </c>
      <c r="F42" s="66" t="e">
        <f ca="1">ROUND(D42-E42,0)</f>
        <v>#NAME?</v>
      </c>
      <c r="G42" s="42"/>
      <c r="H42" s="41" t="e">
        <f ca="1">ROUND(_xll.HPVAL($A42,H$1,$A$2,J$1,$A$3,$A$4)/1000,0)</f>
        <v>#NAME?</v>
      </c>
      <c r="I42" s="42" t="e">
        <f ca="1">ROUND(_xll.HPVAL($A42,I$1,$A$2,J$1,$A$3,$A$4)/1000,0)</f>
        <v>#NAME?</v>
      </c>
      <c r="J42" s="66" t="e">
        <f ca="1">ROUND(H42-I42,0)</f>
        <v>#NAME?</v>
      </c>
      <c r="K42" s="42"/>
      <c r="L42" s="41" t="e">
        <f ca="1">ROUND(_xll.HPVAL($A42,L$1,$A$2,N$1,$A$3,$A$4)/1000,0)</f>
        <v>#NAME?</v>
      </c>
      <c r="M42" s="42" t="e">
        <f ca="1">ROUND(_xll.HPVAL($A42,M$1,$A$2,N$1,$A$3,$A$4)/1000,0)</f>
        <v>#NAME?</v>
      </c>
      <c r="N42" s="66" t="e">
        <f ca="1">ROUND(L42-M42,0)</f>
        <v>#NAME?</v>
      </c>
      <c r="O42" s="42"/>
      <c r="P42" s="41" t="e">
        <f ca="1">ROUND(_xll.HPVAL($A42,P$1,$A$2,R$1,$A$3,$A$4)/1000,0)</f>
        <v>#NAME?</v>
      </c>
      <c r="Q42" s="42" t="e">
        <f ca="1">ROUND(_xll.HPVAL($A42,Q$1,$A$2,R$1,$A$3,$A$4)/1000,0)</f>
        <v>#NAME?</v>
      </c>
      <c r="R42" s="66" t="e">
        <f ca="1">ROUND(P42-Q42,0)</f>
        <v>#NAME?</v>
      </c>
      <c r="S42" s="42"/>
      <c r="T42" s="41" t="e">
        <f ca="1">D42+H42+L42+P42</f>
        <v>#NAME?</v>
      </c>
      <c r="U42" s="42" t="e">
        <f ca="1">E42+I42+M42+Q42</f>
        <v>#NAME?</v>
      </c>
      <c r="V42" s="66" t="e">
        <f ca="1">ROUND(T42-U42,0)</f>
        <v>#NAME?</v>
      </c>
    </row>
    <row r="43" spans="1:22" ht="3" customHeight="1" x14ac:dyDescent="0.25">
      <c r="B43" s="29"/>
      <c r="C43" s="38"/>
      <c r="D43" s="41"/>
      <c r="E43" s="42"/>
      <c r="F43" s="66"/>
      <c r="G43" s="42"/>
      <c r="H43" s="41"/>
      <c r="I43" s="42"/>
      <c r="J43" s="66"/>
      <c r="K43" s="42"/>
      <c r="L43" s="41"/>
      <c r="M43" s="42"/>
      <c r="N43" s="66"/>
      <c r="O43" s="42"/>
      <c r="P43" s="41"/>
      <c r="Q43" s="42"/>
      <c r="R43" s="66"/>
      <c r="S43" s="42"/>
      <c r="T43" s="41"/>
      <c r="U43" s="42"/>
      <c r="V43" s="66"/>
    </row>
    <row r="44" spans="1:22" ht="12" customHeight="1" x14ac:dyDescent="0.25">
      <c r="A44" s="25" t="s">
        <v>44</v>
      </c>
      <c r="B44" s="29" t="s">
        <v>7</v>
      </c>
      <c r="C44" s="38"/>
      <c r="D44" s="41" t="e">
        <f ca="1">ROUND(_xll.HPVAL($A44,D$1,$A$2,F$1,$A$3,$A$4)/1000,0)</f>
        <v>#NAME?</v>
      </c>
      <c r="E44" s="42" t="e">
        <f ca="1">ROUND(_xll.HPVAL($A44,E$1,$A$2,F$1,$A$3,$A$4)/1000,0)-E54</f>
        <v>#NAME?</v>
      </c>
      <c r="F44" s="66" t="e">
        <f ca="1">ROUND(D44-E44,0)</f>
        <v>#NAME?</v>
      </c>
      <c r="G44" s="42"/>
      <c r="H44" s="41" t="e">
        <f ca="1">ROUND(_xll.HPVAL($A44,H$1,$A$2,J$1,$A$3,$A$4)/1000,0)-H54</f>
        <v>#NAME?</v>
      </c>
      <c r="I44" s="42" t="e">
        <f ca="1">ROUND(_xll.HPVAL($A44,I$1,$A$2,J$1,$A$3,$A$4)/1000,0)-I54</f>
        <v>#NAME?</v>
      </c>
      <c r="J44" s="66" t="e">
        <f ca="1">ROUND(H44-I44,0)</f>
        <v>#NAME?</v>
      </c>
      <c r="K44" s="42"/>
      <c r="L44" s="41" t="e">
        <f ca="1">ROUND(_xll.HPVAL($A44,L$1,$A$2,N$1,$A$3,$A$4)/1000,0)-L54</f>
        <v>#NAME?</v>
      </c>
      <c r="M44" s="42" t="e">
        <f ca="1">ROUND(_xll.HPVAL($A44,M$1,$A$2,N$1,$A$3,$A$4)/1000,0)-M54</f>
        <v>#NAME?</v>
      </c>
      <c r="N44" s="66" t="e">
        <f ca="1">ROUND(L44-M44,0)</f>
        <v>#NAME?</v>
      </c>
      <c r="O44" s="42"/>
      <c r="P44" s="41" t="e">
        <f ca="1">ROUND(_xll.HPVAL($A44,P$1,$A$2,R$1,$A$3,$A$4)/1000,0)-P54</f>
        <v>#NAME?</v>
      </c>
      <c r="Q44" s="42" t="e">
        <f ca="1">ROUND(_xll.HPVAL($A44,Q$1,$A$2,R$1,$A$3,$A$4)/1000,0)-Q54</f>
        <v>#NAME?</v>
      </c>
      <c r="R44" s="66" t="e">
        <f ca="1">ROUND(P44-Q44,0)</f>
        <v>#NAME?</v>
      </c>
      <c r="S44" s="42"/>
      <c r="T44" s="41" t="e">
        <f ca="1">D44+H44+L44+P44</f>
        <v>#NAME?</v>
      </c>
      <c r="U44" s="42" t="e">
        <f ca="1">E44+I44+M44+Q44</f>
        <v>#NAME?</v>
      </c>
      <c r="V44" s="66" t="e">
        <f ca="1">ROUND(T44-U44,0)</f>
        <v>#NAME?</v>
      </c>
    </row>
    <row r="45" spans="1:22" ht="3" customHeight="1" x14ac:dyDescent="0.25">
      <c r="B45" s="29"/>
      <c r="C45" s="38"/>
      <c r="D45" s="41"/>
      <c r="E45" s="42"/>
      <c r="F45" s="66"/>
      <c r="G45" s="42"/>
      <c r="H45" s="41"/>
      <c r="I45" s="42"/>
      <c r="J45" s="66"/>
      <c r="K45" s="42"/>
      <c r="L45" s="41"/>
      <c r="M45" s="42"/>
      <c r="N45" s="66"/>
      <c r="O45" s="42"/>
      <c r="P45" s="41"/>
      <c r="Q45" s="42"/>
      <c r="R45" s="66"/>
      <c r="S45" s="42"/>
      <c r="T45" s="41"/>
      <c r="U45" s="42"/>
      <c r="V45" s="66"/>
    </row>
    <row r="46" spans="1:22" s="69" customFormat="1" ht="12" customHeight="1" x14ac:dyDescent="0.25">
      <c r="A46" s="25"/>
      <c r="B46" s="75" t="s">
        <v>10</v>
      </c>
      <c r="C46" s="70"/>
      <c r="D46" s="140" t="e">
        <f ca="1">SUM(D40:D44)+D20+D28+D34</f>
        <v>#NAME?</v>
      </c>
      <c r="E46" s="141" t="e">
        <f ca="1">SUM(E40:E44)+E20+E28+E34</f>
        <v>#NAME?</v>
      </c>
      <c r="F46" s="143" t="e">
        <f ca="1">SUM(F40:F44)+F20+F28+F34</f>
        <v>#NAME?</v>
      </c>
      <c r="G46" s="67"/>
      <c r="H46" s="140" t="e">
        <f ca="1">SUM(H40:H44)+H20+H28+H34</f>
        <v>#NAME?</v>
      </c>
      <c r="I46" s="141" t="e">
        <f ca="1">SUM(I40:I44)+I20+I28+I34</f>
        <v>#NAME?</v>
      </c>
      <c r="J46" s="143" t="e">
        <f ca="1">SUM(J40:J44)+J20+J28+J34</f>
        <v>#NAME?</v>
      </c>
      <c r="K46" s="67"/>
      <c r="L46" s="140" t="e">
        <f ca="1">SUM(L40:L44)+L20+L28+L34</f>
        <v>#NAME?</v>
      </c>
      <c r="M46" s="141" t="e">
        <f ca="1">SUM(M40:M44)+M20+M28+M34</f>
        <v>#NAME?</v>
      </c>
      <c r="N46" s="143" t="e">
        <f ca="1">SUM(N40:N44)+N20+N28+N34</f>
        <v>#NAME?</v>
      </c>
      <c r="O46" s="67"/>
      <c r="P46" s="140" t="e">
        <f ca="1">SUM(P40:P44)+P20+P28+P34</f>
        <v>#NAME?</v>
      </c>
      <c r="Q46" s="141" t="e">
        <f ca="1">SUM(Q40:Q44)+Q20+Q28+Q34</f>
        <v>#NAME?</v>
      </c>
      <c r="R46" s="143" t="e">
        <f ca="1">SUM(R40:R44)+R20+R28+R34</f>
        <v>#NAME?</v>
      </c>
      <c r="S46" s="67"/>
      <c r="T46" s="140" t="e">
        <f ca="1">SUM(T40:T44)+T20+T28+T34</f>
        <v>#NAME?</v>
      </c>
      <c r="U46" s="141" t="e">
        <f ca="1">SUM(U40:U44)+U20+U28+U34</f>
        <v>#NAME?</v>
      </c>
      <c r="V46" s="143" t="e">
        <f ca="1">SUM(V40:V44)+V20+V28+V34</f>
        <v>#NAME?</v>
      </c>
    </row>
    <row r="47" spans="1:22" ht="3" customHeight="1" x14ac:dyDescent="0.25">
      <c r="B47" s="29"/>
      <c r="C47" s="38"/>
      <c r="D47" s="41"/>
      <c r="E47" s="42"/>
      <c r="F47" s="66"/>
      <c r="G47" s="42"/>
      <c r="H47" s="41"/>
      <c r="I47" s="42"/>
      <c r="J47" s="66"/>
      <c r="K47" s="42"/>
      <c r="L47" s="41"/>
      <c r="M47" s="42"/>
      <c r="N47" s="66"/>
      <c r="O47" s="42"/>
      <c r="P47" s="41"/>
      <c r="Q47" s="42"/>
      <c r="R47" s="66"/>
      <c r="S47" s="42"/>
      <c r="T47" s="41"/>
      <c r="U47" s="42"/>
      <c r="V47" s="66"/>
    </row>
    <row r="48" spans="1:22" ht="12" customHeight="1" x14ac:dyDescent="0.25">
      <c r="A48" s="25" t="s">
        <v>45</v>
      </c>
      <c r="B48" s="29" t="s">
        <v>48</v>
      </c>
      <c r="C48" s="38"/>
      <c r="D48" s="41" t="e">
        <f ca="1">ROUND(_xll.HPVAL($A48,D$1,$A$2,F$1,$A$3,$A$4)/1000,0)</f>
        <v>#NAME?</v>
      </c>
      <c r="E48" s="42" t="e">
        <f ca="1">ROUND(_xll.HPVAL($A48,E$1,$A$2,F$1,$A$3,$A$4)/1000,0)</f>
        <v>#NAME?</v>
      </c>
      <c r="F48" s="66" t="e">
        <f ca="1">ROUND(D48-E48,0)</f>
        <v>#NAME?</v>
      </c>
      <c r="G48" s="42"/>
      <c r="H48" s="41" t="e">
        <f ca="1">ROUND(_xll.HPVAL($A48,H$1,$A$2,J$1,$A$3,$A$4)/1000,0)</f>
        <v>#NAME?</v>
      </c>
      <c r="I48" s="42" t="e">
        <f ca="1">ROUND(_xll.HPVAL($A48,I$1,$A$2,J$1,$A$3,$A$4)/1000,0)</f>
        <v>#NAME?</v>
      </c>
      <c r="J48" s="66" t="e">
        <f ca="1">ROUND(H48-I48,0)</f>
        <v>#NAME?</v>
      </c>
      <c r="K48" s="42"/>
      <c r="L48" s="41" t="e">
        <f ca="1">ROUND(_xll.HPVAL($A48,L$1,$A$2,N$1,$A$3,$A$4)/1000,0)</f>
        <v>#NAME?</v>
      </c>
      <c r="M48" s="42" t="e">
        <f ca="1">ROUND(_xll.HPVAL($A48,M$1,$A$2,N$1,$A$3,$A$4)/1000,0)</f>
        <v>#NAME?</v>
      </c>
      <c r="N48" s="66" t="e">
        <f ca="1">ROUND(L48-M48,0)</f>
        <v>#NAME?</v>
      </c>
      <c r="O48" s="42"/>
      <c r="P48" s="41" t="e">
        <f ca="1">ROUND(_xll.HPVAL($A48,P$1,$A$2,R$1,$A$3,$A$4)/1000,0)</f>
        <v>#NAME?</v>
      </c>
      <c r="Q48" s="42" t="e">
        <f ca="1">ROUND(_xll.HPVAL($A48,Q$1,$A$2,R$1,$A$3,$A$4)/1000,0)</f>
        <v>#NAME?</v>
      </c>
      <c r="R48" s="66" t="e">
        <f ca="1">ROUND(P48-Q48,0)</f>
        <v>#NAME?</v>
      </c>
      <c r="S48" s="42"/>
      <c r="T48" s="41" t="e">
        <f ca="1">D48+H48+L48+P48</f>
        <v>#NAME?</v>
      </c>
      <c r="U48" s="42" t="e">
        <f ca="1">E48+I48+M48+Q48</f>
        <v>#NAME?</v>
      </c>
      <c r="V48" s="66" t="e">
        <f ca="1">ROUND(T48-U48,0)</f>
        <v>#NAME?</v>
      </c>
    </row>
    <row r="49" spans="1:22" ht="3" customHeight="1" x14ac:dyDescent="0.25">
      <c r="B49" s="29"/>
      <c r="C49" s="38"/>
      <c r="D49" s="41"/>
      <c r="E49" s="42"/>
      <c r="F49" s="66"/>
      <c r="G49" s="42"/>
      <c r="H49" s="41"/>
      <c r="I49" s="42"/>
      <c r="J49" s="66"/>
      <c r="K49" s="42"/>
      <c r="L49" s="41"/>
      <c r="M49" s="42"/>
      <c r="N49" s="66"/>
      <c r="O49" s="42"/>
      <c r="P49" s="41"/>
      <c r="Q49" s="42"/>
      <c r="R49" s="66"/>
      <c r="S49" s="42"/>
      <c r="T49" s="41"/>
      <c r="U49" s="42"/>
      <c r="V49" s="66"/>
    </row>
    <row r="50" spans="1:22" ht="12" customHeight="1" x14ac:dyDescent="0.25">
      <c r="A50" s="25" t="s">
        <v>46</v>
      </c>
      <c r="B50" s="29" t="s">
        <v>18</v>
      </c>
      <c r="C50" s="38"/>
      <c r="D50" s="41" t="e">
        <f ca="1">ROUND(_xll.HPVAL($A50,D$1,$A$2,F$1,$A$3,$A$4)/1000,0)-D52</f>
        <v>#NAME?</v>
      </c>
      <c r="E50" s="42" t="e">
        <f ca="1">ROUND(_xll.HPVAL($A50,E$1,$A$2,F$1,$A$3,$A$4)/1000,0)-E52</f>
        <v>#NAME?</v>
      </c>
      <c r="F50" s="66" t="e">
        <f ca="1">ROUND(D50-E50,0)</f>
        <v>#NAME?</v>
      </c>
      <c r="G50" s="65"/>
      <c r="H50" s="41" t="e">
        <f ca="1">ROUND(_xll.HPVAL($A50,H$1,$A$2,J$1,$A$3,$A$4)/1000,0)-H52</f>
        <v>#NAME?</v>
      </c>
      <c r="I50" s="42" t="e">
        <f ca="1">ROUND(_xll.HPVAL($A50,I$1,$A$2,J$1,$A$3,$A$4)/1000,0)-I52</f>
        <v>#NAME?</v>
      </c>
      <c r="J50" s="66" t="e">
        <f ca="1">ROUND(H50-I50,0)</f>
        <v>#NAME?</v>
      </c>
      <c r="K50" s="65"/>
      <c r="L50" s="41" t="e">
        <f ca="1">ROUND(_xll.HPVAL($A50,L$1,$A$2,N$1,$A$3,$A$4)/1000,0)-L52</f>
        <v>#NAME?</v>
      </c>
      <c r="M50" s="42" t="e">
        <f ca="1">ROUND(_xll.HPVAL($A50,M$1,$A$2,N$1,$A$3,$A$4)/1000,0)-M52</f>
        <v>#NAME?</v>
      </c>
      <c r="N50" s="66" t="e">
        <f ca="1">ROUND(L50-M50,0)</f>
        <v>#NAME?</v>
      </c>
      <c r="O50" s="65"/>
      <c r="P50" s="41" t="e">
        <f ca="1">ROUND(_xll.HPVAL($A50,P$1,$A$2,R$1,$A$3,$A$4)/1000,0)-P52</f>
        <v>#NAME?</v>
      </c>
      <c r="Q50" s="42" t="e">
        <f ca="1">ROUND(_xll.HPVAL($A50,Q$1,$A$2,R$1,$A$3,$A$4)/1000,0)-Q52</f>
        <v>#NAME?</v>
      </c>
      <c r="R50" s="66" t="e">
        <f ca="1">ROUND(P50-Q50,0)</f>
        <v>#NAME?</v>
      </c>
      <c r="S50" s="65"/>
      <c r="T50" s="41" t="e">
        <f ca="1">D50+H50+L50+P50</f>
        <v>#NAME?</v>
      </c>
      <c r="U50" s="42" t="e">
        <f ca="1">E50+I50+M50+Q50</f>
        <v>#NAME?</v>
      </c>
      <c r="V50" s="66" t="e">
        <f ca="1">ROUND(T50-U50,0)</f>
        <v>#NAME?</v>
      </c>
    </row>
    <row r="51" spans="1:22" ht="3" customHeight="1" x14ac:dyDescent="0.25">
      <c r="B51" s="29"/>
      <c r="C51" s="38"/>
      <c r="D51" s="41"/>
      <c r="E51" s="42"/>
      <c r="F51" s="66"/>
      <c r="G51" s="42"/>
      <c r="H51" s="41"/>
      <c r="I51" s="42"/>
      <c r="J51" s="66"/>
      <c r="K51" s="42"/>
      <c r="L51" s="41"/>
      <c r="M51" s="42"/>
      <c r="N51" s="66"/>
      <c r="O51" s="42"/>
      <c r="P51" s="41"/>
      <c r="Q51" s="42"/>
      <c r="R51" s="66"/>
      <c r="S51" s="42"/>
      <c r="T51" s="41"/>
      <c r="U51" s="42"/>
      <c r="V51" s="66"/>
    </row>
    <row r="52" spans="1:22" ht="12" customHeight="1" x14ac:dyDescent="0.25">
      <c r="A52" s="25" t="s">
        <v>46</v>
      </c>
      <c r="B52" s="29" t="s">
        <v>60</v>
      </c>
      <c r="C52" s="38"/>
      <c r="D52" s="41" t="e">
        <f ca="1">-ROUND(_xll.HPVAL($A52,D$1,"cap_chrg",F$1,$A$3,$A$4)/1000,0)</f>
        <v>#NAME?</v>
      </c>
      <c r="E52" s="42" t="e">
        <f ca="1">-ROUND(_xll.HPVAL($A52,E$1,"cap_chrg",F$1,$A$3,$A$4)/1000,0)</f>
        <v>#NAME?</v>
      </c>
      <c r="F52" s="66" t="e">
        <f ca="1">ROUND(D52-E52,0)</f>
        <v>#NAME?</v>
      </c>
      <c r="G52" s="42"/>
      <c r="H52" s="41" t="e">
        <f ca="1">-ROUND(_xll.HPVAL($A52,H$1,"cap_chrg",J$1,$A$3,$A$4)/1000,0)</f>
        <v>#NAME?</v>
      </c>
      <c r="I52" s="42" t="e">
        <f ca="1">-ROUND(_xll.HPVAL($A52,I$1,"cap_chrg",J$1,$A$3,$A$4)/1000,0)</f>
        <v>#NAME?</v>
      </c>
      <c r="J52" s="66" t="e">
        <f ca="1">ROUND(H52-I52,0)</f>
        <v>#NAME?</v>
      </c>
      <c r="K52" s="42"/>
      <c r="L52" s="41" t="e">
        <f ca="1">-ROUND(_xll.HPVAL($A52,L$1,"cap_chrg",N$1,$A$3,$A$4)/1000,0)</f>
        <v>#NAME?</v>
      </c>
      <c r="M52" s="42" t="e">
        <f ca="1">-ROUND(_xll.HPVAL($A52,M$1,"cap_chrg",N$1,$A$3,$A$4)/1000,0)</f>
        <v>#NAME?</v>
      </c>
      <c r="N52" s="66" t="e">
        <f ca="1">ROUND(L52-M52,0)</f>
        <v>#NAME?</v>
      </c>
      <c r="O52" s="42"/>
      <c r="P52" s="41" t="e">
        <f ca="1">-ROUND(_xll.HPVAL($A52,P$1,"cap_chrg",R$1,$A$3,$A$4)/1000,0)</f>
        <v>#NAME?</v>
      </c>
      <c r="Q52" s="42" t="e">
        <f ca="1">-ROUND(_xll.HPVAL($A52,Q$1,"cap_chrg",R$1,$A$3,$A$4)/1000,0)</f>
        <v>#NAME?</v>
      </c>
      <c r="R52" s="66" t="e">
        <f ca="1">ROUND(P52-Q52,0)</f>
        <v>#NAME?</v>
      </c>
      <c r="S52" s="42"/>
      <c r="T52" s="41" t="e">
        <f ca="1">D52+H52+L52+P52</f>
        <v>#NAME?</v>
      </c>
      <c r="U52" s="42" t="e">
        <f ca="1">E52+I52+M52+Q52</f>
        <v>#NAME?</v>
      </c>
      <c r="V52" s="66" t="e">
        <f ca="1">ROUND(T52-U52,0)</f>
        <v>#NAME?</v>
      </c>
    </row>
    <row r="53" spans="1:22" ht="3" customHeight="1" x14ac:dyDescent="0.25">
      <c r="B53" s="29"/>
      <c r="C53" s="38"/>
      <c r="D53" s="41"/>
      <c r="E53" s="42"/>
      <c r="F53" s="66"/>
      <c r="G53" s="42"/>
      <c r="H53" s="41"/>
      <c r="I53" s="42"/>
      <c r="J53" s="66"/>
      <c r="K53" s="42"/>
      <c r="L53" s="41"/>
      <c r="M53" s="42"/>
      <c r="N53" s="66"/>
      <c r="O53" s="42"/>
      <c r="P53" s="41"/>
      <c r="Q53" s="42"/>
      <c r="R53" s="66"/>
      <c r="S53" s="42"/>
      <c r="T53" s="41"/>
      <c r="U53" s="42"/>
      <c r="V53" s="66"/>
    </row>
    <row r="54" spans="1:22" ht="12" customHeight="1" x14ac:dyDescent="0.25">
      <c r="A54" s="25" t="s">
        <v>44</v>
      </c>
      <c r="B54" s="29" t="s">
        <v>19</v>
      </c>
      <c r="C54" s="38"/>
      <c r="D54" s="41"/>
      <c r="E54" s="42" t="e">
        <f ca="1">ROUND(_xll.HPVAL($A54,E$1,"gross_margin",F$1,$A$3,$A$4)/1000,0)</f>
        <v>#NAME?</v>
      </c>
      <c r="F54" s="66" t="e">
        <f ca="1">ROUND(D54-E54,0)</f>
        <v>#NAME?</v>
      </c>
      <c r="G54" s="42"/>
      <c r="H54" s="41" t="e">
        <f ca="1">ROUND(_xll.HPVAL($A54,H$1,"gross_margin",J$1,$A$3,$A$4)/1000,0)</f>
        <v>#NAME?</v>
      </c>
      <c r="I54" s="42" t="e">
        <f ca="1">ROUND(_xll.HPVAL($A54,I$1,"gross_margin",J$1,$A$3,$A$4)/1000,0)</f>
        <v>#NAME?</v>
      </c>
      <c r="J54" s="66" t="e">
        <f ca="1">ROUND(H54-I54,0)</f>
        <v>#NAME?</v>
      </c>
      <c r="K54" s="42"/>
      <c r="L54" s="41" t="e">
        <f ca="1">ROUND(_xll.HPVAL($A54,L$1,"gross_margin",N$1,$A$3,$A$4)/1000,0)</f>
        <v>#NAME?</v>
      </c>
      <c r="M54" s="42" t="e">
        <f ca="1">ROUND(_xll.HPVAL($A54,M$1,"gross_margin",N$1,$A$3,$A$4)/1000,0)</f>
        <v>#NAME?</v>
      </c>
      <c r="N54" s="66" t="e">
        <f ca="1">ROUND(L54-M54,0)</f>
        <v>#NAME?</v>
      </c>
      <c r="O54" s="42"/>
      <c r="P54" s="41" t="e">
        <f ca="1">ROUND(_xll.HPVAL($A54,P$1,"gross_margin",R$1,$A$3,$A$4)/1000,0)</f>
        <v>#NAME?</v>
      </c>
      <c r="Q54" s="42" t="e">
        <f ca="1">ROUND(_xll.HPVAL($A54,Q$1,"gross_margin",R$1,$A$3,$A$4)/1000,0)</f>
        <v>#NAME?</v>
      </c>
      <c r="R54" s="66" t="e">
        <f ca="1">ROUND(P54-Q54,0)</f>
        <v>#NAME?</v>
      </c>
      <c r="S54" s="42"/>
      <c r="T54" s="41" t="e">
        <f ca="1">D54+H54+L54+P54</f>
        <v>#NAME?</v>
      </c>
      <c r="U54" s="42" t="e">
        <f ca="1">E54+I54+M54+Q54</f>
        <v>#NAME?</v>
      </c>
      <c r="V54" s="66" t="e">
        <f ca="1">ROUND(T54-U54,0)</f>
        <v>#NAME?</v>
      </c>
    </row>
    <row r="55" spans="1:22" ht="3" customHeight="1" x14ac:dyDescent="0.25">
      <c r="B55" s="29"/>
      <c r="C55" s="38"/>
      <c r="D55" s="41"/>
      <c r="E55" s="42"/>
      <c r="F55" s="66"/>
      <c r="G55" s="42"/>
      <c r="H55" s="41"/>
      <c r="I55" s="42"/>
      <c r="J55" s="66"/>
      <c r="K55" s="42"/>
      <c r="L55" s="41"/>
      <c r="M55" s="42"/>
      <c r="N55" s="66"/>
      <c r="O55" s="42"/>
      <c r="P55" s="41"/>
      <c r="Q55" s="42"/>
      <c r="R55" s="66"/>
      <c r="S55" s="42"/>
      <c r="T55" s="41"/>
      <c r="U55" s="42"/>
      <c r="V55" s="66"/>
    </row>
    <row r="56" spans="1:22" ht="12" customHeight="1" x14ac:dyDescent="0.25">
      <c r="B56" s="75" t="s">
        <v>65</v>
      </c>
      <c r="C56" s="38"/>
      <c r="D56" s="140" t="e">
        <f ca="1">SUM(D46:D54)</f>
        <v>#NAME?</v>
      </c>
      <c r="E56" s="141" t="e">
        <f ca="1">SUM(E46:E54)</f>
        <v>#NAME?</v>
      </c>
      <c r="F56" s="143" t="e">
        <f ca="1">SUM(F46:F54)</f>
        <v>#NAME?</v>
      </c>
      <c r="G56" s="42"/>
      <c r="H56" s="140" t="e">
        <f ca="1">SUM(H46:H54)</f>
        <v>#NAME?</v>
      </c>
      <c r="I56" s="141" t="e">
        <f ca="1">SUM(I46:I54)</f>
        <v>#NAME?</v>
      </c>
      <c r="J56" s="143" t="e">
        <f ca="1">SUM(J46:J54)</f>
        <v>#NAME?</v>
      </c>
      <c r="K56" s="42"/>
      <c r="L56" s="140" t="e">
        <f ca="1">SUM(L46:L54)</f>
        <v>#NAME?</v>
      </c>
      <c r="M56" s="141" t="e">
        <f ca="1">SUM(M46:M54)</f>
        <v>#NAME?</v>
      </c>
      <c r="N56" s="143" t="e">
        <f ca="1">SUM(N46:N54)</f>
        <v>#NAME?</v>
      </c>
      <c r="O56" s="42"/>
      <c r="P56" s="140" t="e">
        <f ca="1">SUM(P46:P54)</f>
        <v>#NAME?</v>
      </c>
      <c r="Q56" s="141" t="e">
        <f ca="1">SUM(Q46:Q54)</f>
        <v>#NAME?</v>
      </c>
      <c r="R56" s="143" t="e">
        <f ca="1">SUM(R46:R54)</f>
        <v>#NAME?</v>
      </c>
      <c r="S56" s="42"/>
      <c r="T56" s="140" t="e">
        <f ca="1">SUM(T46:T54)</f>
        <v>#NAME?</v>
      </c>
      <c r="U56" s="141" t="e">
        <f ca="1">SUM(U46:U54)</f>
        <v>#NAME?</v>
      </c>
      <c r="V56" s="143" t="e">
        <f ca="1">SUM(V46:V54)</f>
        <v>#NAME?</v>
      </c>
    </row>
    <row r="57" spans="1:22" ht="3" customHeight="1" x14ac:dyDescent="0.25">
      <c r="B57" s="29"/>
      <c r="C57" s="38"/>
      <c r="D57" s="41"/>
      <c r="E57" s="42"/>
      <c r="F57" s="66"/>
      <c r="G57" s="42"/>
      <c r="H57" s="41"/>
      <c r="I57" s="42"/>
      <c r="J57" s="66"/>
      <c r="K57" s="42"/>
      <c r="L57" s="41"/>
      <c r="M57" s="42"/>
      <c r="N57" s="66"/>
      <c r="O57" s="42"/>
      <c r="P57" s="41"/>
      <c r="Q57" s="42"/>
      <c r="R57" s="66"/>
      <c r="S57" s="42"/>
      <c r="T57" s="41"/>
      <c r="U57" s="42"/>
      <c r="V57" s="66"/>
    </row>
    <row r="58" spans="1:22" ht="12" customHeight="1" x14ac:dyDescent="0.25">
      <c r="B58" s="29" t="s">
        <v>168</v>
      </c>
      <c r="C58" s="38"/>
      <c r="D58" s="41">
        <v>-1000</v>
      </c>
      <c r="E58" s="42">
        <v>-12000</v>
      </c>
      <c r="F58" s="66">
        <f>ROUND(D58-E58,0)</f>
        <v>11000</v>
      </c>
      <c r="G58" s="42"/>
      <c r="H58" s="41">
        <f>I58</f>
        <v>-8600</v>
      </c>
      <c r="I58" s="42">
        <v>-8600</v>
      </c>
      <c r="J58" s="66">
        <f>ROUND(H58-I58,0)</f>
        <v>0</v>
      </c>
      <c r="K58" s="42"/>
      <c r="L58" s="41">
        <f>M58</f>
        <v>-18900</v>
      </c>
      <c r="M58" s="42">
        <v>-18900</v>
      </c>
      <c r="N58" s="66">
        <f>ROUND(L58-M58,0)</f>
        <v>0</v>
      </c>
      <c r="O58" s="42"/>
      <c r="P58" s="41">
        <f>Q58</f>
        <v>-17500</v>
      </c>
      <c r="Q58" s="42">
        <v>-17500</v>
      </c>
      <c r="R58" s="66">
        <f>ROUND(P58-Q58,0)</f>
        <v>0</v>
      </c>
      <c r="S58" s="42"/>
      <c r="T58" s="41">
        <f>D58+H58+L58+P58</f>
        <v>-46000</v>
      </c>
      <c r="U58" s="42">
        <f>E58+I58+M58+Q58</f>
        <v>-57000</v>
      </c>
      <c r="V58" s="66">
        <f>ROUND(T58-U58,0)</f>
        <v>11000</v>
      </c>
    </row>
    <row r="59" spans="1:22" ht="3" customHeight="1" x14ac:dyDescent="0.25">
      <c r="B59" s="29"/>
      <c r="C59" s="38"/>
      <c r="D59" s="41"/>
      <c r="E59" s="42"/>
      <c r="F59" s="66"/>
      <c r="G59" s="42"/>
      <c r="H59" s="41"/>
      <c r="I59" s="42"/>
      <c r="J59" s="66"/>
      <c r="K59" s="42"/>
      <c r="L59" s="41"/>
      <c r="M59" s="42"/>
      <c r="N59" s="66"/>
      <c r="O59" s="42"/>
      <c r="P59" s="41"/>
      <c r="Q59" s="42"/>
      <c r="R59" s="66"/>
      <c r="S59" s="42"/>
      <c r="T59" s="41"/>
      <c r="U59" s="42"/>
      <c r="V59" s="66"/>
    </row>
    <row r="60" spans="1:22" ht="12" customHeight="1" x14ac:dyDescent="0.25">
      <c r="B60" s="75" t="s">
        <v>66</v>
      </c>
      <c r="C60" s="38"/>
      <c r="D60" s="95" t="e">
        <f ca="1">SUM(D56:D58)</f>
        <v>#NAME?</v>
      </c>
      <c r="E60" s="96" t="e">
        <f ca="1">SUM(E56:E58)</f>
        <v>#NAME?</v>
      </c>
      <c r="F60" s="97" t="e">
        <f ca="1">SUM(F56:F58)</f>
        <v>#NAME?</v>
      </c>
      <c r="G60" s="42"/>
      <c r="H60" s="95" t="e">
        <f ca="1">SUM(H56:H58)</f>
        <v>#NAME?</v>
      </c>
      <c r="I60" s="96" t="e">
        <f ca="1">SUM(I56:I58)</f>
        <v>#NAME?</v>
      </c>
      <c r="J60" s="97" t="e">
        <f ca="1">SUM(J56:J58)</f>
        <v>#NAME?</v>
      </c>
      <c r="K60" s="42"/>
      <c r="L60" s="95" t="e">
        <f ca="1">SUM(L56:L58)</f>
        <v>#NAME?</v>
      </c>
      <c r="M60" s="96" t="e">
        <f ca="1">SUM(M56:M58)</f>
        <v>#NAME?</v>
      </c>
      <c r="N60" s="97" t="e">
        <f ca="1">SUM(N56:N58)</f>
        <v>#NAME?</v>
      </c>
      <c r="O60" s="42"/>
      <c r="P60" s="95" t="e">
        <f ca="1">SUM(P56:P58)</f>
        <v>#NAME?</v>
      </c>
      <c r="Q60" s="96" t="e">
        <f ca="1">SUM(Q56:Q58)</f>
        <v>#NAME?</v>
      </c>
      <c r="R60" s="97" t="e">
        <f ca="1">SUM(R56:R58)</f>
        <v>#NAME?</v>
      </c>
      <c r="S60" s="42"/>
      <c r="T60" s="95" t="e">
        <f ca="1">SUM(T56:T58)</f>
        <v>#NAME?</v>
      </c>
      <c r="U60" s="96" t="e">
        <f ca="1">SUM(U56:U58)</f>
        <v>#NAME?</v>
      </c>
      <c r="V60" s="97" t="e">
        <f ca="1">SUM(V56:V58)</f>
        <v>#NAME?</v>
      </c>
    </row>
    <row r="61" spans="1:22" s="38" customFormat="1" ht="3" customHeight="1" x14ac:dyDescent="0.25">
      <c r="A61" s="25"/>
      <c r="B61" s="48"/>
      <c r="C61" s="36"/>
      <c r="D61" s="49"/>
      <c r="E61" s="50"/>
      <c r="F61" s="51"/>
      <c r="G61" s="42"/>
      <c r="H61" s="49"/>
      <c r="I61" s="50"/>
      <c r="J61" s="51"/>
      <c r="K61" s="42"/>
      <c r="L61" s="49"/>
      <c r="M61" s="50"/>
      <c r="N61" s="51"/>
      <c r="O61" s="42"/>
      <c r="P61" s="49"/>
      <c r="Q61" s="50"/>
      <c r="R61" s="51"/>
      <c r="S61" s="42"/>
      <c r="T61" s="49"/>
      <c r="U61" s="50"/>
      <c r="V61" s="51"/>
    </row>
    <row r="62" spans="1:22" ht="13.5" x14ac:dyDescent="0.25">
      <c r="B62" s="55"/>
      <c r="D62" s="44"/>
      <c r="E62" s="44"/>
      <c r="F62" s="44"/>
      <c r="G62" s="44"/>
      <c r="H62" s="44"/>
      <c r="I62" s="44"/>
      <c r="J62" s="44"/>
      <c r="K62" s="44"/>
      <c r="L62" s="44"/>
      <c r="M62" s="44"/>
      <c r="N62" s="44"/>
      <c r="O62" s="44"/>
      <c r="P62" s="44"/>
      <c r="Q62" s="44"/>
      <c r="R62" s="44"/>
      <c r="S62" s="44"/>
      <c r="T62" s="44"/>
      <c r="U62" s="44"/>
      <c r="V62" s="44"/>
    </row>
    <row r="63" spans="1:22" x14ac:dyDescent="0.25">
      <c r="D63" s="44"/>
      <c r="E63" s="44"/>
      <c r="F63" s="44"/>
      <c r="G63" s="44"/>
      <c r="H63" s="44"/>
      <c r="I63" s="44"/>
      <c r="J63" s="44"/>
      <c r="K63" s="44"/>
      <c r="L63" s="44"/>
      <c r="M63" s="44"/>
      <c r="N63" s="44"/>
      <c r="O63" s="44"/>
      <c r="P63" s="44"/>
      <c r="Q63" s="44"/>
      <c r="R63" s="44"/>
      <c r="S63" s="44"/>
      <c r="T63" s="44"/>
      <c r="U63" s="44"/>
      <c r="V63" s="44"/>
    </row>
    <row r="64" spans="1:22" x14ac:dyDescent="0.25">
      <c r="D64" s="44"/>
      <c r="E64" s="44"/>
      <c r="F64" s="44"/>
      <c r="G64" s="44"/>
      <c r="H64" s="44"/>
      <c r="I64" s="44"/>
      <c r="J64" s="44"/>
      <c r="K64" s="44"/>
      <c r="L64" s="44"/>
      <c r="M64" s="44"/>
      <c r="N64" s="44"/>
      <c r="O64" s="44"/>
      <c r="P64" s="44"/>
      <c r="Q64" s="44"/>
      <c r="R64" s="44"/>
      <c r="S64" s="44"/>
      <c r="T64" s="44"/>
      <c r="U64" s="44"/>
      <c r="V64" s="44"/>
    </row>
    <row r="65" spans="4:22" x14ac:dyDescent="0.25">
      <c r="D65" s="44"/>
      <c r="E65" s="44"/>
      <c r="F65" s="44"/>
      <c r="G65" s="44"/>
      <c r="H65" s="44"/>
      <c r="I65" s="44"/>
      <c r="J65" s="44"/>
      <c r="K65" s="44"/>
      <c r="L65" s="44"/>
      <c r="M65" s="44"/>
      <c r="N65" s="44"/>
      <c r="O65" s="44"/>
      <c r="P65" s="44"/>
      <c r="Q65" s="44"/>
      <c r="R65" s="44"/>
      <c r="S65" s="44"/>
      <c r="T65" s="44"/>
      <c r="U65" s="44"/>
      <c r="V65" s="44"/>
    </row>
    <row r="66" spans="4:22" x14ac:dyDescent="0.25">
      <c r="D66" s="44"/>
      <c r="E66" s="44"/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4"/>
      <c r="U66" s="44"/>
      <c r="V66" s="44"/>
    </row>
    <row r="67" spans="4:22" x14ac:dyDescent="0.25">
      <c r="D67" s="44"/>
      <c r="E67" s="44"/>
      <c r="F67" s="44"/>
      <c r="G67" s="44"/>
      <c r="H67" s="44"/>
      <c r="I67" s="44"/>
      <c r="J67" s="44"/>
      <c r="K67" s="44"/>
      <c r="L67" s="44"/>
      <c r="M67" s="44"/>
      <c r="N67" s="44"/>
      <c r="O67" s="44"/>
      <c r="P67" s="44"/>
      <c r="Q67" s="44"/>
      <c r="R67" s="44"/>
      <c r="S67" s="44"/>
      <c r="T67" s="44"/>
      <c r="U67" s="44"/>
      <c r="V67" s="44"/>
    </row>
    <row r="68" spans="4:22" x14ac:dyDescent="0.25">
      <c r="D68" s="44"/>
      <c r="E68" s="44"/>
      <c r="F68" s="44"/>
      <c r="G68" s="44"/>
      <c r="H68" s="44"/>
      <c r="I68" s="44"/>
      <c r="J68" s="44"/>
      <c r="K68" s="44"/>
      <c r="L68" s="44"/>
      <c r="M68" s="44"/>
      <c r="N68" s="44"/>
      <c r="O68" s="44"/>
      <c r="P68" s="44"/>
      <c r="Q68" s="44"/>
      <c r="R68" s="44"/>
      <c r="S68" s="44"/>
      <c r="T68" s="44"/>
      <c r="U68" s="44"/>
      <c r="V68" s="44"/>
    </row>
    <row r="69" spans="4:22" x14ac:dyDescent="0.25">
      <c r="D69" s="44"/>
      <c r="E69" s="44"/>
      <c r="F69" s="44"/>
      <c r="G69" s="44"/>
      <c r="H69" s="44"/>
      <c r="I69" s="44"/>
      <c r="J69" s="44"/>
      <c r="K69" s="44"/>
      <c r="L69" s="44"/>
      <c r="M69" s="44"/>
      <c r="N69" s="44"/>
      <c r="O69" s="44"/>
      <c r="P69" s="44"/>
      <c r="Q69" s="44"/>
      <c r="R69" s="44"/>
      <c r="S69" s="44"/>
      <c r="T69" s="44"/>
      <c r="U69" s="44"/>
      <c r="V69" s="44"/>
    </row>
    <row r="70" spans="4:22" x14ac:dyDescent="0.25">
      <c r="D70" s="44"/>
      <c r="E70" s="44"/>
      <c r="F70" s="44"/>
      <c r="G70" s="44"/>
      <c r="H70" s="44"/>
      <c r="I70" s="44"/>
      <c r="J70" s="44"/>
      <c r="K70" s="44"/>
      <c r="L70" s="44"/>
      <c r="M70" s="44"/>
      <c r="N70" s="44"/>
      <c r="O70" s="44"/>
      <c r="P70" s="44"/>
      <c r="Q70" s="44"/>
      <c r="R70" s="44"/>
      <c r="S70" s="44"/>
      <c r="T70" s="44"/>
      <c r="U70" s="44"/>
      <c r="V70" s="44"/>
    </row>
    <row r="71" spans="4:22" x14ac:dyDescent="0.25"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</row>
    <row r="72" spans="4:22" x14ac:dyDescent="0.25">
      <c r="D72" s="44"/>
      <c r="E72" s="44"/>
      <c r="F72" s="44"/>
      <c r="G72" s="44"/>
      <c r="H72" s="44"/>
      <c r="I72" s="44"/>
      <c r="J72" s="44"/>
      <c r="K72" s="44"/>
      <c r="L72" s="44"/>
      <c r="M72" s="44"/>
      <c r="N72" s="44"/>
      <c r="O72" s="44"/>
      <c r="P72" s="44"/>
      <c r="Q72" s="44"/>
      <c r="R72" s="44"/>
      <c r="S72" s="44"/>
      <c r="T72" s="44"/>
      <c r="U72" s="44"/>
      <c r="V72" s="44"/>
    </row>
    <row r="73" spans="4:22" x14ac:dyDescent="0.25">
      <c r="D73" s="44"/>
      <c r="E73" s="44"/>
      <c r="F73" s="44"/>
      <c r="G73" s="44"/>
      <c r="H73" s="44"/>
      <c r="I73" s="44"/>
      <c r="J73" s="44"/>
      <c r="K73" s="44"/>
      <c r="L73" s="44"/>
      <c r="M73" s="44"/>
      <c r="N73" s="44"/>
      <c r="O73" s="44"/>
      <c r="P73" s="44"/>
      <c r="Q73" s="44"/>
      <c r="R73" s="44"/>
      <c r="S73" s="44"/>
      <c r="T73" s="44"/>
      <c r="U73" s="44"/>
      <c r="V73" s="44"/>
    </row>
    <row r="74" spans="4:22" x14ac:dyDescent="0.25">
      <c r="D74" s="44"/>
      <c r="E74" s="44"/>
      <c r="F74" s="44"/>
      <c r="G74" s="44"/>
      <c r="H74" s="44"/>
      <c r="I74" s="44"/>
      <c r="J74" s="44"/>
      <c r="K74" s="44"/>
      <c r="L74" s="44"/>
      <c r="M74" s="44"/>
      <c r="N74" s="44"/>
      <c r="O74" s="44"/>
      <c r="P74" s="44"/>
      <c r="Q74" s="44"/>
      <c r="R74" s="44"/>
      <c r="S74" s="44"/>
      <c r="T74" s="44"/>
      <c r="U74" s="44"/>
      <c r="V74" s="44"/>
    </row>
    <row r="75" spans="4:22" x14ac:dyDescent="0.25">
      <c r="D75" s="44"/>
      <c r="E75" s="44"/>
      <c r="F75" s="44"/>
      <c r="G75" s="44"/>
      <c r="H75" s="44"/>
      <c r="I75" s="44"/>
      <c r="J75" s="44"/>
      <c r="K75" s="44"/>
      <c r="L75" s="44"/>
      <c r="M75" s="44"/>
      <c r="N75" s="44"/>
      <c r="O75" s="44"/>
      <c r="P75" s="44"/>
      <c r="Q75" s="44"/>
      <c r="R75" s="44"/>
      <c r="S75" s="44"/>
      <c r="T75" s="44"/>
      <c r="U75" s="44"/>
      <c r="V75" s="44"/>
    </row>
    <row r="76" spans="4:22" x14ac:dyDescent="0.25">
      <c r="D76" s="44"/>
      <c r="E76" s="44"/>
      <c r="F76" s="44"/>
      <c r="G76" s="44"/>
      <c r="H76" s="44"/>
      <c r="I76" s="44"/>
      <c r="J76" s="44"/>
      <c r="K76" s="44"/>
      <c r="L76" s="44"/>
      <c r="M76" s="44"/>
      <c r="N76" s="44"/>
      <c r="O76" s="44"/>
      <c r="P76" s="44"/>
      <c r="Q76" s="44"/>
      <c r="R76" s="44"/>
      <c r="S76" s="44"/>
      <c r="T76" s="44"/>
      <c r="U76" s="44"/>
      <c r="V76" s="44"/>
    </row>
    <row r="77" spans="4:22" x14ac:dyDescent="0.25">
      <c r="D77" s="44"/>
      <c r="E77" s="44"/>
      <c r="F77" s="44"/>
      <c r="G77" s="44"/>
      <c r="H77" s="44"/>
      <c r="I77" s="44"/>
      <c r="J77" s="44"/>
      <c r="K77" s="44"/>
      <c r="L77" s="44"/>
      <c r="M77" s="44"/>
      <c r="N77" s="44"/>
      <c r="O77" s="44"/>
      <c r="P77" s="44"/>
      <c r="Q77" s="44"/>
      <c r="R77" s="44"/>
      <c r="S77" s="44"/>
      <c r="T77" s="44"/>
      <c r="U77" s="44"/>
      <c r="V77" s="44"/>
    </row>
    <row r="78" spans="4:22" x14ac:dyDescent="0.25">
      <c r="D78" s="44"/>
      <c r="E78" s="44"/>
      <c r="F78" s="44"/>
      <c r="G78" s="44"/>
      <c r="H78" s="44"/>
      <c r="I78" s="44"/>
      <c r="J78" s="44"/>
      <c r="K78" s="44"/>
      <c r="L78" s="44"/>
      <c r="M78" s="44"/>
      <c r="N78" s="44"/>
      <c r="O78" s="44"/>
      <c r="P78" s="44"/>
      <c r="Q78" s="44"/>
      <c r="R78" s="44"/>
      <c r="S78" s="44"/>
      <c r="T78" s="44"/>
      <c r="U78" s="44"/>
      <c r="V78" s="44"/>
    </row>
    <row r="79" spans="4:22" x14ac:dyDescent="0.25">
      <c r="D79" s="44"/>
      <c r="E79" s="44"/>
      <c r="F79" s="44"/>
      <c r="G79" s="44"/>
      <c r="H79" s="44"/>
      <c r="I79" s="44"/>
      <c r="J79" s="44"/>
      <c r="K79" s="44"/>
      <c r="L79" s="44"/>
      <c r="M79" s="44"/>
      <c r="N79" s="44"/>
      <c r="O79" s="44"/>
      <c r="P79" s="44"/>
      <c r="Q79" s="44"/>
      <c r="R79" s="44"/>
      <c r="S79" s="44"/>
      <c r="T79" s="44"/>
      <c r="U79" s="44"/>
      <c r="V79" s="44"/>
    </row>
    <row r="80" spans="4:22" x14ac:dyDescent="0.25"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44"/>
      <c r="O80" s="44"/>
      <c r="P80" s="44"/>
      <c r="Q80" s="44"/>
      <c r="R80" s="44"/>
      <c r="S80" s="44"/>
      <c r="T80" s="44"/>
      <c r="U80" s="44"/>
      <c r="V80" s="44"/>
    </row>
    <row r="81" spans="4:22" x14ac:dyDescent="0.25">
      <c r="D81" s="44"/>
      <c r="E81" s="44"/>
      <c r="F81" s="44"/>
      <c r="G81" s="44"/>
      <c r="H81" s="44"/>
      <c r="I81" s="44"/>
      <c r="J81" s="44"/>
      <c r="K81" s="44"/>
      <c r="L81" s="44"/>
      <c r="M81" s="44"/>
      <c r="N81" s="44"/>
      <c r="O81" s="44"/>
      <c r="P81" s="44"/>
      <c r="Q81" s="44"/>
      <c r="R81" s="44"/>
      <c r="S81" s="44"/>
      <c r="T81" s="44"/>
      <c r="U81" s="44"/>
      <c r="V81" s="44"/>
    </row>
    <row r="82" spans="4:22" x14ac:dyDescent="0.25">
      <c r="D82" s="44"/>
      <c r="E82" s="44"/>
      <c r="F82" s="44"/>
      <c r="G82" s="44"/>
      <c r="H82" s="44"/>
      <c r="I82" s="44"/>
      <c r="J82" s="44"/>
      <c r="K82" s="44"/>
      <c r="L82" s="44"/>
      <c r="M82" s="44"/>
      <c r="N82" s="44"/>
      <c r="O82" s="44"/>
      <c r="P82" s="44"/>
      <c r="Q82" s="44"/>
      <c r="R82" s="44"/>
      <c r="S82" s="44"/>
      <c r="T82" s="44"/>
      <c r="U82" s="44"/>
      <c r="V82" s="44"/>
    </row>
    <row r="83" spans="4:22" x14ac:dyDescent="0.25">
      <c r="D83" s="44"/>
      <c r="E83" s="44"/>
      <c r="F83" s="44"/>
      <c r="G83" s="44"/>
      <c r="H83" s="44"/>
      <c r="I83" s="44"/>
      <c r="J83" s="44"/>
      <c r="K83" s="44"/>
      <c r="L83" s="44"/>
      <c r="M83" s="44"/>
      <c r="N83" s="44"/>
      <c r="O83" s="44"/>
      <c r="P83" s="44"/>
      <c r="Q83" s="44"/>
      <c r="R83" s="44"/>
      <c r="S83" s="44"/>
      <c r="T83" s="44"/>
      <c r="U83" s="44"/>
      <c r="V83" s="44"/>
    </row>
    <row r="84" spans="4:22" x14ac:dyDescent="0.25">
      <c r="D84" s="44"/>
      <c r="E84" s="44"/>
      <c r="F84" s="44"/>
      <c r="G84" s="44"/>
      <c r="H84" s="44"/>
      <c r="I84" s="44"/>
      <c r="J84" s="44"/>
      <c r="K84" s="44"/>
      <c r="L84" s="44"/>
      <c r="M84" s="44"/>
      <c r="N84" s="44"/>
      <c r="O84" s="44"/>
      <c r="P84" s="44"/>
      <c r="Q84" s="44"/>
      <c r="R84" s="44"/>
      <c r="S84" s="44"/>
      <c r="T84" s="44"/>
      <c r="U84" s="44"/>
      <c r="V84" s="44"/>
    </row>
    <row r="85" spans="4:22" x14ac:dyDescent="0.25">
      <c r="D85" s="44"/>
      <c r="E85" s="44"/>
      <c r="F85" s="44"/>
      <c r="G85" s="44"/>
      <c r="H85" s="44"/>
      <c r="I85" s="44"/>
      <c r="J85" s="44"/>
      <c r="K85" s="44"/>
      <c r="L85" s="44"/>
      <c r="M85" s="44"/>
      <c r="N85" s="44"/>
      <c r="O85" s="44"/>
      <c r="P85" s="44"/>
      <c r="Q85" s="44"/>
      <c r="R85" s="44"/>
      <c r="S85" s="44"/>
      <c r="T85" s="44"/>
      <c r="U85" s="44"/>
      <c r="V85" s="44"/>
    </row>
    <row r="86" spans="4:22" x14ac:dyDescent="0.25"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 s="44"/>
      <c r="R86" s="44"/>
      <c r="S86" s="44"/>
      <c r="T86" s="44"/>
      <c r="U86" s="44"/>
      <c r="V86" s="44"/>
    </row>
  </sheetData>
  <mergeCells count="8">
    <mergeCell ref="T6:V6"/>
    <mergeCell ref="B2:V2"/>
    <mergeCell ref="B3:V3"/>
    <mergeCell ref="B4:V4"/>
    <mergeCell ref="D6:F6"/>
    <mergeCell ref="H6:J6"/>
    <mergeCell ref="L6:N6"/>
    <mergeCell ref="P6:R6"/>
  </mergeCells>
  <printOptions horizontalCentered="1"/>
  <pageMargins left="0.1" right="0.1" top="0.25" bottom="0.5" header="0.25" footer="0.25"/>
  <pageSetup scale="94" orientation="landscape" verticalDpi="300" r:id="rId1"/>
  <headerFooter alignWithMargins="0">
    <oddFooter>&amp;L&amp;8&amp;A
&amp;D &amp;T&amp;R&amp;8&amp;F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60"/>
  <sheetViews>
    <sheetView workbookViewId="0">
      <selection sqref="A1:K1"/>
    </sheetView>
  </sheetViews>
  <sheetFormatPr defaultRowHeight="12.75" x14ac:dyDescent="0.25"/>
  <cols>
    <col min="1" max="1" width="23.7109375" style="27" customWidth="1"/>
    <col min="2" max="2" width="1.7109375" style="27" customWidth="1"/>
    <col min="3" max="4" width="8.7109375" style="27" customWidth="1"/>
    <col min="5" max="5" width="9.7109375" style="27" customWidth="1"/>
    <col min="6" max="11" width="8.7109375" style="27" customWidth="1"/>
    <col min="12" max="18" width="9.7109375" style="27" customWidth="1"/>
    <col min="19" max="16384" width="9.140625" style="27"/>
  </cols>
  <sheetData>
    <row r="1" spans="1:17" ht="15.75" x14ac:dyDescent="0.25">
      <c r="A1" s="378" t="s">
        <v>17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</row>
    <row r="2" spans="1:17" ht="16.5" x14ac:dyDescent="0.3">
      <c r="A2" s="379" t="s">
        <v>161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Q2" s="27" t="s">
        <v>354</v>
      </c>
    </row>
    <row r="3" spans="1:17" ht="13.5" x14ac:dyDescent="0.25">
      <c r="A3" s="380" t="s">
        <v>162</v>
      </c>
      <c r="B3" s="380"/>
      <c r="C3" s="380"/>
      <c r="D3" s="380"/>
      <c r="E3" s="380"/>
      <c r="F3" s="380"/>
      <c r="G3" s="380"/>
      <c r="H3" s="380"/>
      <c r="I3" s="380"/>
      <c r="J3" s="380"/>
      <c r="K3" s="380"/>
    </row>
    <row r="4" spans="1:17" ht="3" customHeight="1" x14ac:dyDescent="0.25">
      <c r="A4" s="38"/>
    </row>
    <row r="5" spans="1:17" ht="12.75" customHeight="1" x14ac:dyDescent="0.25">
      <c r="A5" s="28"/>
      <c r="C5" s="39"/>
      <c r="D5" s="40"/>
      <c r="E5" s="40"/>
      <c r="F5" s="40"/>
      <c r="G5" s="40"/>
      <c r="H5" s="40"/>
      <c r="I5" s="40"/>
      <c r="J5" s="40"/>
      <c r="K5" s="30"/>
    </row>
    <row r="6" spans="1:17" x14ac:dyDescent="0.25">
      <c r="A6" s="29"/>
      <c r="C6" s="36"/>
      <c r="D6" s="38"/>
      <c r="E6" s="56"/>
      <c r="F6" s="56"/>
      <c r="G6" s="38"/>
      <c r="H6" s="56" t="s">
        <v>71</v>
      </c>
      <c r="I6" s="56" t="s">
        <v>11</v>
      </c>
      <c r="J6" s="56" t="s">
        <v>13</v>
      </c>
      <c r="K6" s="57" t="s">
        <v>14</v>
      </c>
      <c r="L6" s="58"/>
      <c r="M6" s="190"/>
      <c r="N6" s="58"/>
    </row>
    <row r="7" spans="1:17" x14ac:dyDescent="0.25">
      <c r="A7" s="37" t="s">
        <v>16</v>
      </c>
      <c r="C7" s="33" t="s">
        <v>78</v>
      </c>
      <c r="D7" s="34" t="s">
        <v>139</v>
      </c>
      <c r="E7" s="34" t="s">
        <v>135</v>
      </c>
      <c r="F7" s="34" t="s">
        <v>53</v>
      </c>
      <c r="G7" s="34" t="s">
        <v>49</v>
      </c>
      <c r="H7" s="34" t="s">
        <v>21</v>
      </c>
      <c r="I7" s="34" t="s">
        <v>12</v>
      </c>
      <c r="J7" s="34" t="s">
        <v>21</v>
      </c>
      <c r="K7" s="35" t="s">
        <v>21</v>
      </c>
      <c r="L7" s="58"/>
      <c r="M7" s="58"/>
      <c r="N7" s="58"/>
    </row>
    <row r="8" spans="1:17" ht="3" customHeight="1" x14ac:dyDescent="0.25">
      <c r="A8" s="29"/>
      <c r="C8" s="36"/>
      <c r="D8" s="38"/>
      <c r="E8" s="38"/>
      <c r="F8" s="38"/>
      <c r="G8" s="38"/>
      <c r="H8" s="36"/>
      <c r="I8" s="36"/>
      <c r="J8" s="38"/>
      <c r="K8" s="131"/>
    </row>
    <row r="9" spans="1:17" ht="12" customHeight="1" x14ac:dyDescent="0.25">
      <c r="A9" s="29" t="s">
        <v>3</v>
      </c>
      <c r="C9" s="59">
        <f>GrossMargin!D10-[2]GrossMargin!D10</f>
        <v>9943</v>
      </c>
      <c r="D9" s="60">
        <f>GrossMargin!E10-[2]GrossMargin!E10</f>
        <v>0</v>
      </c>
      <c r="E9" s="60">
        <f>GrossMargin!F10-[2]GrossMargin!F10</f>
        <v>0</v>
      </c>
      <c r="F9" s="60">
        <f>GrossMargin!H10-[2]GrossMargin!G10</f>
        <v>0</v>
      </c>
      <c r="G9" s="60">
        <f>GrossMargin!I10-[2]GrossMargin!H10</f>
        <v>0</v>
      </c>
      <c r="H9" s="103">
        <f t="shared" ref="H9:H17" si="0">SUM(C9:G9)</f>
        <v>9943</v>
      </c>
      <c r="I9" s="59">
        <f>GrossMargin!K10-[2]GrossMargin!J10</f>
        <v>0</v>
      </c>
      <c r="J9" s="60">
        <v>0</v>
      </c>
      <c r="K9" s="84">
        <f t="shared" ref="K9:K17" si="1">SUM(H9:J9)</f>
        <v>9943</v>
      </c>
    </row>
    <row r="10" spans="1:17" ht="12" customHeight="1" x14ac:dyDescent="0.25">
      <c r="A10" s="29" t="s">
        <v>106</v>
      </c>
      <c r="C10" s="41">
        <f>GrossMargin!D11-[2]GrossMargin!D11</f>
        <v>32321</v>
      </c>
      <c r="D10" s="42">
        <f>GrossMargin!E11-[2]GrossMargin!E11</f>
        <v>0</v>
      </c>
      <c r="E10" s="42">
        <f>GrossMargin!F11-[2]GrossMargin!F11</f>
        <v>0</v>
      </c>
      <c r="F10" s="42">
        <f>GrossMargin!H11-[2]GrossMargin!G11</f>
        <v>0</v>
      </c>
      <c r="G10" s="42">
        <f>GrossMargin!I11-[2]GrossMargin!H11</f>
        <v>0</v>
      </c>
      <c r="H10" s="64">
        <f t="shared" si="0"/>
        <v>32321</v>
      </c>
      <c r="I10" s="41"/>
      <c r="J10" s="42">
        <v>0</v>
      </c>
      <c r="K10" s="66">
        <f t="shared" si="1"/>
        <v>32321</v>
      </c>
    </row>
    <row r="11" spans="1:17" ht="12" customHeight="1" x14ac:dyDescent="0.25">
      <c r="A11" s="29" t="s">
        <v>132</v>
      </c>
      <c r="C11" s="41">
        <f>GrossMargin!D12-[2]GrossMargin!D12</f>
        <v>3347</v>
      </c>
      <c r="D11" s="42">
        <f>GrossMargin!E12-[2]GrossMargin!E12</f>
        <v>0</v>
      </c>
      <c r="E11" s="42">
        <f>GrossMargin!F12-[2]GrossMargin!F12</f>
        <v>0</v>
      </c>
      <c r="F11" s="42">
        <f>GrossMargin!H12-[2]GrossMargin!G12</f>
        <v>0</v>
      </c>
      <c r="G11" s="42">
        <f>GrossMargin!I12-[2]GrossMargin!H12</f>
        <v>0</v>
      </c>
      <c r="H11" s="64">
        <f t="shared" si="0"/>
        <v>3347</v>
      </c>
      <c r="I11" s="41"/>
      <c r="J11" s="42">
        <v>0</v>
      </c>
      <c r="K11" s="66">
        <f t="shared" si="1"/>
        <v>3347</v>
      </c>
    </row>
    <row r="12" spans="1:17" ht="12" customHeight="1" x14ac:dyDescent="0.25">
      <c r="A12" s="29" t="s">
        <v>133</v>
      </c>
      <c r="C12" s="41">
        <f>GrossMargin!D13-[2]GrossMargin!D13</f>
        <v>427</v>
      </c>
      <c r="D12" s="42">
        <f>GrossMargin!E13-[2]GrossMargin!E13</f>
        <v>0</v>
      </c>
      <c r="E12" s="42">
        <f>GrossMargin!F13-[2]GrossMargin!F13</f>
        <v>0</v>
      </c>
      <c r="F12" s="42">
        <f>GrossMargin!H13-[2]GrossMargin!G13</f>
        <v>0</v>
      </c>
      <c r="G12" s="42">
        <f>GrossMargin!I13-[2]GrossMargin!H13</f>
        <v>0</v>
      </c>
      <c r="H12" s="64">
        <f>SUM(C12:G12)</f>
        <v>427</v>
      </c>
      <c r="I12" s="41"/>
      <c r="J12" s="42">
        <v>0</v>
      </c>
      <c r="K12" s="66">
        <f>SUM(H12:J12)</f>
        <v>427</v>
      </c>
    </row>
    <row r="13" spans="1:17" ht="12" customHeight="1" x14ac:dyDescent="0.25">
      <c r="A13" s="29" t="s">
        <v>424</v>
      </c>
      <c r="C13" s="41">
        <f>GrossMargin!D14-[2]GrossMargin!D14</f>
        <v>-2397</v>
      </c>
      <c r="D13" s="42">
        <f>GrossMargin!E14-[2]GrossMargin!E14</f>
        <v>0</v>
      </c>
      <c r="E13" s="81">
        <f>GrossMargin!F14-[2]GrossMargin!F14</f>
        <v>0</v>
      </c>
      <c r="F13" s="42">
        <f>GrossMargin!H14-[2]GrossMargin!G14</f>
        <v>0</v>
      </c>
      <c r="G13" s="42">
        <f>GrossMargin!I14-[2]GrossMargin!H14</f>
        <v>0</v>
      </c>
      <c r="H13" s="64">
        <f t="shared" si="0"/>
        <v>-2397</v>
      </c>
      <c r="I13" s="41"/>
      <c r="J13" s="42">
        <v>0</v>
      </c>
      <c r="K13" s="66">
        <f t="shared" si="1"/>
        <v>-2397</v>
      </c>
    </row>
    <row r="14" spans="1:17" ht="12" customHeight="1" x14ac:dyDescent="0.25">
      <c r="A14" s="29" t="s">
        <v>5</v>
      </c>
      <c r="C14" s="41">
        <f>GrossMargin!D15-[2]GrossMargin!D15</f>
        <v>140</v>
      </c>
      <c r="D14" s="42">
        <f>GrossMargin!E15-[2]GrossMargin!E15</f>
        <v>54</v>
      </c>
      <c r="E14" s="42">
        <f>GrossMargin!F15-[2]GrossMargin!F15</f>
        <v>11</v>
      </c>
      <c r="F14" s="42">
        <f>GrossMargin!H15-[2]GrossMargin!G15</f>
        <v>0</v>
      </c>
      <c r="G14" s="42">
        <f>GrossMargin!I15-[2]GrossMargin!H15</f>
        <v>0</v>
      </c>
      <c r="H14" s="64">
        <f t="shared" si="0"/>
        <v>205</v>
      </c>
      <c r="I14" s="41"/>
      <c r="J14" s="42">
        <v>0</v>
      </c>
      <c r="K14" s="66">
        <f t="shared" si="1"/>
        <v>205</v>
      </c>
    </row>
    <row r="15" spans="1:17" ht="12" customHeight="1" x14ac:dyDescent="0.25">
      <c r="A15" s="29" t="s">
        <v>155</v>
      </c>
      <c r="C15" s="41">
        <f>GrossMargin!D16-[2]GrossMargin!D16</f>
        <v>68</v>
      </c>
      <c r="D15" s="42">
        <f>GrossMargin!E16-[2]GrossMargin!E16</f>
        <v>0</v>
      </c>
      <c r="E15" s="42">
        <f>GrossMargin!F16-[2]GrossMargin!F16</f>
        <v>0</v>
      </c>
      <c r="F15" s="42">
        <f>GrossMargin!H16-[2]GrossMargin!G16</f>
        <v>0</v>
      </c>
      <c r="G15" s="42">
        <f>GrossMargin!I16-[2]GrossMargin!H16</f>
        <v>0</v>
      </c>
      <c r="H15" s="64">
        <f t="shared" si="0"/>
        <v>68</v>
      </c>
      <c r="I15" s="41"/>
      <c r="J15" s="42">
        <v>0</v>
      </c>
      <c r="K15" s="66">
        <f t="shared" si="1"/>
        <v>68</v>
      </c>
    </row>
    <row r="16" spans="1:17" ht="12" customHeight="1" x14ac:dyDescent="0.25">
      <c r="A16" s="29" t="s">
        <v>107</v>
      </c>
      <c r="C16" s="41">
        <f>GrossMargin!D17-[2]GrossMargin!D17</f>
        <v>87</v>
      </c>
      <c r="D16" s="42">
        <f>GrossMargin!E17-[2]GrossMargin!E17</f>
        <v>0</v>
      </c>
      <c r="E16" s="42">
        <f>GrossMargin!F17-[2]GrossMargin!F17</f>
        <v>0</v>
      </c>
      <c r="F16" s="42">
        <f>GrossMargin!H17-[2]GrossMargin!G17</f>
        <v>0</v>
      </c>
      <c r="G16" s="42">
        <f>GrossMargin!I17-[2]GrossMargin!H17</f>
        <v>0</v>
      </c>
      <c r="H16" s="64">
        <f t="shared" si="0"/>
        <v>87</v>
      </c>
      <c r="I16" s="41"/>
      <c r="J16" s="42">
        <v>0</v>
      </c>
      <c r="K16" s="66">
        <f t="shared" si="1"/>
        <v>87</v>
      </c>
    </row>
    <row r="17" spans="1:11" ht="12" customHeight="1" x14ac:dyDescent="0.25">
      <c r="A17" s="29" t="s">
        <v>156</v>
      </c>
      <c r="C17" s="41">
        <f>GrossMargin!D18-[2]GrossMargin!D18</f>
        <v>0</v>
      </c>
      <c r="D17" s="42">
        <f>GrossMargin!E18-[2]GrossMargin!E18</f>
        <v>0</v>
      </c>
      <c r="E17" s="42">
        <f>GrossMargin!F18-[2]GrossMargin!F18</f>
        <v>0</v>
      </c>
      <c r="F17" s="42">
        <f>GrossMargin!H18-[2]GrossMargin!G18</f>
        <v>0</v>
      </c>
      <c r="G17" s="42">
        <f>GrossMargin!I18-[2]GrossMargin!H18</f>
        <v>0</v>
      </c>
      <c r="H17" s="64">
        <f t="shared" si="0"/>
        <v>0</v>
      </c>
      <c r="I17" s="41"/>
      <c r="J17" s="42">
        <v>0</v>
      </c>
      <c r="K17" s="66">
        <f t="shared" si="1"/>
        <v>0</v>
      </c>
    </row>
    <row r="18" spans="1:11" ht="3" customHeight="1" x14ac:dyDescent="0.25">
      <c r="A18" s="29"/>
      <c r="C18" s="41"/>
      <c r="D18" s="42"/>
      <c r="E18" s="42"/>
      <c r="F18" s="42"/>
      <c r="G18" s="42"/>
      <c r="H18" s="64"/>
      <c r="I18" s="41"/>
      <c r="J18" s="42"/>
      <c r="K18" s="43"/>
    </row>
    <row r="19" spans="1:11" ht="12" customHeight="1" x14ac:dyDescent="0.25">
      <c r="A19" s="106" t="s">
        <v>6</v>
      </c>
      <c r="B19" s="91"/>
      <c r="C19" s="99">
        <f t="shared" ref="C19:K19" si="2">SUM(C9:C17)</f>
        <v>43936</v>
      </c>
      <c r="D19" s="100">
        <f t="shared" si="2"/>
        <v>54</v>
      </c>
      <c r="E19" s="100">
        <f t="shared" si="2"/>
        <v>11</v>
      </c>
      <c r="F19" s="100">
        <f t="shared" si="2"/>
        <v>0</v>
      </c>
      <c r="G19" s="100">
        <f t="shared" si="2"/>
        <v>0</v>
      </c>
      <c r="H19" s="99">
        <f t="shared" si="2"/>
        <v>44001</v>
      </c>
      <c r="I19" s="99"/>
      <c r="J19" s="100">
        <f t="shared" si="2"/>
        <v>0</v>
      </c>
      <c r="K19" s="101">
        <f t="shared" si="2"/>
        <v>44001</v>
      </c>
    </row>
    <row r="20" spans="1:11" ht="3" customHeight="1" x14ac:dyDescent="0.25">
      <c r="A20" s="29"/>
      <c r="C20" s="41"/>
      <c r="D20" s="42"/>
      <c r="E20" s="42"/>
      <c r="F20" s="42"/>
      <c r="G20" s="42"/>
      <c r="H20" s="64"/>
      <c r="I20" s="41"/>
      <c r="J20" s="42"/>
      <c r="K20" s="43"/>
    </row>
    <row r="21" spans="1:11" ht="12" customHeight="1" x14ac:dyDescent="0.25">
      <c r="A21" s="29" t="s">
        <v>88</v>
      </c>
      <c r="C21" s="41">
        <f>GrossMargin!D22-[2]GrossMargin!D22</f>
        <v>0</v>
      </c>
      <c r="D21" s="42">
        <f>GrossMargin!E22-[2]GrossMargin!E22</f>
        <v>0</v>
      </c>
      <c r="E21" s="42">
        <f>GrossMargin!F22-[2]GrossMargin!F22</f>
        <v>0</v>
      </c>
      <c r="F21" s="42">
        <f>GrossMargin!H22-[2]GrossMargin!G22</f>
        <v>0</v>
      </c>
      <c r="G21" s="42">
        <f>GrossMargin!I22-[2]GrossMargin!H22</f>
        <v>0</v>
      </c>
      <c r="H21" s="64">
        <f t="shared" ref="H21:H26" si="3">SUM(C21:G21)</f>
        <v>0</v>
      </c>
      <c r="I21" s="41"/>
      <c r="J21" s="42">
        <v>0</v>
      </c>
      <c r="K21" s="66">
        <f t="shared" ref="K21:K26" si="4">SUM(H21:J21)</f>
        <v>0</v>
      </c>
    </row>
    <row r="22" spans="1:11" ht="12" customHeight="1" x14ac:dyDescent="0.25">
      <c r="A22" s="29" t="s">
        <v>89</v>
      </c>
      <c r="C22" s="41">
        <f>GrossMargin!D23-[2]GrossMargin!D23</f>
        <v>0</v>
      </c>
      <c r="D22" s="42">
        <f>GrossMargin!E23-[2]GrossMargin!E23</f>
        <v>6</v>
      </c>
      <c r="E22" s="42">
        <f>GrossMargin!F23-[2]GrossMargin!F23</f>
        <v>0</v>
      </c>
      <c r="F22" s="42">
        <f>GrossMargin!H23-[2]GrossMargin!G23</f>
        <v>0</v>
      </c>
      <c r="G22" s="42">
        <f>GrossMargin!I23-[2]GrossMargin!H23</f>
        <v>0</v>
      </c>
      <c r="H22" s="64">
        <f t="shared" si="3"/>
        <v>6</v>
      </c>
      <c r="I22" s="41"/>
      <c r="J22" s="42">
        <v>0</v>
      </c>
      <c r="K22" s="66">
        <f t="shared" si="4"/>
        <v>6</v>
      </c>
    </row>
    <row r="23" spans="1:11" ht="12" customHeight="1" x14ac:dyDescent="0.25">
      <c r="A23" s="29" t="s">
        <v>271</v>
      </c>
      <c r="C23" s="41">
        <f>GrossMargin!D24-[2]GrossMargin!D24</f>
        <v>-232</v>
      </c>
      <c r="D23" s="42">
        <f>GrossMargin!E24-[2]GrossMargin!E24</f>
        <v>0</v>
      </c>
      <c r="E23" s="42">
        <f>GrossMargin!F24-[2]GrossMargin!F24</f>
        <v>0</v>
      </c>
      <c r="F23" s="42">
        <f>GrossMargin!H24-[2]GrossMargin!G24</f>
        <v>0</v>
      </c>
      <c r="G23" s="42">
        <f>GrossMargin!I24-[2]GrossMargin!H24</f>
        <v>0</v>
      </c>
      <c r="H23" s="64">
        <f t="shared" si="3"/>
        <v>-232</v>
      </c>
      <c r="I23" s="41"/>
      <c r="J23" s="42">
        <v>0</v>
      </c>
      <c r="K23" s="66">
        <f t="shared" si="4"/>
        <v>-232</v>
      </c>
    </row>
    <row r="24" spans="1:11" ht="12" customHeight="1" x14ac:dyDescent="0.25">
      <c r="A24" s="29" t="s">
        <v>104</v>
      </c>
      <c r="C24" s="41">
        <f>GrossMargin!D25-[2]GrossMargin!D25</f>
        <v>0</v>
      </c>
      <c r="D24" s="42">
        <f>GrossMargin!E25-[2]GrossMargin!E25</f>
        <v>0</v>
      </c>
      <c r="E24" s="42">
        <f>GrossMargin!F25-[2]GrossMargin!F25</f>
        <v>0</v>
      </c>
      <c r="F24" s="42">
        <f>GrossMargin!H25-[2]GrossMargin!G25</f>
        <v>0</v>
      </c>
      <c r="G24" s="42">
        <f>GrossMargin!I25-[2]GrossMargin!H25</f>
        <v>0</v>
      </c>
      <c r="H24" s="64">
        <f t="shared" si="3"/>
        <v>0</v>
      </c>
      <c r="I24" s="41"/>
      <c r="J24" s="42">
        <v>0</v>
      </c>
      <c r="K24" s="66">
        <f t="shared" si="4"/>
        <v>0</v>
      </c>
    </row>
    <row r="25" spans="1:11" ht="12" customHeight="1" x14ac:dyDescent="0.25">
      <c r="A25" s="29" t="s">
        <v>425</v>
      </c>
      <c r="C25" s="41">
        <f>GrossMargin!D26-[2]GrossMargin!D26</f>
        <v>0</v>
      </c>
      <c r="D25" s="42">
        <f>GrossMargin!E26-[2]GrossMargin!E26</f>
        <v>-517</v>
      </c>
      <c r="E25" s="42">
        <f>GrossMargin!F26-[2]GrossMargin!F26</f>
        <v>-400</v>
      </c>
      <c r="F25" s="42">
        <f>GrossMargin!H26-[2]GrossMargin!G26</f>
        <v>0</v>
      </c>
      <c r="G25" s="42">
        <f>GrossMargin!I26-[2]GrossMargin!H26</f>
        <v>0</v>
      </c>
      <c r="H25" s="64">
        <f t="shared" si="3"/>
        <v>-917</v>
      </c>
      <c r="I25" s="41"/>
      <c r="J25" s="42">
        <v>0</v>
      </c>
      <c r="K25" s="66">
        <f t="shared" si="4"/>
        <v>-917</v>
      </c>
    </row>
    <row r="26" spans="1:11" ht="12" customHeight="1" x14ac:dyDescent="0.25">
      <c r="A26" s="29" t="s">
        <v>0</v>
      </c>
      <c r="C26" s="41">
        <f>GrossMargin!D27-[2]GrossMargin!D27</f>
        <v>0</v>
      </c>
      <c r="D26" s="42">
        <f>GrossMargin!E27-[2]GrossMargin!E27</f>
        <v>0</v>
      </c>
      <c r="E26" s="42">
        <f>GrossMargin!F27-[2]GrossMargin!F27</f>
        <v>0</v>
      </c>
      <c r="F26" s="42">
        <f>GrossMargin!H27-[2]GrossMargin!G29</f>
        <v>0</v>
      </c>
      <c r="G26" s="42">
        <f>GrossMargin!I27-[2]GrossMargin!H29</f>
        <v>0</v>
      </c>
      <c r="H26" s="64">
        <f t="shared" si="3"/>
        <v>0</v>
      </c>
      <c r="I26" s="41"/>
      <c r="J26" s="42">
        <v>0</v>
      </c>
      <c r="K26" s="66">
        <f t="shared" si="4"/>
        <v>0</v>
      </c>
    </row>
    <row r="27" spans="1:11" ht="3" customHeight="1" x14ac:dyDescent="0.25">
      <c r="A27" s="29"/>
      <c r="C27" s="41"/>
      <c r="D27" s="42"/>
      <c r="E27" s="42"/>
      <c r="F27" s="42"/>
      <c r="G27" s="42"/>
      <c r="H27" s="64"/>
      <c r="I27" s="41"/>
      <c r="J27" s="42"/>
      <c r="K27" s="43"/>
    </row>
    <row r="28" spans="1:11" ht="12" customHeight="1" x14ac:dyDescent="0.25">
      <c r="A28" s="106" t="s">
        <v>1</v>
      </c>
      <c r="B28" s="91"/>
      <c r="C28" s="99">
        <f t="shared" ref="C28:K28" si="5">SUM(C21:C26)</f>
        <v>-232</v>
      </c>
      <c r="D28" s="100">
        <f t="shared" si="5"/>
        <v>-511</v>
      </c>
      <c r="E28" s="100">
        <f t="shared" si="5"/>
        <v>-400</v>
      </c>
      <c r="F28" s="100">
        <f t="shared" si="5"/>
        <v>0</v>
      </c>
      <c r="G28" s="100">
        <f t="shared" si="5"/>
        <v>0</v>
      </c>
      <c r="H28" s="99">
        <f t="shared" si="5"/>
        <v>-1143</v>
      </c>
      <c r="I28" s="99"/>
      <c r="J28" s="100">
        <f t="shared" si="5"/>
        <v>0</v>
      </c>
      <c r="K28" s="101">
        <f t="shared" si="5"/>
        <v>-1143</v>
      </c>
    </row>
    <row r="29" spans="1:11" ht="3" customHeight="1" x14ac:dyDescent="0.25">
      <c r="A29" s="29"/>
      <c r="C29" s="41"/>
      <c r="D29" s="42"/>
      <c r="E29" s="42"/>
      <c r="F29" s="42"/>
      <c r="G29" s="42"/>
      <c r="H29" s="64"/>
      <c r="I29" s="41"/>
      <c r="J29" s="42"/>
      <c r="K29" s="43"/>
    </row>
    <row r="30" spans="1:11" ht="12" customHeight="1" x14ac:dyDescent="0.25">
      <c r="A30" s="29" t="s">
        <v>67</v>
      </c>
      <c r="C30" s="41">
        <f>GrossMargin!D31-[2]GrossMargin!D31</f>
        <v>0</v>
      </c>
      <c r="D30" s="42">
        <f>GrossMargin!E31-[2]GrossMargin!E31</f>
        <v>0</v>
      </c>
      <c r="E30" s="81">
        <f>GrossMargin!F31-[2]GrossMargin!F31</f>
        <v>0</v>
      </c>
      <c r="F30" s="42">
        <f>GrossMargin!H31-[2]GrossMargin!G31</f>
        <v>12600</v>
      </c>
      <c r="G30" s="42">
        <f>GrossMargin!I31-[2]GrossMargin!H31</f>
        <v>0</v>
      </c>
      <c r="H30" s="64">
        <f>SUM(C30:G30)</f>
        <v>12600</v>
      </c>
      <c r="I30" s="41"/>
      <c r="J30" s="42">
        <v>0</v>
      </c>
      <c r="K30" s="66">
        <f>SUM(H30:J30)</f>
        <v>12600</v>
      </c>
    </row>
    <row r="31" spans="1:11" ht="12" customHeight="1" x14ac:dyDescent="0.25">
      <c r="A31" s="29" t="s">
        <v>415</v>
      </c>
      <c r="C31" s="41">
        <f>GrossMargin!D32-[2]GrossMargin!D32</f>
        <v>-146</v>
      </c>
      <c r="D31" s="42">
        <f>GrossMargin!E32-[2]GrossMargin!E32</f>
        <v>0</v>
      </c>
      <c r="E31" s="42">
        <f>GrossMargin!F32-[2]GrossMargin!F32</f>
        <v>15029</v>
      </c>
      <c r="F31" s="42">
        <f>GrossMargin!H32-[2]GrossMargin!G32</f>
        <v>-13147</v>
      </c>
      <c r="G31" s="42">
        <f>GrossMargin!I32-[2]GrossMargin!H32</f>
        <v>0</v>
      </c>
      <c r="H31" s="64">
        <f>SUM(C31:G31)</f>
        <v>1736</v>
      </c>
      <c r="I31" s="41"/>
      <c r="J31" s="42">
        <v>0</v>
      </c>
      <c r="K31" s="66">
        <f>SUM(H31:J31)</f>
        <v>1736</v>
      </c>
    </row>
    <row r="32" spans="1:11" ht="12" customHeight="1" x14ac:dyDescent="0.25">
      <c r="A32" s="29" t="s">
        <v>416</v>
      </c>
      <c r="C32" s="41">
        <f>GrossMargin!D33-[2]GrossMargin!D33</f>
        <v>5185</v>
      </c>
      <c r="D32" s="42">
        <f>GrossMargin!E33-[2]GrossMargin!E33</f>
        <v>0</v>
      </c>
      <c r="E32" s="42">
        <f>GrossMargin!F33-[2]GrossMargin!F36</f>
        <v>0</v>
      </c>
      <c r="F32" s="42">
        <f>GrossMargin!H33-[2]GrossMargin!G36</f>
        <v>0</v>
      </c>
      <c r="G32" s="42">
        <f>GrossMargin!I33-[2]GrossMargin!H36</f>
        <v>0</v>
      </c>
      <c r="H32" s="64">
        <f>SUM(C32:G32)</f>
        <v>5185</v>
      </c>
      <c r="I32" s="41"/>
      <c r="J32" s="42">
        <v>0</v>
      </c>
      <c r="K32" s="66">
        <f>SUM(H32:J32)</f>
        <v>5185</v>
      </c>
    </row>
    <row r="33" spans="1:11" ht="3" customHeight="1" x14ac:dyDescent="0.25">
      <c r="A33" s="45"/>
      <c r="C33" s="46"/>
      <c r="D33" s="47"/>
      <c r="E33" s="47"/>
      <c r="F33" s="47"/>
      <c r="G33" s="47"/>
      <c r="H33" s="46"/>
      <c r="I33" s="46"/>
      <c r="J33" s="47"/>
      <c r="K33" s="132"/>
    </row>
    <row r="34" spans="1:11" s="90" customFormat="1" ht="12" customHeight="1" x14ac:dyDescent="0.25">
      <c r="A34" s="106" t="s">
        <v>86</v>
      </c>
      <c r="B34" s="91"/>
      <c r="C34" s="99">
        <f t="shared" ref="C34:K34" si="6">SUM(C30:C32)</f>
        <v>5039</v>
      </c>
      <c r="D34" s="100">
        <f t="shared" si="6"/>
        <v>0</v>
      </c>
      <c r="E34" s="100">
        <f t="shared" si="6"/>
        <v>15029</v>
      </c>
      <c r="F34" s="100">
        <f t="shared" si="6"/>
        <v>-547</v>
      </c>
      <c r="G34" s="100">
        <f t="shared" si="6"/>
        <v>0</v>
      </c>
      <c r="H34" s="99">
        <f t="shared" si="6"/>
        <v>19521</v>
      </c>
      <c r="I34" s="99"/>
      <c r="J34" s="100">
        <f t="shared" si="6"/>
        <v>0</v>
      </c>
      <c r="K34" s="101">
        <f t="shared" si="6"/>
        <v>19521</v>
      </c>
    </row>
    <row r="35" spans="1:11" ht="3" customHeight="1" x14ac:dyDescent="0.25">
      <c r="A35" s="29"/>
      <c r="C35" s="104"/>
      <c r="D35" s="81"/>
      <c r="E35" s="81"/>
      <c r="F35" s="81"/>
      <c r="G35" s="81"/>
      <c r="H35" s="105"/>
      <c r="I35" s="104"/>
      <c r="J35" s="81"/>
      <c r="K35" s="133"/>
    </row>
    <row r="36" spans="1:11" ht="12" customHeight="1" x14ac:dyDescent="0.25">
      <c r="A36" s="29" t="s">
        <v>9</v>
      </c>
      <c r="C36" s="41">
        <f>GrossMargin!D37-[2]GrossMargin!D37</f>
        <v>0</v>
      </c>
      <c r="D36" s="42">
        <f>GrossMargin!E37-[2]GrossMargin!E37</f>
        <v>-750</v>
      </c>
      <c r="E36" s="81">
        <f>GrossMargin!F37-[2]GrossMargin!F37</f>
        <v>0</v>
      </c>
      <c r="F36" s="42">
        <f>GrossMargin!H37-[2]GrossMargin!G37</f>
        <v>0</v>
      </c>
      <c r="G36" s="42">
        <f>GrossMargin!I37-[2]GrossMargin!H37</f>
        <v>0</v>
      </c>
      <c r="H36" s="64">
        <f>SUM(C36:G36)</f>
        <v>-750</v>
      </c>
      <c r="I36" s="41"/>
      <c r="J36" s="42">
        <v>0</v>
      </c>
      <c r="K36" s="66">
        <f>SUM(H36:J36)</f>
        <v>-750</v>
      </c>
    </row>
    <row r="37" spans="1:11" ht="12" customHeight="1" x14ac:dyDescent="0.25">
      <c r="A37" s="29" t="s">
        <v>440</v>
      </c>
      <c r="C37" s="41">
        <f>GrossMargin!D38-[2]GrossMargin!D38</f>
        <v>0</v>
      </c>
      <c r="D37" s="42">
        <f>GrossMargin!E38-[2]GrossMargin!E38</f>
        <v>167</v>
      </c>
      <c r="E37" s="81">
        <f>GrossMargin!F38-[2]GrossMargin!F38</f>
        <v>0</v>
      </c>
      <c r="F37" s="42">
        <f>GrossMargin!H38-[2]GrossMargin!G38</f>
        <v>0</v>
      </c>
      <c r="G37" s="42">
        <f>GrossMargin!I38-[2]GrossMargin!H38</f>
        <v>0</v>
      </c>
      <c r="H37" s="64">
        <f>SUM(C37:G37)</f>
        <v>167</v>
      </c>
      <c r="I37" s="41"/>
      <c r="J37" s="42">
        <v>0</v>
      </c>
      <c r="K37" s="66">
        <f>SUM(H37:J37)</f>
        <v>167</v>
      </c>
    </row>
    <row r="38" spans="1:11" ht="12" customHeight="1" x14ac:dyDescent="0.25">
      <c r="A38" s="29" t="s">
        <v>180</v>
      </c>
      <c r="C38" s="41">
        <f>GrossMargin!D39-[2]GrossMargin!D39</f>
        <v>0</v>
      </c>
      <c r="D38" s="42">
        <f>GrossMargin!E39-[2]GrossMargin!E39</f>
        <v>-5704</v>
      </c>
      <c r="E38" s="81">
        <f>GrossMargin!F39-[2]GrossMargin!F39</f>
        <v>-301</v>
      </c>
      <c r="F38" s="42">
        <f>GrossMargin!H39-[2]GrossMargin!G39</f>
        <v>0</v>
      </c>
      <c r="G38" s="42">
        <f>GrossMargin!I39-[2]GrossMargin!H39</f>
        <v>0</v>
      </c>
      <c r="H38" s="64">
        <f>SUM(C38:G38)</f>
        <v>-6005</v>
      </c>
      <c r="I38" s="41"/>
      <c r="J38" s="42">
        <v>0</v>
      </c>
      <c r="K38" s="66">
        <f>SUM(H38:J38)</f>
        <v>-6005</v>
      </c>
    </row>
    <row r="39" spans="1:11" ht="12" customHeight="1" x14ac:dyDescent="0.25">
      <c r="A39" s="29" t="s">
        <v>154</v>
      </c>
      <c r="C39" s="41">
        <f>GrossMargin!D40-[2]GrossMargin!D40</f>
        <v>0</v>
      </c>
      <c r="D39" s="42">
        <f>GrossMargin!E40-[2]GrossMargin!E40</f>
        <v>8958</v>
      </c>
      <c r="E39" s="81">
        <f>GrossMargin!F40-[2]GrossMargin!F40</f>
        <v>-42</v>
      </c>
      <c r="F39" s="42">
        <f>GrossMargin!H40-[2]GrossMargin!G40</f>
        <v>0</v>
      </c>
      <c r="G39" s="42">
        <f>GrossMargin!I40-[2]GrossMargin!H40</f>
        <v>0</v>
      </c>
      <c r="H39" s="64">
        <f>SUM(C39:G39)</f>
        <v>8916</v>
      </c>
      <c r="I39" s="41"/>
      <c r="J39" s="42">
        <v>0</v>
      </c>
      <c r="K39" s="66">
        <f>SUM(H39:J39)</f>
        <v>8916</v>
      </c>
    </row>
    <row r="40" spans="1:11" x14ac:dyDescent="0.25">
      <c r="A40" s="29" t="s">
        <v>154</v>
      </c>
      <c r="B40" s="29"/>
      <c r="C40" s="135">
        <f t="shared" ref="C40:K40" si="7">SUM(C38:C39)</f>
        <v>0</v>
      </c>
      <c r="D40" s="135">
        <f t="shared" si="7"/>
        <v>3254</v>
      </c>
      <c r="E40" s="135">
        <f t="shared" si="7"/>
        <v>-343</v>
      </c>
      <c r="F40" s="135">
        <f t="shared" si="7"/>
        <v>0</v>
      </c>
      <c r="G40" s="135">
        <f t="shared" si="7"/>
        <v>0</v>
      </c>
      <c r="H40" s="248">
        <f t="shared" si="7"/>
        <v>2911</v>
      </c>
      <c r="I40" s="135"/>
      <c r="J40" s="135">
        <f t="shared" si="7"/>
        <v>0</v>
      </c>
      <c r="K40" s="249">
        <f t="shared" si="7"/>
        <v>2911</v>
      </c>
    </row>
    <row r="41" spans="1:11" ht="3" customHeight="1" x14ac:dyDescent="0.25">
      <c r="A41" s="45"/>
      <c r="C41" s="46"/>
      <c r="D41" s="47"/>
      <c r="E41" s="47"/>
      <c r="F41" s="47"/>
      <c r="G41" s="47"/>
      <c r="H41" s="46"/>
      <c r="I41" s="46"/>
      <c r="J41" s="47"/>
      <c r="K41" s="132"/>
    </row>
    <row r="42" spans="1:11" s="90" customFormat="1" ht="12" customHeight="1" x14ac:dyDescent="0.25">
      <c r="A42" s="106" t="s">
        <v>87</v>
      </c>
      <c r="B42" s="91"/>
      <c r="C42" s="99">
        <f t="shared" ref="C42:K42" si="8">SUM(C36:C39)</f>
        <v>0</v>
      </c>
      <c r="D42" s="100">
        <f t="shared" si="8"/>
        <v>2671</v>
      </c>
      <c r="E42" s="100">
        <f t="shared" si="8"/>
        <v>-343</v>
      </c>
      <c r="F42" s="100">
        <f t="shared" si="8"/>
        <v>0</v>
      </c>
      <c r="G42" s="100">
        <f t="shared" si="8"/>
        <v>0</v>
      </c>
      <c r="H42" s="99">
        <f t="shared" si="8"/>
        <v>2328</v>
      </c>
      <c r="I42" s="99"/>
      <c r="J42" s="100">
        <f t="shared" si="8"/>
        <v>0</v>
      </c>
      <c r="K42" s="101">
        <f t="shared" si="8"/>
        <v>2328</v>
      </c>
    </row>
    <row r="43" spans="1:11" ht="3" customHeight="1" x14ac:dyDescent="0.25">
      <c r="A43" s="29"/>
      <c r="C43" s="104"/>
      <c r="D43" s="81"/>
      <c r="E43" s="81"/>
      <c r="F43" s="81"/>
      <c r="G43" s="81"/>
      <c r="H43" s="105"/>
      <c r="I43" s="104"/>
      <c r="J43" s="81"/>
      <c r="K43" s="133"/>
    </row>
    <row r="44" spans="1:11" ht="12" customHeight="1" x14ac:dyDescent="0.25">
      <c r="A44" s="29" t="s">
        <v>8</v>
      </c>
      <c r="C44" s="41">
        <f>GrossMargin!D45-[2]GrossMargin!D45</f>
        <v>0</v>
      </c>
      <c r="D44" s="42">
        <f>GrossMargin!E45-[2]GrossMargin!E45</f>
        <v>0</v>
      </c>
      <c r="E44" s="42">
        <f>GrossMargin!F45-[2]GrossMargin!F45</f>
        <v>0</v>
      </c>
      <c r="F44" s="42">
        <f>GrossMargin!H45-[2]GrossMargin!G45</f>
        <v>0</v>
      </c>
      <c r="G44" s="42">
        <f>GrossMargin!I45-[2]GrossMargin!H45</f>
        <v>0</v>
      </c>
      <c r="H44" s="64">
        <f>SUM(C44:G44)</f>
        <v>0</v>
      </c>
      <c r="I44" s="41"/>
      <c r="J44" s="42">
        <v>0</v>
      </c>
      <c r="K44" s="66">
        <f>SUM(H44:J44)</f>
        <v>0</v>
      </c>
    </row>
    <row r="45" spans="1:11" ht="3" customHeight="1" x14ac:dyDescent="0.25">
      <c r="A45" s="29"/>
      <c r="C45" s="41"/>
      <c r="D45" s="42"/>
      <c r="E45" s="42"/>
      <c r="F45" s="42"/>
      <c r="G45" s="42"/>
      <c r="H45" s="64"/>
      <c r="I45" s="41"/>
      <c r="J45" s="42"/>
      <c r="K45" s="43"/>
    </row>
    <row r="46" spans="1:11" ht="12" customHeight="1" x14ac:dyDescent="0.25">
      <c r="A46" s="29" t="s">
        <v>7</v>
      </c>
      <c r="C46" s="41">
        <f>GrossMargin!D47-[2]GrossMargin!D47</f>
        <v>0</v>
      </c>
      <c r="D46" s="42">
        <f>GrossMargin!E47-[2]GrossMargin!E47</f>
        <v>0</v>
      </c>
      <c r="E46" s="42">
        <f>GrossMargin!F47-[2]GrossMargin!F47</f>
        <v>0</v>
      </c>
      <c r="F46" s="42">
        <f>GrossMargin!H47-[2]GrossMargin!G47</f>
        <v>0</v>
      </c>
      <c r="G46" s="42">
        <f>GrossMargin!I47-[2]GrossMargin!H47</f>
        <v>0</v>
      </c>
      <c r="H46" s="64">
        <f>SUM(C46:G46)</f>
        <v>0</v>
      </c>
      <c r="I46" s="41"/>
      <c r="J46" s="42">
        <v>0</v>
      </c>
      <c r="K46" s="66">
        <f>SUM(H46:J46)</f>
        <v>0</v>
      </c>
    </row>
    <row r="47" spans="1:11" ht="3" customHeight="1" x14ac:dyDescent="0.25">
      <c r="A47" s="76"/>
      <c r="C47" s="77"/>
      <c r="D47" s="67"/>
      <c r="E47" s="67"/>
      <c r="F47" s="67"/>
      <c r="G47" s="67"/>
      <c r="H47" s="46"/>
      <c r="I47" s="77"/>
      <c r="J47" s="67"/>
      <c r="K47" s="134"/>
    </row>
    <row r="48" spans="1:11" ht="12" customHeight="1" x14ac:dyDescent="0.25">
      <c r="A48" s="29" t="s">
        <v>18</v>
      </c>
      <c r="C48" s="41">
        <f>GrossMargin!D49-[2]GrossMargin!D49</f>
        <v>0</v>
      </c>
      <c r="D48" s="42">
        <f>GrossMargin!E49-[2]GrossMargin!E49</f>
        <v>0</v>
      </c>
      <c r="E48" s="42">
        <f>GrossMargin!F49-[2]GrossMargin!F49</f>
        <v>0</v>
      </c>
      <c r="F48" s="42">
        <f>GrossMargin!H49-[2]GrossMargin!G49</f>
        <v>0</v>
      </c>
      <c r="G48" s="42">
        <f>GrossMargin!I49-[2]GrossMargin!H49</f>
        <v>0</v>
      </c>
      <c r="H48" s="64">
        <f>SUM(C48:G48)</f>
        <v>0</v>
      </c>
      <c r="I48" s="41"/>
      <c r="J48" s="42">
        <v>0</v>
      </c>
      <c r="K48" s="66">
        <f>SUM(H48:J48)</f>
        <v>0</v>
      </c>
    </row>
    <row r="49" spans="1:14" ht="3" customHeight="1" x14ac:dyDescent="0.25">
      <c r="A49" s="76"/>
      <c r="C49" s="77"/>
      <c r="D49" s="67"/>
      <c r="E49" s="67"/>
      <c r="F49" s="67"/>
      <c r="G49" s="67"/>
      <c r="H49" s="46"/>
      <c r="I49" s="77"/>
      <c r="J49" s="67"/>
      <c r="K49" s="134"/>
    </row>
    <row r="50" spans="1:14" ht="12" customHeight="1" x14ac:dyDescent="0.25">
      <c r="A50" s="29" t="s">
        <v>19</v>
      </c>
      <c r="C50" s="41">
        <f>GrossMargin!D51-[2]GrossMargin!D51</f>
        <v>0</v>
      </c>
      <c r="D50" s="42">
        <f>GrossMargin!E51-[2]GrossMargin!E51</f>
        <v>0</v>
      </c>
      <c r="E50" s="42">
        <f>GrossMargin!F51-[2]GrossMargin!F51</f>
        <v>0</v>
      </c>
      <c r="F50" s="42">
        <f>GrossMargin!H51-[2]GrossMargin!G51</f>
        <v>0</v>
      </c>
      <c r="G50" s="42">
        <f>GrossMargin!I51-[2]GrossMargin!H51</f>
        <v>0</v>
      </c>
      <c r="H50" s="64">
        <f>SUM(C50:G50)</f>
        <v>0</v>
      </c>
      <c r="I50" s="41"/>
      <c r="J50" s="42">
        <v>0</v>
      </c>
      <c r="K50" s="66">
        <f>SUM(H50:J50)</f>
        <v>0</v>
      </c>
    </row>
    <row r="51" spans="1:14" ht="3" customHeight="1" x14ac:dyDescent="0.25">
      <c r="A51" s="29"/>
      <c r="C51" s="41"/>
      <c r="D51" s="42"/>
      <c r="E51" s="42"/>
      <c r="F51" s="42"/>
      <c r="G51" s="42"/>
      <c r="H51" s="64"/>
      <c r="I51" s="41"/>
      <c r="J51" s="42"/>
      <c r="K51" s="43"/>
    </row>
    <row r="52" spans="1:14" ht="12" customHeight="1" x14ac:dyDescent="0.25">
      <c r="A52" s="75" t="s">
        <v>14</v>
      </c>
      <c r="C52" s="95">
        <f>SUM(C42:C50)+C19+C28+C34</f>
        <v>48743</v>
      </c>
      <c r="D52" s="96">
        <f t="shared" ref="D52:K52" si="9">SUM(D42:D50)+D19+D28+D34</f>
        <v>2214</v>
      </c>
      <c r="E52" s="96">
        <f t="shared" si="9"/>
        <v>14297</v>
      </c>
      <c r="F52" s="96">
        <f t="shared" si="9"/>
        <v>-547</v>
      </c>
      <c r="G52" s="96">
        <f t="shared" si="9"/>
        <v>0</v>
      </c>
      <c r="H52" s="95">
        <f t="shared" si="9"/>
        <v>64707</v>
      </c>
      <c r="I52" s="95"/>
      <c r="J52" s="96">
        <f t="shared" si="9"/>
        <v>0</v>
      </c>
      <c r="K52" s="97">
        <f t="shared" si="9"/>
        <v>64707</v>
      </c>
    </row>
    <row r="53" spans="1:14" ht="3" customHeight="1" x14ac:dyDescent="0.25">
      <c r="A53" s="48"/>
      <c r="C53" s="49"/>
      <c r="D53" s="50"/>
      <c r="E53" s="50"/>
      <c r="F53" s="50"/>
      <c r="G53" s="50"/>
      <c r="H53" s="49"/>
      <c r="I53" s="49"/>
      <c r="J53" s="50"/>
      <c r="K53" s="51"/>
    </row>
    <row r="54" spans="1:14" x14ac:dyDescent="0.25">
      <c r="A54" s="27" t="s">
        <v>141</v>
      </c>
      <c r="C54" s="44"/>
      <c r="D54" s="44"/>
      <c r="E54" s="44"/>
      <c r="F54" s="44"/>
      <c r="G54" s="44"/>
      <c r="H54" s="44"/>
      <c r="I54" s="44"/>
      <c r="J54" s="44"/>
      <c r="K54" s="44"/>
    </row>
    <row r="55" spans="1:14" hidden="1" x14ac:dyDescent="0.25">
      <c r="C55" s="44"/>
      <c r="D55" s="74"/>
      <c r="E55" s="139" t="s">
        <v>76</v>
      </c>
      <c r="F55" s="40"/>
      <c r="G55" s="165"/>
      <c r="H55" s="165"/>
      <c r="I55" s="137"/>
      <c r="J55" s="42"/>
      <c r="K55" s="44"/>
      <c r="L55" s="38"/>
      <c r="M55" s="187"/>
      <c r="N55" s="38"/>
    </row>
    <row r="56" spans="1:14" hidden="1" x14ac:dyDescent="0.25">
      <c r="C56" s="44"/>
      <c r="D56" s="74"/>
      <c r="E56" s="139" t="s">
        <v>111</v>
      </c>
      <c r="F56" s="40"/>
      <c r="G56" s="165"/>
      <c r="H56" s="188"/>
      <c r="I56" s="137"/>
      <c r="J56" s="42"/>
      <c r="K56" s="44"/>
      <c r="L56" s="38"/>
      <c r="M56" s="187"/>
      <c r="N56" s="38"/>
    </row>
    <row r="57" spans="1:14" hidden="1" x14ac:dyDescent="0.25">
      <c r="C57" s="44"/>
      <c r="D57" s="74"/>
      <c r="E57" s="139" t="s">
        <v>75</v>
      </c>
      <c r="F57" s="192"/>
      <c r="G57" s="165"/>
      <c r="H57" s="188"/>
      <c r="I57" s="137"/>
      <c r="J57" s="42"/>
      <c r="K57" s="44"/>
      <c r="L57" s="38"/>
      <c r="M57" s="187"/>
      <c r="N57" s="38"/>
    </row>
    <row r="58" spans="1:14" hidden="1" x14ac:dyDescent="0.25">
      <c r="D58" s="39"/>
      <c r="E58" s="139" t="s">
        <v>77</v>
      </c>
      <c r="F58" s="40"/>
      <c r="G58" s="188"/>
      <c r="H58" s="188"/>
      <c r="I58" s="137"/>
      <c r="J58" s="38"/>
      <c r="L58" s="38"/>
      <c r="M58" s="187"/>
      <c r="N58" s="38"/>
    </row>
    <row r="59" spans="1:14" ht="4.5" hidden="1" customHeight="1" x14ac:dyDescent="0.25">
      <c r="D59" s="52"/>
      <c r="E59" s="54"/>
      <c r="F59" s="53"/>
      <c r="G59" s="53"/>
      <c r="H59" s="53"/>
      <c r="I59" s="51"/>
      <c r="J59" s="38"/>
      <c r="L59" s="38"/>
      <c r="M59" s="187"/>
      <c r="N59" s="38"/>
    </row>
    <row r="60" spans="1:14" ht="13.5" hidden="1" thickBot="1" x14ac:dyDescent="0.3">
      <c r="I60" s="138">
        <f>SUM(I55:I59)</f>
        <v>0</v>
      </c>
      <c r="J60" s="136" t="str">
        <f>IF(I60=I52,"","error")</f>
        <v/>
      </c>
      <c r="L60" s="38"/>
      <c r="M60" s="38"/>
      <c r="N60" s="38"/>
    </row>
  </sheetData>
  <mergeCells count="3">
    <mergeCell ref="A1:K1"/>
    <mergeCell ref="A2:K2"/>
    <mergeCell ref="A3:K3"/>
  </mergeCells>
  <printOptions horizontalCentered="1"/>
  <pageMargins left="0" right="0" top="0.25" bottom="0.5" header="0.25" footer="0.25"/>
  <pageSetup orientation="landscape" verticalDpi="300" r:id="rId1"/>
  <headerFooter alignWithMargins="0">
    <oddFooter>&amp;L&amp;8&amp;A
&amp;D &amp;T&amp;R&amp;8&amp;F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YTD Mgmt Summary</vt:lpstr>
      <vt:lpstr>Q1 Mgmt Summary</vt:lpstr>
      <vt:lpstr>QTD Mgmt Summary</vt:lpstr>
      <vt:lpstr>Hotlist - Identified</vt:lpstr>
      <vt:lpstr>Greensheet</vt:lpstr>
      <vt:lpstr>Old Mgmt Summary</vt:lpstr>
      <vt:lpstr>Summary YTD</vt:lpstr>
      <vt:lpstr>Summary YTD-Qtr</vt:lpstr>
      <vt:lpstr>GM-WklyChnge</vt:lpstr>
      <vt:lpstr>GrossMargin</vt:lpstr>
      <vt:lpstr>Hotlist - Completed</vt:lpstr>
      <vt:lpstr>Expenses</vt:lpstr>
      <vt:lpstr>Expense Weekly Change</vt:lpstr>
      <vt:lpstr>CapChrg-AllocExp</vt:lpstr>
      <vt:lpstr>Headcount</vt:lpstr>
      <vt:lpstr>'CapChrg-AllocExp'!Print_Area</vt:lpstr>
      <vt:lpstr>Expenses!Print_Area</vt:lpstr>
      <vt:lpstr>'GM-WklyChnge'!Print_Area</vt:lpstr>
      <vt:lpstr>Greensheet!Print_Area</vt:lpstr>
      <vt:lpstr>GrossMargin!Print_Area</vt:lpstr>
      <vt:lpstr>Headcount!Print_Area</vt:lpstr>
      <vt:lpstr>'Hotlist - Completed'!Print_Area</vt:lpstr>
      <vt:lpstr>'Hotlist - Identified'!Print_Area</vt:lpstr>
      <vt:lpstr>'Old Mgmt Summary'!Print_Area</vt:lpstr>
      <vt:lpstr>'Q1 Mgmt Summary'!Print_Area</vt:lpstr>
      <vt:lpstr>'QTD Mgmt Summary'!Print_Area</vt:lpstr>
      <vt:lpstr>'Summary YTD'!Print_Area</vt:lpstr>
      <vt:lpstr>'Summary YTD-Qtr'!Print_Area</vt:lpstr>
      <vt:lpstr>Greensheet!Print_Titles</vt:lpstr>
      <vt:lpstr>'Hotlist - Completed'!Print_Titles</vt:lpstr>
      <vt:lpstr>'Hotlist - Identified'!Print_Titles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Sayed Khoja</dc:creator>
  <cp:lastModifiedBy>Felienne</cp:lastModifiedBy>
  <cp:lastPrinted>2000-05-01T14:26:56Z</cp:lastPrinted>
  <dcterms:created xsi:type="dcterms:W3CDTF">1999-10-18T12:36:30Z</dcterms:created>
  <dcterms:modified xsi:type="dcterms:W3CDTF">2014-09-05T10:50:05Z</dcterms:modified>
</cp:coreProperties>
</file>