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7455" windowWidth="15330" windowHeight="1290" tabRatio="582" activeTab="1"/>
  </bookViews>
  <sheets>
    <sheet name="SUMMARY" sheetId="9" r:id="rId1"/>
    <sheet name="BRAINWAVE" sheetId="10" r:id="rId2"/>
    <sheet name="CONVERSION FACTORS" sheetId="11" r:id="rId3"/>
    <sheet name="BRAINWAVE CALCULATIONS" sheetId="12" r:id="rId4"/>
    <sheet name="RAW DATA" sheetId="1" r:id="rId5"/>
  </sheets>
  <definedNames>
    <definedName name="DATARANGE">'RAW DATA'!#REF!</definedName>
    <definedName name="DELETEDATA">'RAW DATA'!$C$3:$AU$58</definedName>
    <definedName name="_xlnm.Print_Area" localSheetId="1">BRAINWAVE!$E$7:$AH$118</definedName>
    <definedName name="_xlnm.Print_Area" localSheetId="3">'BRAINWAVE CALCULATIONS'!$E$7:$AC$109</definedName>
    <definedName name="_xlnm.Print_Area" localSheetId="0">SUMMARY!$B$16:$AA$244</definedName>
    <definedName name="_xlnm.Print_Titles" localSheetId="0">SUMMARY!$5:$15</definedName>
    <definedName name="VARDATA">'RAW DATA'!$A$3:$AU$58</definedName>
    <definedName name="VARDATA2">'RAW DATA'!$B$3:$AU$58</definedName>
    <definedName name="VARFINDCOLUMN">'RAW DATA'!$A$3:$AU$3</definedName>
  </definedNames>
  <calcPr calcId="152511" fullCalcOnLoad="1"/>
</workbook>
</file>

<file path=xl/calcChain.xml><?xml version="1.0" encoding="utf-8"?>
<calcChain xmlns="http://schemas.openxmlformats.org/spreadsheetml/2006/main">
  <c r="H2" i="10" l="1"/>
  <c r="N2" i="10"/>
  <c r="T2" i="10"/>
  <c r="Z2" i="10"/>
  <c r="H4" i="10"/>
  <c r="J4" i="10"/>
  <c r="N4" i="10"/>
  <c r="P4" i="10"/>
  <c r="T4" i="10"/>
  <c r="V4" i="10"/>
  <c r="Z4" i="10"/>
  <c r="AB4" i="10"/>
  <c r="H6" i="10"/>
  <c r="J6" i="10"/>
  <c r="N6" i="10"/>
  <c r="P6" i="10"/>
  <c r="T6" i="10"/>
  <c r="V6" i="10"/>
  <c r="Z6" i="10"/>
  <c r="AB6" i="10"/>
  <c r="H16" i="10"/>
  <c r="C19" i="10"/>
  <c r="H19" i="10"/>
  <c r="J19" i="10"/>
  <c r="C21" i="10"/>
  <c r="C23" i="10"/>
  <c r="C25" i="10"/>
  <c r="C27" i="10"/>
  <c r="C31" i="10"/>
  <c r="C37" i="10"/>
  <c r="C52" i="10"/>
  <c r="G52" i="10"/>
  <c r="G53" i="10"/>
  <c r="T53" i="10"/>
  <c r="U53" i="10" s="1"/>
  <c r="V53" i="10"/>
  <c r="Z53" i="10"/>
  <c r="AA53" i="10" s="1"/>
  <c r="AB53" i="10"/>
  <c r="C54" i="10"/>
  <c r="G54" i="10"/>
  <c r="G55" i="10"/>
  <c r="T55" i="10"/>
  <c r="U55" i="10" s="1"/>
  <c r="Z55" i="10"/>
  <c r="AA55" i="10"/>
  <c r="C56" i="10"/>
  <c r="G56" i="10"/>
  <c r="G57" i="10"/>
  <c r="T57" i="10"/>
  <c r="U57" i="10"/>
  <c r="V57" i="10"/>
  <c r="X57" i="10" s="1"/>
  <c r="W57" i="10"/>
  <c r="Z57" i="10"/>
  <c r="AA57" i="10" s="1"/>
  <c r="AB57" i="10"/>
  <c r="AC57" i="10" s="1"/>
  <c r="AD57" i="10"/>
  <c r="C58" i="10"/>
  <c r="G58" i="10"/>
  <c r="G59" i="10"/>
  <c r="T59" i="10"/>
  <c r="U59" i="10"/>
  <c r="Z59" i="10"/>
  <c r="AA59" i="10"/>
  <c r="C60" i="10"/>
  <c r="G60" i="10"/>
  <c r="G61" i="10"/>
  <c r="T61" i="10"/>
  <c r="U61" i="10"/>
  <c r="V61" i="10"/>
  <c r="W61" i="10"/>
  <c r="X61" i="10"/>
  <c r="Z61" i="10"/>
  <c r="AA61" i="10" s="1"/>
  <c r="AB61" i="10"/>
  <c r="AC61" i="10" s="1"/>
  <c r="G62" i="10"/>
  <c r="G63" i="10"/>
  <c r="T63" i="10"/>
  <c r="U63" i="10"/>
  <c r="V63" i="10"/>
  <c r="W63" i="10" s="1"/>
  <c r="X63" i="10"/>
  <c r="Z63" i="10"/>
  <c r="AA63" i="10" s="1"/>
  <c r="AB63" i="10"/>
  <c r="AC63" i="10"/>
  <c r="AD63" i="10"/>
  <c r="C64" i="10"/>
  <c r="G64" i="10"/>
  <c r="G65" i="10"/>
  <c r="T65" i="10"/>
  <c r="U65" i="10" s="1"/>
  <c r="Z65" i="10"/>
  <c r="AA65" i="10"/>
  <c r="G66" i="10"/>
  <c r="G67" i="10"/>
  <c r="T67" i="10"/>
  <c r="U67" i="10" s="1"/>
  <c r="V67" i="10"/>
  <c r="W67" i="10"/>
  <c r="X67" i="10"/>
  <c r="Z67" i="10"/>
  <c r="AA67" i="10" s="1"/>
  <c r="AB67" i="10"/>
  <c r="AC67" i="10" s="1"/>
  <c r="G68" i="10"/>
  <c r="G69" i="10"/>
  <c r="T69" i="10"/>
  <c r="U69" i="10"/>
  <c r="V69" i="10"/>
  <c r="Z69" i="10"/>
  <c r="AD69" i="10" s="1"/>
  <c r="AB69" i="10"/>
  <c r="AC69" i="10"/>
  <c r="C70" i="10"/>
  <c r="G70" i="10"/>
  <c r="G71" i="10"/>
  <c r="T71" i="10"/>
  <c r="U71" i="10" s="1"/>
  <c r="Z71" i="10"/>
  <c r="AA71" i="10"/>
  <c r="AB71" i="10"/>
  <c r="AD71" i="10" s="1"/>
  <c r="AC71" i="10"/>
  <c r="G72" i="10"/>
  <c r="G73" i="10"/>
  <c r="T73" i="10"/>
  <c r="X73" i="10" s="1"/>
  <c r="V73" i="10"/>
  <c r="W73" i="10"/>
  <c r="Z73" i="10"/>
  <c r="AA73" i="10"/>
  <c r="AB73" i="10"/>
  <c r="AC73" i="10" s="1"/>
  <c r="G74" i="10"/>
  <c r="G75" i="10"/>
  <c r="T75" i="10"/>
  <c r="U75" i="10"/>
  <c r="V75" i="10"/>
  <c r="X75" i="10" s="1"/>
  <c r="Z75" i="10"/>
  <c r="AA75" i="10"/>
  <c r="AB75" i="10"/>
  <c r="AC75" i="10" s="1"/>
  <c r="AD75" i="10"/>
  <c r="G76" i="10"/>
  <c r="G77" i="10"/>
  <c r="T77" i="10"/>
  <c r="U77" i="10"/>
  <c r="V77" i="10"/>
  <c r="W77" i="10" s="1"/>
  <c r="X77" i="10"/>
  <c r="Z77" i="10"/>
  <c r="AA77" i="10" s="1"/>
  <c r="AB77" i="10"/>
  <c r="AC77" i="10"/>
  <c r="AD77" i="10"/>
  <c r="G78" i="10"/>
  <c r="G79" i="10"/>
  <c r="T79" i="10"/>
  <c r="U79" i="10" s="1"/>
  <c r="V79" i="10"/>
  <c r="Z79" i="10"/>
  <c r="AA79" i="10"/>
  <c r="AB79" i="10"/>
  <c r="AC79" i="10"/>
  <c r="AD79" i="10"/>
  <c r="G80" i="10"/>
  <c r="C84" i="10"/>
  <c r="T86" i="10"/>
  <c r="V86" i="10"/>
  <c r="X86" i="10" s="1"/>
  <c r="Z86" i="10"/>
  <c r="AB86" i="10"/>
  <c r="AD86" i="10"/>
  <c r="C89" i="10"/>
  <c r="C91" i="10"/>
  <c r="C93" i="10"/>
  <c r="C95" i="10"/>
  <c r="C99" i="10"/>
  <c r="C105" i="10"/>
  <c r="E118" i="10"/>
  <c r="F2" i="12"/>
  <c r="K2" i="12"/>
  <c r="P2" i="12"/>
  <c r="R10" i="12" s="1"/>
  <c r="U2" i="12"/>
  <c r="F4" i="12"/>
  <c r="H4" i="12"/>
  <c r="H46" i="12" s="1"/>
  <c r="J46" i="12" s="1"/>
  <c r="K4" i="12"/>
  <c r="M4" i="12"/>
  <c r="P4" i="12"/>
  <c r="R4" i="12"/>
  <c r="U4" i="12"/>
  <c r="W4" i="12"/>
  <c r="F6" i="12"/>
  <c r="H6" i="12"/>
  <c r="K6" i="12"/>
  <c r="M6" i="12"/>
  <c r="P6" i="12"/>
  <c r="R6" i="12"/>
  <c r="U6" i="12"/>
  <c r="W6" i="12"/>
  <c r="C10" i="12"/>
  <c r="E10" i="12"/>
  <c r="C12" i="12"/>
  <c r="E12" i="12"/>
  <c r="C14" i="12"/>
  <c r="E14" i="12"/>
  <c r="C16" i="12"/>
  <c r="E16" i="12"/>
  <c r="C18" i="12"/>
  <c r="E18" i="12"/>
  <c r="E20" i="12"/>
  <c r="C22" i="12"/>
  <c r="E22" i="12"/>
  <c r="P22" i="12"/>
  <c r="R22" i="12"/>
  <c r="E24" i="12"/>
  <c r="E26" i="12"/>
  <c r="C28" i="12"/>
  <c r="E28" i="12"/>
  <c r="P28" i="12"/>
  <c r="R28" i="12"/>
  <c r="T28" i="12" s="1"/>
  <c r="E30" i="12"/>
  <c r="E32" i="12"/>
  <c r="E34" i="12"/>
  <c r="F34" i="12"/>
  <c r="W34" i="12"/>
  <c r="E36" i="12"/>
  <c r="E38" i="12"/>
  <c r="E39" i="12"/>
  <c r="C43" i="12"/>
  <c r="E43" i="12"/>
  <c r="H44" i="12"/>
  <c r="I44" i="12"/>
  <c r="U44" i="12"/>
  <c r="V44" i="12" s="1"/>
  <c r="W44" i="12"/>
  <c r="Y44" i="12" s="1"/>
  <c r="X44" i="12"/>
  <c r="C45" i="12"/>
  <c r="E45" i="12"/>
  <c r="K45" i="12"/>
  <c r="L45" i="12" s="1"/>
  <c r="W45" i="12"/>
  <c r="F46" i="12"/>
  <c r="G46" i="12" s="1"/>
  <c r="I46" i="12"/>
  <c r="K46" i="12"/>
  <c r="L46" i="12" s="1"/>
  <c r="U46" i="12"/>
  <c r="V46" i="12" s="1"/>
  <c r="W46" i="12"/>
  <c r="Y46" i="12" s="1"/>
  <c r="X46" i="12"/>
  <c r="C47" i="12"/>
  <c r="E47" i="12"/>
  <c r="R47" i="12"/>
  <c r="F48" i="12"/>
  <c r="G48" i="12" s="1"/>
  <c r="M48" i="12"/>
  <c r="U48" i="12"/>
  <c r="V48" i="12" s="1"/>
  <c r="W48" i="12"/>
  <c r="C49" i="12"/>
  <c r="E49" i="12"/>
  <c r="K49" i="12"/>
  <c r="L49" i="12" s="1"/>
  <c r="K50" i="12"/>
  <c r="L50" i="12" s="1"/>
  <c r="U50" i="12"/>
  <c r="V50" i="12" s="1"/>
  <c r="W50" i="12"/>
  <c r="C51" i="12"/>
  <c r="E51" i="12"/>
  <c r="K52" i="12"/>
  <c r="L52" i="12" s="1"/>
  <c r="U52" i="12"/>
  <c r="V52" i="12" s="1"/>
  <c r="W52" i="12"/>
  <c r="X52" i="12"/>
  <c r="E53" i="12"/>
  <c r="F54" i="12"/>
  <c r="G54" i="12" s="1"/>
  <c r="H54" i="12"/>
  <c r="I54" i="12" s="1"/>
  <c r="J54" i="12"/>
  <c r="W54" i="12"/>
  <c r="X54" i="12" s="1"/>
  <c r="C55" i="12"/>
  <c r="E55" i="12"/>
  <c r="K55" i="12"/>
  <c r="L55" i="12" s="1"/>
  <c r="F56" i="12"/>
  <c r="G56" i="12"/>
  <c r="M56" i="12"/>
  <c r="U56" i="12"/>
  <c r="V56" i="12" s="1"/>
  <c r="W56" i="12"/>
  <c r="Y56" i="12" s="1"/>
  <c r="E57" i="12"/>
  <c r="K57" i="12"/>
  <c r="L57" i="12" s="1"/>
  <c r="M57" i="12"/>
  <c r="F58" i="12"/>
  <c r="G58" i="12" s="1"/>
  <c r="M58" i="12"/>
  <c r="U58" i="12"/>
  <c r="V58" i="12"/>
  <c r="W58" i="12"/>
  <c r="X58" i="12" s="1"/>
  <c r="Y58" i="12"/>
  <c r="E59" i="12"/>
  <c r="F60" i="12"/>
  <c r="G60" i="12" s="1"/>
  <c r="H60" i="12"/>
  <c r="I60" i="12" s="1"/>
  <c r="P60" i="12"/>
  <c r="Q60" i="12" s="1"/>
  <c r="U60" i="12"/>
  <c r="V60" i="12"/>
  <c r="C61" i="12"/>
  <c r="E61" i="12"/>
  <c r="W61" i="12"/>
  <c r="F62" i="12"/>
  <c r="G62" i="12" s="1"/>
  <c r="E63" i="12"/>
  <c r="H64" i="12"/>
  <c r="R64" i="12"/>
  <c r="U64" i="12"/>
  <c r="V64" i="12" s="1"/>
  <c r="W64" i="12"/>
  <c r="X64" i="12" s="1"/>
  <c r="Y64" i="12"/>
  <c r="E65" i="12"/>
  <c r="F66" i="12"/>
  <c r="G66" i="12"/>
  <c r="H66" i="12"/>
  <c r="J66" i="12" s="1"/>
  <c r="W66" i="12"/>
  <c r="X66" i="12" s="1"/>
  <c r="E67" i="12"/>
  <c r="F68" i="12"/>
  <c r="G68" i="12"/>
  <c r="H68" i="12"/>
  <c r="J68" i="12" s="1"/>
  <c r="I68" i="12"/>
  <c r="K68" i="12"/>
  <c r="L68" i="12" s="1"/>
  <c r="U68" i="12"/>
  <c r="V68" i="12" s="1"/>
  <c r="W68" i="12"/>
  <c r="Y68" i="12" s="1"/>
  <c r="X68" i="12"/>
  <c r="E69" i="12"/>
  <c r="F69" i="12"/>
  <c r="G69" i="12" s="1"/>
  <c r="H69" i="12"/>
  <c r="J69" i="12" s="1"/>
  <c r="I69" i="12"/>
  <c r="F70" i="12"/>
  <c r="G70" i="12"/>
  <c r="H70" i="12"/>
  <c r="U70" i="12"/>
  <c r="V70" i="12"/>
  <c r="W70" i="12"/>
  <c r="X70" i="12" s="1"/>
  <c r="E71" i="12"/>
  <c r="E72" i="12"/>
  <c r="C75" i="12"/>
  <c r="E75" i="12"/>
  <c r="E77" i="12"/>
  <c r="H77" i="12"/>
  <c r="U77" i="12"/>
  <c r="W77" i="12"/>
  <c r="Y77" i="12" s="1"/>
  <c r="E78" i="12"/>
  <c r="C80" i="12"/>
  <c r="E80" i="12"/>
  <c r="M80" i="12"/>
  <c r="P80" i="12"/>
  <c r="R80" i="12"/>
  <c r="T80" i="12" s="1"/>
  <c r="C82" i="12"/>
  <c r="E82" i="12"/>
  <c r="C84" i="12"/>
  <c r="E84" i="12"/>
  <c r="C86" i="12"/>
  <c r="E86" i="12"/>
  <c r="W86" i="12"/>
  <c r="E88" i="12"/>
  <c r="C90" i="12"/>
  <c r="E90" i="12"/>
  <c r="U90" i="12"/>
  <c r="E92" i="12"/>
  <c r="F92" i="12"/>
  <c r="E94" i="12"/>
  <c r="K94" i="12"/>
  <c r="C96" i="12"/>
  <c r="E96" i="12"/>
  <c r="E98" i="12"/>
  <c r="P98" i="12"/>
  <c r="R98" i="12"/>
  <c r="E100" i="12"/>
  <c r="E102" i="12"/>
  <c r="W102" i="12"/>
  <c r="E104" i="12"/>
  <c r="E106" i="12"/>
  <c r="E107" i="12"/>
  <c r="E28" i="11"/>
  <c r="E29" i="11"/>
  <c r="E30" i="1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A4" i="1"/>
  <c r="AA18" i="9" s="1"/>
  <c r="B4" i="1"/>
  <c r="A5" i="1"/>
  <c r="B5" i="1"/>
  <c r="V97" i="10" s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N100" i="9" s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E3" i="9"/>
  <c r="E195" i="9" s="1"/>
  <c r="F3" i="9"/>
  <c r="I3" i="9"/>
  <c r="K3" i="9"/>
  <c r="M3" i="9"/>
  <c r="N3" i="9"/>
  <c r="O17" i="9" s="1"/>
  <c r="Q3" i="9"/>
  <c r="S3" i="9"/>
  <c r="U3" i="9"/>
  <c r="U170" i="9" s="1"/>
  <c r="W170" i="9" s="1"/>
  <c r="V3" i="9"/>
  <c r="Y3" i="9"/>
  <c r="AA3" i="9"/>
  <c r="I4" i="9"/>
  <c r="Q4" i="9"/>
  <c r="Q35" i="9" s="1"/>
  <c r="Y4" i="9"/>
  <c r="I12" i="9"/>
  <c r="M17" i="9"/>
  <c r="N17" i="9"/>
  <c r="K18" i="9"/>
  <c r="I20" i="9"/>
  <c r="Q20" i="9"/>
  <c r="Y20" i="9"/>
  <c r="F23" i="9"/>
  <c r="K23" i="9"/>
  <c r="N23" i="9"/>
  <c r="Q23" i="9"/>
  <c r="S23" i="9"/>
  <c r="Y23" i="9"/>
  <c r="AA23" i="9"/>
  <c r="F24" i="9"/>
  <c r="M24" i="9"/>
  <c r="N24" i="9"/>
  <c r="O24" i="9" s="1"/>
  <c r="Y24" i="9"/>
  <c r="AA24" i="9"/>
  <c r="F25" i="9"/>
  <c r="F26" i="9" s="1"/>
  <c r="F29" i="9"/>
  <c r="F31" i="9" s="1"/>
  <c r="F32" i="9" s="1"/>
  <c r="I29" i="9"/>
  <c r="K29" i="9"/>
  <c r="M29" i="9"/>
  <c r="Q29" i="9"/>
  <c r="V29" i="9"/>
  <c r="V31" i="9" s="1"/>
  <c r="Y29" i="9"/>
  <c r="F30" i="9"/>
  <c r="I30" i="9"/>
  <c r="M30" i="9"/>
  <c r="M31" i="9" s="1"/>
  <c r="M32" i="9" s="1"/>
  <c r="N30" i="9"/>
  <c r="O30" i="9" s="1"/>
  <c r="V30" i="9"/>
  <c r="Y30" i="9"/>
  <c r="I31" i="9"/>
  <c r="I32" i="9" s="1"/>
  <c r="Y31" i="9"/>
  <c r="Y32" i="9" s="1"/>
  <c r="V32" i="9"/>
  <c r="K35" i="9"/>
  <c r="M35" i="9"/>
  <c r="M37" i="9" s="1"/>
  <c r="M38" i="9" s="1"/>
  <c r="N35" i="9"/>
  <c r="O35" i="9" s="1"/>
  <c r="AA35" i="9"/>
  <c r="F36" i="9"/>
  <c r="M36" i="9"/>
  <c r="Y36" i="9"/>
  <c r="AA36" i="9"/>
  <c r="E41" i="9"/>
  <c r="F42" i="9"/>
  <c r="I42" i="9"/>
  <c r="K42" i="9"/>
  <c r="M42" i="9"/>
  <c r="N42" i="9"/>
  <c r="V42" i="9"/>
  <c r="Y42" i="9"/>
  <c r="AA42" i="9"/>
  <c r="F47" i="9"/>
  <c r="K47" i="9"/>
  <c r="M47" i="9"/>
  <c r="M49" i="9" s="1"/>
  <c r="M50" i="9" s="1"/>
  <c r="Q47" i="9"/>
  <c r="Y47" i="9"/>
  <c r="Y49" i="9" s="1"/>
  <c r="Y50" i="9" s="1"/>
  <c r="AA47" i="9"/>
  <c r="AA49" i="9" s="1"/>
  <c r="AA50" i="9" s="1"/>
  <c r="F48" i="9"/>
  <c r="M48" i="9"/>
  <c r="Q48" i="9"/>
  <c r="S48" i="9"/>
  <c r="Y48" i="9"/>
  <c r="AA48" i="9"/>
  <c r="F53" i="9"/>
  <c r="K53" i="9"/>
  <c r="M53" i="9"/>
  <c r="M55" i="9" s="1"/>
  <c r="M56" i="9" s="1"/>
  <c r="Q53" i="9"/>
  <c r="V53" i="9"/>
  <c r="F54" i="9"/>
  <c r="I54" i="9"/>
  <c r="K54" i="9"/>
  <c r="M54" i="9"/>
  <c r="V54" i="9"/>
  <c r="Y54" i="9"/>
  <c r="AA54" i="9"/>
  <c r="V55" i="9"/>
  <c r="V56" i="9" s="1"/>
  <c r="F59" i="9"/>
  <c r="K59" i="9"/>
  <c r="M59" i="9"/>
  <c r="N59" i="9"/>
  <c r="Q59" i="9"/>
  <c r="Y59" i="9"/>
  <c r="AA59" i="9"/>
  <c r="K75" i="9"/>
  <c r="K77" i="9" s="1"/>
  <c r="K78" i="9" s="1"/>
  <c r="M75" i="9"/>
  <c r="N75" i="9"/>
  <c r="O75" i="9" s="1"/>
  <c r="Q75" i="9"/>
  <c r="V75" i="9"/>
  <c r="Y75" i="9"/>
  <c r="Y77" i="9" s="1"/>
  <c r="Y78" i="9" s="1"/>
  <c r="AA75" i="9"/>
  <c r="AA77" i="9" s="1"/>
  <c r="AA78" i="9" s="1"/>
  <c r="F76" i="9"/>
  <c r="K76" i="9"/>
  <c r="M76" i="9"/>
  <c r="N76" i="9"/>
  <c r="O76" i="9"/>
  <c r="Q76" i="9"/>
  <c r="Y76" i="9"/>
  <c r="AA76" i="9"/>
  <c r="M77" i="9"/>
  <c r="M78" i="9" s="1"/>
  <c r="O77" i="9"/>
  <c r="O78" i="9" s="1"/>
  <c r="Q77" i="9"/>
  <c r="Q78" i="9" s="1"/>
  <c r="F81" i="9"/>
  <c r="I81" i="9"/>
  <c r="K81" i="9"/>
  <c r="M81" i="9"/>
  <c r="M83" i="9" s="1"/>
  <c r="M84" i="9" s="1"/>
  <c r="Q81" i="9"/>
  <c r="Q83" i="9" s="1"/>
  <c r="Q84" i="9" s="1"/>
  <c r="S81" i="9"/>
  <c r="V81" i="9"/>
  <c r="Y81" i="9"/>
  <c r="Y83" i="9" s="1"/>
  <c r="F82" i="9"/>
  <c r="F83" i="9" s="1"/>
  <c r="F84" i="9" s="1"/>
  <c r="I82" i="9"/>
  <c r="I83" i="9" s="1"/>
  <c r="I84" i="9" s="1"/>
  <c r="K82" i="9"/>
  <c r="M82" i="9"/>
  <c r="N82" i="9"/>
  <c r="O82" i="9" s="1"/>
  <c r="Q82" i="9"/>
  <c r="V82" i="9"/>
  <c r="Y82" i="9"/>
  <c r="AA82" i="9"/>
  <c r="K83" i="9"/>
  <c r="K84" i="9"/>
  <c r="Y84" i="9"/>
  <c r="F87" i="9"/>
  <c r="F89" i="9" s="1"/>
  <c r="I87" i="9"/>
  <c r="K87" i="9"/>
  <c r="K89" i="9" s="1"/>
  <c r="K90" i="9" s="1"/>
  <c r="M87" i="9"/>
  <c r="N87" i="9"/>
  <c r="O87" i="9" s="1"/>
  <c r="Q87" i="9"/>
  <c r="V87" i="9"/>
  <c r="V89" i="9" s="1"/>
  <c r="V90" i="9" s="1"/>
  <c r="Y87" i="9"/>
  <c r="Y89" i="9" s="1"/>
  <c r="Y90" i="9" s="1"/>
  <c r="AA87" i="9"/>
  <c r="F88" i="9"/>
  <c r="K88" i="9"/>
  <c r="M88" i="9"/>
  <c r="N88" i="9"/>
  <c r="O88" i="9" s="1"/>
  <c r="O89" i="9" s="1"/>
  <c r="O90" i="9" s="1"/>
  <c r="Q88" i="9"/>
  <c r="V88" i="9"/>
  <c r="Y88" i="9"/>
  <c r="AA88" i="9"/>
  <c r="M89" i="9"/>
  <c r="M90" i="9" s="1"/>
  <c r="Q89" i="9"/>
  <c r="AA89" i="9"/>
  <c r="AA90" i="9" s="1"/>
  <c r="F90" i="9"/>
  <c r="Q90" i="9"/>
  <c r="F93" i="9"/>
  <c r="I93" i="9"/>
  <c r="K93" i="9"/>
  <c r="M93" i="9"/>
  <c r="M95" i="9" s="1"/>
  <c r="Q93" i="9"/>
  <c r="V93" i="9"/>
  <c r="Y93" i="9"/>
  <c r="Y95" i="9" s="1"/>
  <c r="Y96" i="9" s="1"/>
  <c r="AA93" i="9"/>
  <c r="F94" i="9"/>
  <c r="I94" i="9"/>
  <c r="K94" i="9"/>
  <c r="M94" i="9"/>
  <c r="N94" i="9"/>
  <c r="O94" i="9" s="1"/>
  <c r="Q94" i="9"/>
  <c r="S94" i="9"/>
  <c r="V94" i="9"/>
  <c r="Y94" i="9"/>
  <c r="AA94" i="9"/>
  <c r="AA95" i="9" s="1"/>
  <c r="AA96" i="9" s="1"/>
  <c r="F95" i="9"/>
  <c r="F96" i="9" s="1"/>
  <c r="I95" i="9"/>
  <c r="K95" i="9"/>
  <c r="V95" i="9"/>
  <c r="V96" i="9" s="1"/>
  <c r="I96" i="9"/>
  <c r="K96" i="9"/>
  <c r="M96" i="9"/>
  <c r="F101" i="9"/>
  <c r="I101" i="9"/>
  <c r="K101" i="9"/>
  <c r="M101" i="9"/>
  <c r="N101" i="9"/>
  <c r="Q101" i="9"/>
  <c r="V101" i="9"/>
  <c r="Y101" i="9"/>
  <c r="AA101" i="9"/>
  <c r="F123" i="9"/>
  <c r="I123" i="9"/>
  <c r="K123" i="9"/>
  <c r="M123" i="9"/>
  <c r="M125" i="9" s="1"/>
  <c r="M126" i="9" s="1"/>
  <c r="Q123" i="9"/>
  <c r="V123" i="9"/>
  <c r="Y123" i="9"/>
  <c r="Y125" i="9" s="1"/>
  <c r="Y126" i="9" s="1"/>
  <c r="AA123" i="9"/>
  <c r="F124" i="9"/>
  <c r="I124" i="9"/>
  <c r="K124" i="9"/>
  <c r="M124" i="9"/>
  <c r="N124" i="9"/>
  <c r="O124" i="9" s="1"/>
  <c r="Q124" i="9"/>
  <c r="S124" i="9"/>
  <c r="V124" i="9"/>
  <c r="V125" i="9" s="1"/>
  <c r="V126" i="9" s="1"/>
  <c r="Y124" i="9"/>
  <c r="AA124" i="9"/>
  <c r="AA125" i="9" s="1"/>
  <c r="AA126" i="9" s="1"/>
  <c r="I125" i="9"/>
  <c r="I126" i="9" s="1"/>
  <c r="K125" i="9"/>
  <c r="K126" i="9" s="1"/>
  <c r="F131" i="9"/>
  <c r="F133" i="9" s="1"/>
  <c r="I131" i="9"/>
  <c r="I133" i="9" s="1"/>
  <c r="I134" i="9" s="1"/>
  <c r="K131" i="9"/>
  <c r="K133" i="9" s="1"/>
  <c r="K134" i="9" s="1"/>
  <c r="M131" i="9"/>
  <c r="M133" i="9" s="1"/>
  <c r="M134" i="9" s="1"/>
  <c r="N131" i="9"/>
  <c r="Q131" i="9"/>
  <c r="V131" i="9"/>
  <c r="V133" i="9" s="1"/>
  <c r="V134" i="9" s="1"/>
  <c r="Y131" i="9"/>
  <c r="AA131" i="9"/>
  <c r="AA133" i="9" s="1"/>
  <c r="AA134" i="9" s="1"/>
  <c r="F132" i="9"/>
  <c r="I132" i="9"/>
  <c r="K132" i="9"/>
  <c r="M132" i="9"/>
  <c r="N132" i="9"/>
  <c r="O132" i="9"/>
  <c r="Q132" i="9"/>
  <c r="V132" i="9"/>
  <c r="Y132" i="9"/>
  <c r="Y133" i="9" s="1"/>
  <c r="Y134" i="9" s="1"/>
  <c r="AA132" i="9"/>
  <c r="Q133" i="9"/>
  <c r="Q134" i="9" s="1"/>
  <c r="F134" i="9"/>
  <c r="E139" i="9"/>
  <c r="F139" i="9"/>
  <c r="I139" i="9"/>
  <c r="K139" i="9"/>
  <c r="M139" i="9"/>
  <c r="M141" i="9" s="1"/>
  <c r="Q139" i="9"/>
  <c r="S139" i="9"/>
  <c r="U139" i="9"/>
  <c r="V139" i="9"/>
  <c r="Y139" i="9"/>
  <c r="Y141" i="9" s="1"/>
  <c r="AA139" i="9"/>
  <c r="F140" i="9"/>
  <c r="I140" i="9"/>
  <c r="K140" i="9"/>
  <c r="M140" i="9"/>
  <c r="N140" i="9"/>
  <c r="O140" i="9" s="1"/>
  <c r="Q140" i="9"/>
  <c r="V140" i="9"/>
  <c r="Y140" i="9"/>
  <c r="AA140" i="9"/>
  <c r="AA141" i="9" s="1"/>
  <c r="AA142" i="9" s="1"/>
  <c r="K141" i="9"/>
  <c r="V141" i="9"/>
  <c r="V142" i="9" s="1"/>
  <c r="K142" i="9"/>
  <c r="M142" i="9"/>
  <c r="Y142" i="9"/>
  <c r="F146" i="9"/>
  <c r="I146" i="9"/>
  <c r="K146" i="9"/>
  <c r="M146" i="9"/>
  <c r="N146" i="9"/>
  <c r="O146" i="9" s="1"/>
  <c r="Q146" i="9"/>
  <c r="V146" i="9"/>
  <c r="Y146" i="9"/>
  <c r="AA146" i="9"/>
  <c r="F152" i="9"/>
  <c r="I152" i="9"/>
  <c r="K152" i="9"/>
  <c r="M152" i="9"/>
  <c r="N152" i="9"/>
  <c r="O152" i="9" s="1"/>
  <c r="Q152" i="9"/>
  <c r="S152" i="9"/>
  <c r="U152" i="9"/>
  <c r="V152" i="9"/>
  <c r="Y152" i="9"/>
  <c r="AA152" i="9"/>
  <c r="F157" i="9"/>
  <c r="I157" i="9"/>
  <c r="K157" i="9"/>
  <c r="K159" i="9" s="1"/>
  <c r="K160" i="9" s="1"/>
  <c r="M157" i="9"/>
  <c r="N157" i="9"/>
  <c r="Q157" i="9"/>
  <c r="V157" i="9"/>
  <c r="V159" i="9" s="1"/>
  <c r="Y157" i="9"/>
  <c r="Y159" i="9" s="1"/>
  <c r="Y160" i="9" s="1"/>
  <c r="AA157" i="9"/>
  <c r="F158" i="9"/>
  <c r="I158" i="9"/>
  <c r="K158" i="9"/>
  <c r="M158" i="9"/>
  <c r="M159" i="9" s="1"/>
  <c r="M160" i="9" s="1"/>
  <c r="N158" i="9"/>
  <c r="N159" i="9" s="1"/>
  <c r="N160" i="9" s="1"/>
  <c r="Q158" i="9"/>
  <c r="V158" i="9"/>
  <c r="Y158" i="9"/>
  <c r="AA158" i="9"/>
  <c r="AA182" i="9" s="1"/>
  <c r="Q159" i="9"/>
  <c r="Q160" i="9" s="1"/>
  <c r="V160" i="9"/>
  <c r="F163" i="9"/>
  <c r="I163" i="9"/>
  <c r="K163" i="9"/>
  <c r="K165" i="9" s="1"/>
  <c r="K166" i="9" s="1"/>
  <c r="M163" i="9"/>
  <c r="M165" i="9" s="1"/>
  <c r="M166" i="9" s="1"/>
  <c r="N163" i="9"/>
  <c r="Q163" i="9"/>
  <c r="V163" i="9"/>
  <c r="Y163" i="9"/>
  <c r="Y165" i="9" s="1"/>
  <c r="AA163" i="9"/>
  <c r="E164" i="9"/>
  <c r="F164" i="9"/>
  <c r="I164" i="9"/>
  <c r="K164" i="9"/>
  <c r="M164" i="9"/>
  <c r="N164" i="9"/>
  <c r="Q164" i="9"/>
  <c r="S164" i="9"/>
  <c r="V164" i="9"/>
  <c r="Y164" i="9"/>
  <c r="AA164" i="9"/>
  <c r="AA165" i="9" s="1"/>
  <c r="F165" i="9"/>
  <c r="F166" i="9" s="1"/>
  <c r="I165" i="9"/>
  <c r="I166" i="9" s="1"/>
  <c r="V165" i="9"/>
  <c r="V166" i="9" s="1"/>
  <c r="Y166" i="9"/>
  <c r="AA166" i="9"/>
  <c r="F169" i="9"/>
  <c r="I169" i="9"/>
  <c r="K169" i="9"/>
  <c r="K171" i="9" s="1"/>
  <c r="M169" i="9"/>
  <c r="N169" i="9"/>
  <c r="N171" i="9" s="1"/>
  <c r="N172" i="9" s="1"/>
  <c r="O169" i="9"/>
  <c r="O171" i="9" s="1"/>
  <c r="O172" i="9" s="1"/>
  <c r="Q169" i="9"/>
  <c r="Q171" i="9" s="1"/>
  <c r="Q172" i="9" s="1"/>
  <c r="S169" i="9"/>
  <c r="V169" i="9"/>
  <c r="Y169" i="9"/>
  <c r="AA169" i="9"/>
  <c r="F170" i="9"/>
  <c r="F171" i="9" s="1"/>
  <c r="F172" i="9" s="1"/>
  <c r="I170" i="9"/>
  <c r="K170" i="9"/>
  <c r="M170" i="9"/>
  <c r="N170" i="9"/>
  <c r="O170" i="9" s="1"/>
  <c r="Q170" i="9"/>
  <c r="S170" i="9"/>
  <c r="V170" i="9"/>
  <c r="Y170" i="9"/>
  <c r="AA170" i="9"/>
  <c r="I171" i="9"/>
  <c r="I172" i="9" s="1"/>
  <c r="M171" i="9"/>
  <c r="M172" i="9" s="1"/>
  <c r="V171" i="9"/>
  <c r="V172" i="9" s="1"/>
  <c r="Y171" i="9"/>
  <c r="Y172" i="9" s="1"/>
  <c r="AA171" i="9"/>
  <c r="K172" i="9"/>
  <c r="AA172" i="9"/>
  <c r="F175" i="9"/>
  <c r="F177" i="9" s="1"/>
  <c r="F178" i="9" s="1"/>
  <c r="I175" i="9"/>
  <c r="K175" i="9"/>
  <c r="M175" i="9"/>
  <c r="N175" i="9"/>
  <c r="O175" i="9"/>
  <c r="O177" i="9" s="1"/>
  <c r="O178" i="9" s="1"/>
  <c r="Q175" i="9"/>
  <c r="Q177" i="9" s="1"/>
  <c r="Q178" i="9" s="1"/>
  <c r="S175" i="9"/>
  <c r="S177" i="9" s="1"/>
  <c r="S178" i="9" s="1"/>
  <c r="V175" i="9"/>
  <c r="Y175" i="9"/>
  <c r="AA175" i="9"/>
  <c r="F176" i="9"/>
  <c r="I176" i="9"/>
  <c r="I177" i="9" s="1"/>
  <c r="I178" i="9" s="1"/>
  <c r="K176" i="9"/>
  <c r="M176" i="9"/>
  <c r="N176" i="9"/>
  <c r="O176" i="9" s="1"/>
  <c r="Q176" i="9"/>
  <c r="S176" i="9"/>
  <c r="V176" i="9"/>
  <c r="Y176" i="9"/>
  <c r="AA176" i="9"/>
  <c r="K177" i="9"/>
  <c r="K178" i="9" s="1"/>
  <c r="M177" i="9"/>
  <c r="M178" i="9" s="1"/>
  <c r="N177" i="9"/>
  <c r="N178" i="9" s="1"/>
  <c r="Y177" i="9"/>
  <c r="Y178" i="9" s="1"/>
  <c r="AA177" i="9"/>
  <c r="AA178" i="9" s="1"/>
  <c r="K182" i="9"/>
  <c r="M182" i="9"/>
  <c r="Y182" i="9"/>
  <c r="E190" i="9"/>
  <c r="F190" i="9"/>
  <c r="F202" i="9" s="1"/>
  <c r="I190" i="9"/>
  <c r="I202" i="9" s="1"/>
  <c r="K190" i="9"/>
  <c r="M190" i="9"/>
  <c r="N190" i="9"/>
  <c r="Q190" i="9"/>
  <c r="Q202" i="9" s="1"/>
  <c r="S190" i="9"/>
  <c r="V190" i="9"/>
  <c r="Y190" i="9"/>
  <c r="AA190" i="9"/>
  <c r="F195" i="9"/>
  <c r="I195" i="9"/>
  <c r="K195" i="9"/>
  <c r="M195" i="9"/>
  <c r="N195" i="9"/>
  <c r="O195" i="9" s="1"/>
  <c r="Q195" i="9"/>
  <c r="S195" i="9"/>
  <c r="V195" i="9"/>
  <c r="V197" i="9" s="1"/>
  <c r="V198" i="9" s="1"/>
  <c r="Y195" i="9"/>
  <c r="AA195" i="9"/>
  <c r="F196" i="9"/>
  <c r="I196" i="9"/>
  <c r="K196" i="9"/>
  <c r="M196" i="9"/>
  <c r="M197" i="9" s="1"/>
  <c r="M198" i="9" s="1"/>
  <c r="N196" i="9"/>
  <c r="Q196" i="9"/>
  <c r="V196" i="9"/>
  <c r="Y196" i="9"/>
  <c r="Y202" i="9" s="1"/>
  <c r="AA196" i="9"/>
  <c r="I197" i="9"/>
  <c r="I198" i="9" s="1"/>
  <c r="N197" i="9"/>
  <c r="N198" i="9" s="1"/>
  <c r="AA197" i="9"/>
  <c r="AA198" i="9" s="1"/>
  <c r="K202" i="9"/>
  <c r="M202" i="9"/>
  <c r="N202" i="9"/>
  <c r="AA202" i="9"/>
  <c r="F210" i="9"/>
  <c r="V215" i="9"/>
  <c r="F216" i="9"/>
  <c r="I216" i="9"/>
  <c r="K216" i="9"/>
  <c r="M216" i="9"/>
  <c r="N216" i="9"/>
  <c r="Q216" i="9"/>
  <c r="V216" i="9"/>
  <c r="Y216" i="9"/>
  <c r="AA216" i="9"/>
  <c r="F222" i="9"/>
  <c r="V230" i="9"/>
  <c r="AA231" i="9"/>
  <c r="B244" i="9"/>
  <c r="N102" i="9" l="1"/>
  <c r="N103" i="9" s="1"/>
  <c r="E197" i="9"/>
  <c r="E198" i="9" s="1"/>
  <c r="E201" i="9"/>
  <c r="M116" i="9"/>
  <c r="G94" i="9"/>
  <c r="G59" i="9"/>
  <c r="Y61" i="12"/>
  <c r="X61" i="12"/>
  <c r="Y231" i="9"/>
  <c r="E94" i="9"/>
  <c r="M14" i="12"/>
  <c r="O14" i="12" s="1"/>
  <c r="W14" i="12"/>
  <c r="Y14" i="12" s="1"/>
  <c r="O216" i="9"/>
  <c r="N222" i="9"/>
  <c r="Y197" i="9"/>
  <c r="Y198" i="9" s="1"/>
  <c r="Y151" i="9"/>
  <c r="N57" i="12"/>
  <c r="O57" i="12"/>
  <c r="H84" i="10"/>
  <c r="H87" i="10" s="1"/>
  <c r="J93" i="10"/>
  <c r="L93" i="10" s="1"/>
  <c r="H97" i="10"/>
  <c r="J97" i="10"/>
  <c r="L97" i="10" s="1"/>
  <c r="H103" i="10"/>
  <c r="H109" i="10"/>
  <c r="H115" i="10"/>
  <c r="H93" i="10"/>
  <c r="J89" i="10"/>
  <c r="L89" i="10" s="1"/>
  <c r="H91" i="10"/>
  <c r="J91" i="10"/>
  <c r="H95" i="10"/>
  <c r="J95" i="10"/>
  <c r="L95" i="10" s="1"/>
  <c r="H99" i="10"/>
  <c r="H101" i="10"/>
  <c r="J99" i="10"/>
  <c r="L99" i="10" s="1"/>
  <c r="J101" i="10"/>
  <c r="L101" i="10" s="1"/>
  <c r="J103" i="10"/>
  <c r="L103" i="10" s="1"/>
  <c r="H105" i="10"/>
  <c r="H111" i="10"/>
  <c r="H113" i="10"/>
  <c r="J84" i="10"/>
  <c r="H89" i="10"/>
  <c r="H107" i="10"/>
  <c r="J111" i="10"/>
  <c r="L111" i="10" s="1"/>
  <c r="J115" i="10"/>
  <c r="L115" i="10" s="1"/>
  <c r="J107" i="10"/>
  <c r="J109" i="10"/>
  <c r="L109" i="10" s="1"/>
  <c r="J113" i="10"/>
  <c r="L113" i="10" s="1"/>
  <c r="H86" i="10"/>
  <c r="J86" i="10"/>
  <c r="L86" i="10" s="1"/>
  <c r="V231" i="9"/>
  <c r="V232" i="9" s="1"/>
  <c r="V233" i="9" s="1"/>
  <c r="I215" i="9"/>
  <c r="O164" i="9"/>
  <c r="N165" i="9"/>
  <c r="N166" i="9" s="1"/>
  <c r="M151" i="9"/>
  <c r="M153" i="9" s="1"/>
  <c r="M154" i="9" s="1"/>
  <c r="E48" i="9"/>
  <c r="X45" i="12"/>
  <c r="Y34" i="12"/>
  <c r="M231" i="9"/>
  <c r="U210" i="9"/>
  <c r="M189" i="9"/>
  <c r="Q182" i="9"/>
  <c r="O158" i="9"/>
  <c r="W157" i="9"/>
  <c r="N145" i="9"/>
  <c r="V182" i="9"/>
  <c r="F182" i="9"/>
  <c r="Y116" i="9"/>
  <c r="W18" i="12"/>
  <c r="Y18" i="12" s="1"/>
  <c r="M18" i="12"/>
  <c r="R18" i="12"/>
  <c r="T18" i="12" s="1"/>
  <c r="J105" i="10"/>
  <c r="L105" i="10" s="1"/>
  <c r="Q197" i="9"/>
  <c r="Q198" i="9" s="1"/>
  <c r="S25" i="9"/>
  <c r="S26" i="9" s="1"/>
  <c r="U53" i="9"/>
  <c r="U42" i="9"/>
  <c r="W42" i="9" s="1"/>
  <c r="W18" i="9"/>
  <c r="U76" i="9"/>
  <c r="U88" i="9"/>
  <c r="W88" i="9" s="1"/>
  <c r="U101" i="9"/>
  <c r="U132" i="9"/>
  <c r="W132" i="9" s="1"/>
  <c r="U131" i="9"/>
  <c r="U157" i="9"/>
  <c r="U169" i="9"/>
  <c r="U171" i="9" s="1"/>
  <c r="U172" i="9" s="1"/>
  <c r="U195" i="9"/>
  <c r="W195" i="9" s="1"/>
  <c r="U29" i="9"/>
  <c r="U81" i="9"/>
  <c r="U94" i="9"/>
  <c r="U158" i="9"/>
  <c r="U164" i="9"/>
  <c r="W164" i="9" s="1"/>
  <c r="U30" i="9"/>
  <c r="W30" i="9" s="1"/>
  <c r="U36" i="9"/>
  <c r="U123" i="9"/>
  <c r="U125" i="9" s="1"/>
  <c r="U126" i="9" s="1"/>
  <c r="U163" i="9"/>
  <c r="U216" i="9"/>
  <c r="U82" i="9"/>
  <c r="W82" i="9" s="1"/>
  <c r="U93" i="9"/>
  <c r="S60" i="9"/>
  <c r="I106" i="9"/>
  <c r="V106" i="9"/>
  <c r="K107" i="9"/>
  <c r="K116" i="9" s="1"/>
  <c r="I151" i="9"/>
  <c r="I153" i="9" s="1"/>
  <c r="I154" i="9" s="1"/>
  <c r="V151" i="9"/>
  <c r="I41" i="9"/>
  <c r="I43" i="9" s="1"/>
  <c r="I44" i="9" s="1"/>
  <c r="Y41" i="9"/>
  <c r="Y43" i="9" s="1"/>
  <c r="Y44" i="9" s="1"/>
  <c r="E60" i="9"/>
  <c r="U60" i="9"/>
  <c r="E100" i="9"/>
  <c r="Q100" i="9"/>
  <c r="K106" i="9"/>
  <c r="M107" i="9"/>
  <c r="Y107" i="9"/>
  <c r="E145" i="9"/>
  <c r="Q145" i="9"/>
  <c r="Q147" i="9" s="1"/>
  <c r="Q148" i="9" s="1"/>
  <c r="K151" i="9"/>
  <c r="K153" i="9" s="1"/>
  <c r="K154" i="9" s="1"/>
  <c r="K41" i="9"/>
  <c r="K43" i="9" s="1"/>
  <c r="K44" i="9" s="1"/>
  <c r="F60" i="9"/>
  <c r="G60" i="9" s="1"/>
  <c r="Y60" i="9"/>
  <c r="F100" i="9"/>
  <c r="S100" i="9"/>
  <c r="M106" i="9"/>
  <c r="Y106" i="9"/>
  <c r="Y108" i="9" s="1"/>
  <c r="Y109" i="9" s="1"/>
  <c r="N107" i="9"/>
  <c r="AA107" i="9"/>
  <c r="AA116" i="9" s="1"/>
  <c r="AA239" i="9" s="1"/>
  <c r="U100" i="9"/>
  <c r="N106" i="9"/>
  <c r="N115" i="9" s="1"/>
  <c r="AA106" i="9"/>
  <c r="U145" i="9"/>
  <c r="N151" i="9"/>
  <c r="AA151" i="9"/>
  <c r="AA153" i="9" s="1"/>
  <c r="AA154" i="9" s="1"/>
  <c r="N189" i="9"/>
  <c r="AA189" i="9"/>
  <c r="AA191" i="9" s="1"/>
  <c r="AA192" i="9" s="1"/>
  <c r="U209" i="9"/>
  <c r="U211" i="9" s="1"/>
  <c r="U212" i="9" s="1"/>
  <c r="I210" i="9"/>
  <c r="V210" i="9"/>
  <c r="W210" i="9" s="1"/>
  <c r="N215" i="9"/>
  <c r="AA215" i="9"/>
  <c r="N230" i="9"/>
  <c r="AA230" i="9"/>
  <c r="AA232" i="9" s="1"/>
  <c r="AA233" i="9" s="1"/>
  <c r="F41" i="9"/>
  <c r="N60" i="9"/>
  <c r="O60" i="9" s="1"/>
  <c r="V100" i="9"/>
  <c r="Q107" i="9"/>
  <c r="Q116" i="9" s="1"/>
  <c r="S145" i="9"/>
  <c r="E189" i="9"/>
  <c r="E191" i="9" s="1"/>
  <c r="E192" i="9" s="1"/>
  <c r="S189" i="9"/>
  <c r="S191" i="9" s="1"/>
  <c r="S192" i="9" s="1"/>
  <c r="E209" i="9"/>
  <c r="E211" i="9" s="1"/>
  <c r="E212" i="9" s="1"/>
  <c r="S209" i="9"/>
  <c r="K210" i="9"/>
  <c r="K222" i="9" s="1"/>
  <c r="Y210" i="9"/>
  <c r="K215" i="9"/>
  <c r="Y215" i="9"/>
  <c r="I230" i="9"/>
  <c r="N231" i="9"/>
  <c r="E107" i="9"/>
  <c r="Q41" i="9"/>
  <c r="Q43" i="9" s="1"/>
  <c r="Q44" i="9" s="1"/>
  <c r="Q106" i="9"/>
  <c r="Q108" i="9" s="1"/>
  <c r="Q109" i="9" s="1"/>
  <c r="S107" i="9"/>
  <c r="V145" i="9"/>
  <c r="Q151" i="9"/>
  <c r="Q153" i="9" s="1"/>
  <c r="Q154" i="9" s="1"/>
  <c r="F189" i="9"/>
  <c r="U189" i="9"/>
  <c r="F209" i="9"/>
  <c r="V209" i="9"/>
  <c r="V221" i="9" s="1"/>
  <c r="V223" i="9" s="1"/>
  <c r="V224" i="9" s="1"/>
  <c r="M210" i="9"/>
  <c r="M222" i="9" s="1"/>
  <c r="AA210" i="9"/>
  <c r="M215" i="9"/>
  <c r="K230" i="9"/>
  <c r="Y230" i="9"/>
  <c r="Y232" i="9" s="1"/>
  <c r="Y233" i="9" s="1"/>
  <c r="Q231" i="9"/>
  <c r="I209" i="9"/>
  <c r="I211" i="9" s="1"/>
  <c r="I212" i="9" s="1"/>
  <c r="N210" i="9"/>
  <c r="E231" i="9"/>
  <c r="V41" i="9"/>
  <c r="S41" i="9"/>
  <c r="Q60" i="9"/>
  <c r="Y100" i="9"/>
  <c r="S106" i="9"/>
  <c r="S108" i="9" s="1"/>
  <c r="S109" i="9" s="1"/>
  <c r="U107" i="9"/>
  <c r="S151" i="9"/>
  <c r="S153" i="9" s="1"/>
  <c r="S154" i="9" s="1"/>
  <c r="V189" i="9"/>
  <c r="V201" i="9" s="1"/>
  <c r="V203" i="9" s="1"/>
  <c r="V204" i="9" s="1"/>
  <c r="M230" i="9"/>
  <c r="S231" i="9"/>
  <c r="I100" i="9"/>
  <c r="U41" i="9"/>
  <c r="AA100" i="9"/>
  <c r="U106" i="9"/>
  <c r="U108" i="9" s="1"/>
  <c r="U109" i="9" s="1"/>
  <c r="V107" i="9"/>
  <c r="W107" i="9" s="1"/>
  <c r="F145" i="9"/>
  <c r="Y145" i="9"/>
  <c r="Y147" i="9" s="1"/>
  <c r="Y148" i="9" s="1"/>
  <c r="U151" i="9"/>
  <c r="U153" i="9" s="1"/>
  <c r="U154" i="9" s="1"/>
  <c r="I189" i="9"/>
  <c r="K209" i="9"/>
  <c r="Y209" i="9"/>
  <c r="Y211" i="9" s="1"/>
  <c r="Y212" i="9" s="1"/>
  <c r="Q215" i="9"/>
  <c r="F231" i="9"/>
  <c r="U231" i="9"/>
  <c r="N53" i="10"/>
  <c r="O53" i="10" s="1"/>
  <c r="N56" i="10"/>
  <c r="O56" i="10" s="1"/>
  <c r="N59" i="10"/>
  <c r="O59" i="10" s="1"/>
  <c r="N62" i="10"/>
  <c r="O62" i="10" s="1"/>
  <c r="N65" i="10"/>
  <c r="O65" i="10" s="1"/>
  <c r="N76" i="10"/>
  <c r="O76" i="10" s="1"/>
  <c r="N52" i="10"/>
  <c r="O52" i="10" s="1"/>
  <c r="N55" i="10"/>
  <c r="O55" i="10" s="1"/>
  <c r="N54" i="10"/>
  <c r="O54" i="10" s="1"/>
  <c r="N73" i="10"/>
  <c r="O73" i="10" s="1"/>
  <c r="N70" i="10"/>
  <c r="O70" i="10" s="1"/>
  <c r="N57" i="10"/>
  <c r="O57" i="10" s="1"/>
  <c r="N60" i="10"/>
  <c r="O60" i="10" s="1"/>
  <c r="N66" i="10"/>
  <c r="O66" i="10" s="1"/>
  <c r="N79" i="10"/>
  <c r="O79" i="10" s="1"/>
  <c r="N63" i="10"/>
  <c r="O63" i="10" s="1"/>
  <c r="N69" i="10"/>
  <c r="O69" i="10" s="1"/>
  <c r="N75" i="10"/>
  <c r="O75" i="10" s="1"/>
  <c r="N80" i="10"/>
  <c r="O80" i="10" s="1"/>
  <c r="N58" i="10"/>
  <c r="O58" i="10" s="1"/>
  <c r="N72" i="10"/>
  <c r="O72" i="10" s="1"/>
  <c r="N67" i="10"/>
  <c r="O67" i="10" s="1"/>
  <c r="N78" i="10"/>
  <c r="O78" i="10" s="1"/>
  <c r="N68" i="10"/>
  <c r="O68" i="10" s="1"/>
  <c r="N71" i="10"/>
  <c r="O71" i="10" s="1"/>
  <c r="N77" i="10"/>
  <c r="O77" i="10" s="1"/>
  <c r="N64" i="10"/>
  <c r="O64" i="10" s="1"/>
  <c r="N61" i="10"/>
  <c r="O61" i="10" s="1"/>
  <c r="E210" i="9"/>
  <c r="G210" i="9" s="1"/>
  <c r="P86" i="10"/>
  <c r="R86" i="10" s="1"/>
  <c r="P95" i="10"/>
  <c r="R95" i="10" s="1"/>
  <c r="P91" i="10"/>
  <c r="P84" i="10"/>
  <c r="P89" i="10"/>
  <c r="P93" i="10"/>
  <c r="P97" i="10"/>
  <c r="R97" i="10" s="1"/>
  <c r="P109" i="10"/>
  <c r="R109" i="10" s="1"/>
  <c r="P113" i="10"/>
  <c r="R113" i="10" s="1"/>
  <c r="P103" i="10"/>
  <c r="R103" i="10" s="1"/>
  <c r="P105" i="10"/>
  <c r="P99" i="10"/>
  <c r="P107" i="10"/>
  <c r="P115" i="10"/>
  <c r="P101" i="10"/>
  <c r="P111" i="10"/>
  <c r="S215" i="9"/>
  <c r="U176" i="9"/>
  <c r="W176" i="9" s="1"/>
  <c r="P19" i="10"/>
  <c r="V19" i="10"/>
  <c r="Q230" i="9"/>
  <c r="Q209" i="9"/>
  <c r="O197" i="9"/>
  <c r="O198" i="9" s="1"/>
  <c r="E176" i="9"/>
  <c r="G176" i="9" s="1"/>
  <c r="E170" i="9"/>
  <c r="G170" i="9" s="1"/>
  <c r="Y61" i="9"/>
  <c r="Y62" i="9" s="1"/>
  <c r="E36" i="9"/>
  <c r="K231" i="9"/>
  <c r="F230" i="9"/>
  <c r="AA222" i="9"/>
  <c r="I222" i="9"/>
  <c r="F215" i="9"/>
  <c r="S210" i="9"/>
  <c r="N209" i="9"/>
  <c r="O196" i="9"/>
  <c r="G195" i="9"/>
  <c r="F197" i="9"/>
  <c r="F198" i="9" s="1"/>
  <c r="K189" i="9"/>
  <c r="F151" i="9"/>
  <c r="M145" i="9"/>
  <c r="M147" i="9" s="1"/>
  <c r="M148" i="9" s="1"/>
  <c r="U140" i="9"/>
  <c r="W140" i="9" s="1"/>
  <c r="U124" i="9"/>
  <c r="E124" i="9"/>
  <c r="G124" i="9" s="1"/>
  <c r="F106" i="9"/>
  <c r="M100" i="9"/>
  <c r="T98" i="12"/>
  <c r="N89" i="10"/>
  <c r="N99" i="10"/>
  <c r="N103" i="10"/>
  <c r="N86" i="10"/>
  <c r="N95" i="10"/>
  <c r="N101" i="10"/>
  <c r="N107" i="10"/>
  <c r="N113" i="10"/>
  <c r="N97" i="10"/>
  <c r="N91" i="10"/>
  <c r="N93" i="10"/>
  <c r="N105" i="10"/>
  <c r="N84" i="10"/>
  <c r="N87" i="10" s="1"/>
  <c r="N111" i="10"/>
  <c r="N115" i="10"/>
  <c r="N109" i="10"/>
  <c r="U215" i="9"/>
  <c r="Y189" i="9"/>
  <c r="E175" i="9"/>
  <c r="E152" i="9"/>
  <c r="G152" i="9" s="1"/>
  <c r="I107" i="9"/>
  <c r="N89" i="9"/>
  <c r="N90" i="9" s="1"/>
  <c r="E81" i="9"/>
  <c r="E83" i="9" s="1"/>
  <c r="E84" i="9" s="1"/>
  <c r="E59" i="9"/>
  <c r="S230" i="9"/>
  <c r="S232" i="9" s="1"/>
  <c r="S233" i="9" s="1"/>
  <c r="Q189" i="9"/>
  <c r="Q191" i="9" s="1"/>
  <c r="Q192" i="9" s="1"/>
  <c r="AA159" i="9"/>
  <c r="AA160" i="9" s="1"/>
  <c r="Q141" i="9"/>
  <c r="Q142" i="9" s="1"/>
  <c r="Q181" i="9"/>
  <c r="Q183" i="9" s="1"/>
  <c r="Q184" i="9" s="1"/>
  <c r="E47" i="9"/>
  <c r="E49" i="9" s="1"/>
  <c r="E50" i="9" s="1"/>
  <c r="S47" i="12"/>
  <c r="H54" i="10"/>
  <c r="I54" i="10" s="1"/>
  <c r="H57" i="10"/>
  <c r="I57" i="10" s="1"/>
  <c r="H63" i="10"/>
  <c r="I63" i="10" s="1"/>
  <c r="H66" i="10"/>
  <c r="I66" i="10" s="1"/>
  <c r="H77" i="10"/>
  <c r="I77" i="10" s="1"/>
  <c r="H60" i="10"/>
  <c r="I60" i="10" s="1"/>
  <c r="H53" i="10"/>
  <c r="I53" i="10" s="1"/>
  <c r="H55" i="10"/>
  <c r="I55" i="10" s="1"/>
  <c r="H58" i="10"/>
  <c r="I58" i="10" s="1"/>
  <c r="H59" i="10"/>
  <c r="I59" i="10" s="1"/>
  <c r="H62" i="10"/>
  <c r="I62" i="10" s="1"/>
  <c r="J65" i="10"/>
  <c r="H74" i="10"/>
  <c r="I74" i="10" s="1"/>
  <c r="J76" i="10"/>
  <c r="H67" i="10"/>
  <c r="I67" i="10" s="1"/>
  <c r="H68" i="10"/>
  <c r="I68" i="10" s="1"/>
  <c r="J71" i="10"/>
  <c r="J59" i="10"/>
  <c r="H61" i="10"/>
  <c r="I61" i="10" s="1"/>
  <c r="J62" i="10"/>
  <c r="H69" i="10"/>
  <c r="I69" i="10" s="1"/>
  <c r="H72" i="10"/>
  <c r="I72" i="10" s="1"/>
  <c r="J74" i="10"/>
  <c r="J77" i="10"/>
  <c r="J72" i="10"/>
  <c r="J70" i="10"/>
  <c r="H56" i="10"/>
  <c r="I56" i="10" s="1"/>
  <c r="J73" i="10"/>
  <c r="H78" i="10"/>
  <c r="I78" i="10" s="1"/>
  <c r="J79" i="10"/>
  <c r="J80" i="10"/>
  <c r="H76" i="10"/>
  <c r="I76" i="10" s="1"/>
  <c r="J78" i="10"/>
  <c r="J56" i="10"/>
  <c r="J60" i="10"/>
  <c r="H64" i="10"/>
  <c r="I64" i="10" s="1"/>
  <c r="J68" i="10"/>
  <c r="H75" i="10"/>
  <c r="I75" i="10" s="1"/>
  <c r="H73" i="10"/>
  <c r="I73" i="10" s="1"/>
  <c r="H52" i="10"/>
  <c r="I52" i="10" s="1"/>
  <c r="J66" i="10"/>
  <c r="H79" i="10"/>
  <c r="I79" i="10" s="1"/>
  <c r="H65" i="10"/>
  <c r="I65" i="10" s="1"/>
  <c r="H70" i="10"/>
  <c r="I70" i="10" s="1"/>
  <c r="H71" i="10"/>
  <c r="I71" i="10" s="1"/>
  <c r="H80" i="10"/>
  <c r="I80" i="10" s="1"/>
  <c r="J53" i="10"/>
  <c r="U146" i="9"/>
  <c r="W146" i="9" s="1"/>
  <c r="F107" i="9"/>
  <c r="V83" i="9"/>
  <c r="V84" i="9" s="1"/>
  <c r="Y86" i="12"/>
  <c r="I231" i="9"/>
  <c r="E230" i="9"/>
  <c r="E232" i="9" s="1"/>
  <c r="E233" i="9" s="1"/>
  <c r="Y222" i="9"/>
  <c r="E215" i="9"/>
  <c r="Q210" i="9"/>
  <c r="Q222" i="9" s="1"/>
  <c r="M209" i="9"/>
  <c r="V202" i="9"/>
  <c r="G190" i="9"/>
  <c r="O163" i="9"/>
  <c r="I159" i="9"/>
  <c r="I160" i="9" s="1"/>
  <c r="E151" i="9"/>
  <c r="E153" i="9" s="1"/>
  <c r="E154" i="9" s="1"/>
  <c r="K145" i="9"/>
  <c r="K147" i="9" s="1"/>
  <c r="K148" i="9" s="1"/>
  <c r="O131" i="9"/>
  <c r="O133" i="9" s="1"/>
  <c r="O134" i="9" s="1"/>
  <c r="N133" i="9"/>
  <c r="N134" i="9" s="1"/>
  <c r="G123" i="9"/>
  <c r="E106" i="9"/>
  <c r="K100" i="9"/>
  <c r="W87" i="9"/>
  <c r="W89" i="9" s="1"/>
  <c r="W90" i="9" s="1"/>
  <c r="U48" i="9"/>
  <c r="T22" i="12"/>
  <c r="W230" i="9"/>
  <c r="V217" i="9"/>
  <c r="V218" i="9" s="1"/>
  <c r="E43" i="9"/>
  <c r="E44" i="9" s="1"/>
  <c r="E23" i="9"/>
  <c r="E53" i="9"/>
  <c r="E76" i="9"/>
  <c r="G76" i="9" s="1"/>
  <c r="E88" i="9"/>
  <c r="G88" i="9" s="1"/>
  <c r="E101" i="9"/>
  <c r="E132" i="9"/>
  <c r="G132" i="9" s="1"/>
  <c r="E146" i="9"/>
  <c r="G146" i="9" s="1"/>
  <c r="E158" i="9"/>
  <c r="E87" i="9"/>
  <c r="E89" i="9" s="1"/>
  <c r="E90" i="9" s="1"/>
  <c r="E131" i="9"/>
  <c r="E157" i="9"/>
  <c r="E35" i="9"/>
  <c r="E75" i="9"/>
  <c r="E77" i="9" s="1"/>
  <c r="E78" i="9" s="1"/>
  <c r="E163" i="9"/>
  <c r="G18" i="9"/>
  <c r="E29" i="9"/>
  <c r="E31" i="9" s="1"/>
  <c r="E32" i="9" s="1"/>
  <c r="E123" i="9"/>
  <c r="E125" i="9" s="1"/>
  <c r="E126" i="9" s="1"/>
  <c r="E216" i="9"/>
  <c r="E93" i="9"/>
  <c r="E196" i="9"/>
  <c r="E82" i="9"/>
  <c r="G82" i="9" s="1"/>
  <c r="E140" i="9"/>
  <c r="G140" i="9" s="1"/>
  <c r="L19" i="10"/>
  <c r="U230" i="9"/>
  <c r="M60" i="9"/>
  <c r="P54" i="10"/>
  <c r="P57" i="10"/>
  <c r="P63" i="10"/>
  <c r="P66" i="10"/>
  <c r="P60" i="10"/>
  <c r="P74" i="10"/>
  <c r="P53" i="10"/>
  <c r="P68" i="10"/>
  <c r="P56" i="10"/>
  <c r="P59" i="10"/>
  <c r="P62" i="10"/>
  <c r="P65" i="10"/>
  <c r="P52" i="10"/>
  <c r="P72" i="10"/>
  <c r="P55" i="10"/>
  <c r="P58" i="10"/>
  <c r="P75" i="10"/>
  <c r="P73" i="10"/>
  <c r="P64" i="10"/>
  <c r="P67" i="10"/>
  <c r="P76" i="10"/>
  <c r="P70" i="10"/>
  <c r="P71" i="10"/>
  <c r="P61" i="10"/>
  <c r="P79" i="10"/>
  <c r="P80" i="10"/>
  <c r="P69" i="10"/>
  <c r="P77" i="10"/>
  <c r="P78" i="10"/>
  <c r="AA209" i="9"/>
  <c r="AA211" i="9" s="1"/>
  <c r="AA212" i="9" s="1"/>
  <c r="I182" i="9"/>
  <c r="I141" i="9"/>
  <c r="I142" i="9" s="1"/>
  <c r="U196" i="9"/>
  <c r="F159" i="9"/>
  <c r="F160" i="9" s="1"/>
  <c r="G157" i="9"/>
  <c r="AA145" i="9"/>
  <c r="AA147" i="9" s="1"/>
  <c r="AA148" i="9" s="1"/>
  <c r="W215" i="9"/>
  <c r="S201" i="9"/>
  <c r="S203" i="9" s="1"/>
  <c r="S204" i="9" s="1"/>
  <c r="U190" i="9"/>
  <c r="W190" i="9" s="1"/>
  <c r="N182" i="9"/>
  <c r="U175" i="9"/>
  <c r="U177" i="9" s="1"/>
  <c r="U178" i="9" s="1"/>
  <c r="G175" i="9"/>
  <c r="S171" i="9"/>
  <c r="S172" i="9" s="1"/>
  <c r="E169" i="9"/>
  <c r="G164" i="9"/>
  <c r="W152" i="9"/>
  <c r="I145" i="9"/>
  <c r="I147" i="9" s="1"/>
  <c r="I148" i="9" s="1"/>
  <c r="G139" i="9"/>
  <c r="G141" i="9" s="1"/>
  <c r="G142" i="9" s="1"/>
  <c r="F141" i="9"/>
  <c r="F142" i="9" s="1"/>
  <c r="O101" i="9"/>
  <c r="K55" i="9"/>
  <c r="K56" i="9" s="1"/>
  <c r="N56" i="12"/>
  <c r="T10" i="12"/>
  <c r="N74" i="10"/>
  <c r="O74" i="10" s="1"/>
  <c r="S42" i="9"/>
  <c r="S17" i="9"/>
  <c r="S35" i="9"/>
  <c r="S76" i="9"/>
  <c r="S88" i="9"/>
  <c r="S101" i="9"/>
  <c r="S116" i="9" s="1"/>
  <c r="S132" i="9"/>
  <c r="S146" i="9"/>
  <c r="S158" i="9"/>
  <c r="S24" i="9"/>
  <c r="S54" i="9"/>
  <c r="S75" i="9"/>
  <c r="S87" i="9"/>
  <c r="S89" i="9" s="1"/>
  <c r="S90" i="9" s="1"/>
  <c r="S131" i="9"/>
  <c r="S133" i="9" s="1"/>
  <c r="S134" i="9" s="1"/>
  <c r="S64" i="12"/>
  <c r="N48" i="12"/>
  <c r="H22" i="12"/>
  <c r="J22" i="12" s="1"/>
  <c r="U10" i="12"/>
  <c r="P77" i="12"/>
  <c r="R84" i="12"/>
  <c r="P90" i="12"/>
  <c r="P96" i="12"/>
  <c r="R102" i="12"/>
  <c r="R82" i="12"/>
  <c r="P88" i="12"/>
  <c r="P94" i="12"/>
  <c r="P100" i="12"/>
  <c r="R106" i="12"/>
  <c r="T106" i="12" s="1"/>
  <c r="P75" i="12"/>
  <c r="P86" i="12"/>
  <c r="R92" i="12"/>
  <c r="R100" i="12"/>
  <c r="R75" i="12"/>
  <c r="R86" i="12"/>
  <c r="T86" i="12" s="1"/>
  <c r="R94" i="12"/>
  <c r="T94" i="12" s="1"/>
  <c r="P82" i="12"/>
  <c r="R88" i="12"/>
  <c r="P104" i="12"/>
  <c r="P92" i="12"/>
  <c r="R104" i="12"/>
  <c r="P106" i="12"/>
  <c r="R90" i="12"/>
  <c r="T90" i="12" s="1"/>
  <c r="P102" i="12"/>
  <c r="R43" i="12"/>
  <c r="R46" i="12"/>
  <c r="P48" i="12"/>
  <c r="Q48" i="12" s="1"/>
  <c r="R49" i="12"/>
  <c r="P51" i="12"/>
  <c r="Q51" i="12" s="1"/>
  <c r="P58" i="12"/>
  <c r="Q58" i="12" s="1"/>
  <c r="P63" i="12"/>
  <c r="Q63" i="12" s="1"/>
  <c r="R68" i="12"/>
  <c r="P45" i="12"/>
  <c r="Q45" i="12" s="1"/>
  <c r="R48" i="12"/>
  <c r="P50" i="12"/>
  <c r="Q50" i="12" s="1"/>
  <c r="R51" i="12"/>
  <c r="R58" i="12"/>
  <c r="R63" i="12"/>
  <c r="P67" i="12"/>
  <c r="Q67" i="12" s="1"/>
  <c r="P54" i="12"/>
  <c r="Q54" i="12" s="1"/>
  <c r="P57" i="12"/>
  <c r="Q57" i="12" s="1"/>
  <c r="P59" i="12"/>
  <c r="Q59" i="12" s="1"/>
  <c r="R60" i="12"/>
  <c r="P61" i="12"/>
  <c r="Q61" i="12" s="1"/>
  <c r="R62" i="12"/>
  <c r="P44" i="12"/>
  <c r="Q44" i="12" s="1"/>
  <c r="P46" i="12"/>
  <c r="Q46" i="12" s="1"/>
  <c r="P52" i="12"/>
  <c r="Q52" i="12" s="1"/>
  <c r="P53" i="12"/>
  <c r="Q53" i="12" s="1"/>
  <c r="P55" i="12"/>
  <c r="Q55" i="12" s="1"/>
  <c r="P56" i="12"/>
  <c r="Q56" i="12" s="1"/>
  <c r="R61" i="12"/>
  <c r="P47" i="12"/>
  <c r="Q47" i="12" s="1"/>
  <c r="R53" i="12"/>
  <c r="R54" i="12"/>
  <c r="R56" i="12"/>
  <c r="R57" i="12"/>
  <c r="R59" i="12"/>
  <c r="P71" i="12"/>
  <c r="Q71" i="12" s="1"/>
  <c r="R44" i="12"/>
  <c r="R45" i="12"/>
  <c r="P49" i="12"/>
  <c r="Q49" i="12" s="1"/>
  <c r="R50" i="12"/>
  <c r="R52" i="12"/>
  <c r="R55" i="12"/>
  <c r="P68" i="12"/>
  <c r="Q68" i="12" s="1"/>
  <c r="P69" i="12"/>
  <c r="Q69" i="12" s="1"/>
  <c r="P70" i="12"/>
  <c r="Q70" i="12" s="1"/>
  <c r="P43" i="12"/>
  <c r="Q43" i="12" s="1"/>
  <c r="R69" i="12"/>
  <c r="R70" i="12"/>
  <c r="P64" i="12"/>
  <c r="Q64" i="12" s="1"/>
  <c r="H16" i="12"/>
  <c r="J16" i="12" s="1"/>
  <c r="F22" i="12"/>
  <c r="F28" i="12"/>
  <c r="H34" i="12"/>
  <c r="J34" i="12" s="1"/>
  <c r="H18" i="12"/>
  <c r="F12" i="12"/>
  <c r="H32" i="12"/>
  <c r="J32" i="12" s="1"/>
  <c r="H12" i="12"/>
  <c r="J12" i="12" s="1"/>
  <c r="F20" i="12"/>
  <c r="F24" i="12"/>
  <c r="H28" i="12"/>
  <c r="J28" i="12" s="1"/>
  <c r="F16" i="12"/>
  <c r="H20" i="12"/>
  <c r="H24" i="12"/>
  <c r="J24" i="12" s="1"/>
  <c r="F38" i="12"/>
  <c r="F18" i="12"/>
  <c r="F26" i="12"/>
  <c r="F30" i="12"/>
  <c r="F32" i="12"/>
  <c r="H36" i="12"/>
  <c r="F14" i="12"/>
  <c r="H26" i="12"/>
  <c r="H30" i="12"/>
  <c r="J30" i="12" s="1"/>
  <c r="H14" i="12"/>
  <c r="J14" i="12" s="1"/>
  <c r="F10" i="12"/>
  <c r="F39" i="12" s="1"/>
  <c r="F36" i="12"/>
  <c r="H10" i="12"/>
  <c r="V222" i="9"/>
  <c r="S196" i="9"/>
  <c r="S202" i="9" s="1"/>
  <c r="O190" i="9"/>
  <c r="V177" i="9"/>
  <c r="V178" i="9" s="1"/>
  <c r="S157" i="9"/>
  <c r="S140" i="9"/>
  <c r="S141" i="9" s="1"/>
  <c r="S142" i="9" s="1"/>
  <c r="F125" i="9"/>
  <c r="F126" i="9" s="1"/>
  <c r="S82" i="9"/>
  <c r="S83" i="9" s="1"/>
  <c r="S84" i="9" s="1"/>
  <c r="N77" i="9"/>
  <c r="N78" i="9" s="1"/>
  <c r="S59" i="9"/>
  <c r="S61" i="9" s="1"/>
  <c r="S62" i="9" s="1"/>
  <c r="Q49" i="9"/>
  <c r="Q50" i="9" s="1"/>
  <c r="Y68" i="9"/>
  <c r="G29" i="9"/>
  <c r="G31" i="9" s="1"/>
  <c r="G32" i="9" s="1"/>
  <c r="N25" i="9"/>
  <c r="N26" i="9" s="1"/>
  <c r="W100" i="12"/>
  <c r="H94" i="12"/>
  <c r="U82" i="12"/>
  <c r="R77" i="12"/>
  <c r="W71" i="12"/>
  <c r="I70" i="12"/>
  <c r="J70" i="12"/>
  <c r="R65" i="12"/>
  <c r="K53" i="12"/>
  <c r="L53" i="12" s="1"/>
  <c r="H49" i="12"/>
  <c r="W38" i="12"/>
  <c r="U32" i="12"/>
  <c r="W26" i="12"/>
  <c r="Y26" i="12" s="1"/>
  <c r="K75" i="12"/>
  <c r="K78" i="12" s="1"/>
  <c r="K80" i="12"/>
  <c r="O80" i="12" s="1"/>
  <c r="K86" i="12"/>
  <c r="K92" i="12"/>
  <c r="K98" i="12"/>
  <c r="M75" i="12"/>
  <c r="K77" i="12"/>
  <c r="K82" i="12"/>
  <c r="K88" i="12"/>
  <c r="K102" i="12"/>
  <c r="M77" i="12"/>
  <c r="M82" i="12"/>
  <c r="M102" i="12"/>
  <c r="K96" i="12"/>
  <c r="K104" i="12"/>
  <c r="K90" i="12"/>
  <c r="M92" i="12"/>
  <c r="O92" i="12" s="1"/>
  <c r="K106" i="12"/>
  <c r="M90" i="12"/>
  <c r="M106" i="12"/>
  <c r="K84" i="12"/>
  <c r="M84" i="12"/>
  <c r="M86" i="12"/>
  <c r="O86" i="12" s="1"/>
  <c r="Z97" i="10"/>
  <c r="S93" i="9"/>
  <c r="S95" i="9" s="1"/>
  <c r="S96" i="9" s="1"/>
  <c r="Q61" i="9"/>
  <c r="Q62" i="9" s="1"/>
  <c r="O19" i="9"/>
  <c r="O20" i="9" s="1"/>
  <c r="T76" i="10"/>
  <c r="U76" i="10" s="1"/>
  <c r="U104" i="12"/>
  <c r="R96" i="12"/>
  <c r="T96" i="12" s="1"/>
  <c r="F94" i="12"/>
  <c r="U71" i="12"/>
  <c r="V71" i="12" s="1"/>
  <c r="R66" i="12"/>
  <c r="P65" i="12"/>
  <c r="Q65" i="12" s="1"/>
  <c r="N58" i="12"/>
  <c r="W47" i="12"/>
  <c r="H38" i="12"/>
  <c r="U26" i="12"/>
  <c r="U14" i="12"/>
  <c r="AA37" i="9"/>
  <c r="AA38" i="9" s="1"/>
  <c r="G30" i="9"/>
  <c r="Z25" i="10"/>
  <c r="Z76" i="10"/>
  <c r="AA76" i="10" s="1"/>
  <c r="V91" i="10"/>
  <c r="T97" i="10"/>
  <c r="X97" i="10" s="1"/>
  <c r="V103" i="10"/>
  <c r="H106" i="12"/>
  <c r="M98" i="12"/>
  <c r="O98" i="12" s="1"/>
  <c r="W82" i="12"/>
  <c r="Y82" i="12" s="1"/>
  <c r="N201" i="9"/>
  <c r="N203" i="9" s="1"/>
  <c r="N204" i="9" s="1"/>
  <c r="S216" i="9"/>
  <c r="S163" i="9"/>
  <c r="S165" i="9" s="1"/>
  <c r="S166" i="9" s="1"/>
  <c r="O157" i="9"/>
  <c r="S123" i="9"/>
  <c r="S125" i="9" s="1"/>
  <c r="S126" i="9" s="1"/>
  <c r="W94" i="9"/>
  <c r="Q95" i="9"/>
  <c r="Q96" i="9" s="1"/>
  <c r="W81" i="9"/>
  <c r="O42" i="9"/>
  <c r="S36" i="9"/>
  <c r="K100" i="12"/>
  <c r="W88" i="12"/>
  <c r="Y88" i="12" s="1"/>
  <c r="P84" i="12"/>
  <c r="P62" i="12"/>
  <c r="Q62" i="12" s="1"/>
  <c r="W59" i="12"/>
  <c r="K51" i="12"/>
  <c r="L51" i="12" s="1"/>
  <c r="U47" i="12"/>
  <c r="V47" i="12" s="1"/>
  <c r="W93" i="9"/>
  <c r="AA68" i="9"/>
  <c r="K197" i="9"/>
  <c r="K198" i="9" s="1"/>
  <c r="G169" i="9"/>
  <c r="G171" i="9" s="1"/>
  <c r="G172" i="9" s="1"/>
  <c r="Q165" i="9"/>
  <c r="Q166" i="9" s="1"/>
  <c r="W139" i="9"/>
  <c r="W124" i="9"/>
  <c r="Q125" i="9"/>
  <c r="Q126" i="9" s="1"/>
  <c r="S53" i="9"/>
  <c r="S55" i="9" s="1"/>
  <c r="S56" i="9" s="1"/>
  <c r="G48" i="9"/>
  <c r="G47" i="9"/>
  <c r="G49" i="9" s="1"/>
  <c r="G50" i="9" s="1"/>
  <c r="F49" i="9"/>
  <c r="F50" i="9" s="1"/>
  <c r="S30" i="9"/>
  <c r="AA25" i="9"/>
  <c r="AA26" i="9" s="1"/>
  <c r="M96" i="12"/>
  <c r="O96" i="12" s="1"/>
  <c r="F88" i="12"/>
  <c r="H82" i="12"/>
  <c r="J82" i="12" s="1"/>
  <c r="F75" i="12"/>
  <c r="F78" i="12" s="1"/>
  <c r="R71" i="12"/>
  <c r="R67" i="12"/>
  <c r="P66" i="12"/>
  <c r="Q66" i="12" s="1"/>
  <c r="W63" i="12"/>
  <c r="W36" i="12"/>
  <c r="U18" i="12"/>
  <c r="T93" i="10"/>
  <c r="X69" i="10"/>
  <c r="W69" i="10"/>
  <c r="K44" i="12"/>
  <c r="L44" i="12" s="1"/>
  <c r="K54" i="12"/>
  <c r="L54" i="12" s="1"/>
  <c r="K59" i="12"/>
  <c r="L59" i="12" s="1"/>
  <c r="K66" i="12"/>
  <c r="L66" i="12" s="1"/>
  <c r="K56" i="12"/>
  <c r="L56" i="12" s="1"/>
  <c r="K61" i="12"/>
  <c r="L61" i="12" s="1"/>
  <c r="K70" i="12"/>
  <c r="L70" i="12" s="1"/>
  <c r="M45" i="12"/>
  <c r="M47" i="12"/>
  <c r="M49" i="12"/>
  <c r="M50" i="12"/>
  <c r="M51" i="12"/>
  <c r="K67" i="12"/>
  <c r="L67" i="12" s="1"/>
  <c r="M68" i="12"/>
  <c r="K69" i="12"/>
  <c r="L69" i="12" s="1"/>
  <c r="M70" i="12"/>
  <c r="M71" i="12"/>
  <c r="K65" i="12"/>
  <c r="L65" i="12" s="1"/>
  <c r="K63" i="12"/>
  <c r="L63" i="12" s="1"/>
  <c r="K64" i="12"/>
  <c r="L64" i="12" s="1"/>
  <c r="M67" i="12"/>
  <c r="K43" i="12"/>
  <c r="L43" i="12" s="1"/>
  <c r="K58" i="12"/>
  <c r="L58" i="12" s="1"/>
  <c r="K60" i="12"/>
  <c r="L60" i="12" s="1"/>
  <c r="K62" i="12"/>
  <c r="L62" i="12" s="1"/>
  <c r="M64" i="12"/>
  <c r="M65" i="12"/>
  <c r="N139" i="9"/>
  <c r="G131" i="9"/>
  <c r="N123" i="9"/>
  <c r="N93" i="9"/>
  <c r="I88" i="9"/>
  <c r="I89" i="9" s="1"/>
  <c r="I90" i="9" s="1"/>
  <c r="U87" i="9"/>
  <c r="U89" i="9" s="1"/>
  <c r="U90" i="9" s="1"/>
  <c r="G87" i="9"/>
  <c r="G89" i="9" s="1"/>
  <c r="G90" i="9" s="1"/>
  <c r="AA81" i="9"/>
  <c r="AA83" i="9" s="1"/>
  <c r="AA84" i="9" s="1"/>
  <c r="N81" i="9"/>
  <c r="V76" i="9"/>
  <c r="V77" i="9" s="1"/>
  <c r="V78" i="9" s="1"/>
  <c r="I76" i="9"/>
  <c r="U75" i="9"/>
  <c r="F75" i="9"/>
  <c r="AA60" i="9"/>
  <c r="AA61" i="9" s="1"/>
  <c r="AA62" i="9" s="1"/>
  <c r="O59" i="9"/>
  <c r="U54" i="9"/>
  <c r="W54" i="9" s="1"/>
  <c r="Y53" i="9"/>
  <c r="Y55" i="9" s="1"/>
  <c r="Y56" i="9" s="1"/>
  <c r="I53" i="9"/>
  <c r="I55" i="9" s="1"/>
  <c r="I56" i="9" s="1"/>
  <c r="N48" i="9"/>
  <c r="O48" i="9" s="1"/>
  <c r="S47" i="9"/>
  <c r="S49" i="9" s="1"/>
  <c r="S50" i="9" s="1"/>
  <c r="M41" i="9"/>
  <c r="M43" i="9" s="1"/>
  <c r="M44" i="9" s="1"/>
  <c r="Q36" i="9"/>
  <c r="Y35" i="9"/>
  <c r="F35" i="9"/>
  <c r="AA30" i="9"/>
  <c r="K30" i="9"/>
  <c r="K31" i="9" s="1"/>
  <c r="K32" i="9" s="1"/>
  <c r="S29" i="9"/>
  <c r="S31" i="9" s="1"/>
  <c r="S32" i="9" s="1"/>
  <c r="U24" i="9"/>
  <c r="E24" i="9"/>
  <c r="G24" i="9" s="1"/>
  <c r="M23" i="9"/>
  <c r="U88" i="12"/>
  <c r="W75" i="12"/>
  <c r="K71" i="12"/>
  <c r="L71" i="12" s="1"/>
  <c r="I66" i="12"/>
  <c r="H65" i="12"/>
  <c r="M61" i="12"/>
  <c r="X56" i="12"/>
  <c r="U53" i="12"/>
  <c r="V53" i="12" s="1"/>
  <c r="Y52" i="12"/>
  <c r="U51" i="12"/>
  <c r="V51" i="12" s="1"/>
  <c r="W51" i="12"/>
  <c r="K47" i="12"/>
  <c r="L47" i="12" s="1"/>
  <c r="U45" i="12"/>
  <c r="V45" i="12" s="1"/>
  <c r="U36" i="12"/>
  <c r="P24" i="12"/>
  <c r="R12" i="12"/>
  <c r="T101" i="10"/>
  <c r="AB91" i="10"/>
  <c r="K25" i="9"/>
  <c r="K26" i="9" s="1"/>
  <c r="H23" i="10"/>
  <c r="N25" i="10"/>
  <c r="T27" i="10"/>
  <c r="AB29" i="10"/>
  <c r="J33" i="10"/>
  <c r="Z33" i="10"/>
  <c r="H37" i="10"/>
  <c r="P39" i="10"/>
  <c r="R39" i="10" s="1"/>
  <c r="H41" i="10"/>
  <c r="P43" i="10"/>
  <c r="R43" i="10" s="1"/>
  <c r="H45" i="10"/>
  <c r="P47" i="10"/>
  <c r="T52" i="10"/>
  <c r="U52" i="10" s="1"/>
  <c r="Z54" i="10"/>
  <c r="AA54" i="10" s="1"/>
  <c r="V62" i="10"/>
  <c r="Z66" i="10"/>
  <c r="AA66" i="10" s="1"/>
  <c r="N19" i="10"/>
  <c r="T21" i="10"/>
  <c r="Z23" i="10"/>
  <c r="V27" i="10"/>
  <c r="N29" i="10"/>
  <c r="T31" i="10"/>
  <c r="AB33" i="10"/>
  <c r="T35" i="10"/>
  <c r="Z37" i="10"/>
  <c r="J41" i="10"/>
  <c r="L41" i="10" s="1"/>
  <c r="Z41" i="10"/>
  <c r="J45" i="10"/>
  <c r="Z45" i="10"/>
  <c r="T58" i="10"/>
  <c r="U58" i="10" s="1"/>
  <c r="Z60" i="10"/>
  <c r="AA60" i="10" s="1"/>
  <c r="T64" i="10"/>
  <c r="U64" i="10" s="1"/>
  <c r="AB72" i="10"/>
  <c r="Z74" i="10"/>
  <c r="AA74" i="10" s="1"/>
  <c r="V21" i="10"/>
  <c r="X21" i="10" s="1"/>
  <c r="H27" i="10"/>
  <c r="P29" i="10"/>
  <c r="R29" i="10" s="1"/>
  <c r="V31" i="10"/>
  <c r="X31" i="10" s="1"/>
  <c r="N33" i="10"/>
  <c r="V35" i="10"/>
  <c r="X35" i="10" s="1"/>
  <c r="T39" i="10"/>
  <c r="AB41" i="10"/>
  <c r="T43" i="10"/>
  <c r="AB45" i="10"/>
  <c r="T47" i="10"/>
  <c r="AB66" i="10"/>
  <c r="Z68" i="10"/>
  <c r="AA68" i="10" s="1"/>
  <c r="H21" i="10"/>
  <c r="H48" i="10" s="1"/>
  <c r="N23" i="10"/>
  <c r="T25" i="10"/>
  <c r="Z27" i="10"/>
  <c r="H31" i="10"/>
  <c r="P33" i="10"/>
  <c r="R33" i="10" s="1"/>
  <c r="H35" i="10"/>
  <c r="N37" i="10"/>
  <c r="V39" i="10"/>
  <c r="N41" i="10"/>
  <c r="V43" i="10"/>
  <c r="N45" i="10"/>
  <c r="V47" i="10"/>
  <c r="T54" i="10"/>
  <c r="U54" i="10" s="1"/>
  <c r="Z56" i="10"/>
  <c r="AA56" i="10" s="1"/>
  <c r="Z62" i="10"/>
  <c r="AA62" i="10" s="1"/>
  <c r="T19" i="10"/>
  <c r="P21" i="10"/>
  <c r="R21" i="10" s="1"/>
  <c r="H29" i="10"/>
  <c r="T33" i="10"/>
  <c r="AB35" i="10"/>
  <c r="J39" i="10"/>
  <c r="Z43" i="10"/>
  <c r="J47" i="10"/>
  <c r="AB21" i="10"/>
  <c r="H25" i="10"/>
  <c r="T29" i="10"/>
  <c r="P31" i="10"/>
  <c r="R31" i="10" s="1"/>
  <c r="N39" i="10"/>
  <c r="V41" i="10"/>
  <c r="N47" i="10"/>
  <c r="AB80" i="10"/>
  <c r="T91" i="10"/>
  <c r="Z93" i="10"/>
  <c r="V101" i="10"/>
  <c r="X101" i="10" s="1"/>
  <c r="T105" i="10"/>
  <c r="AB107" i="10"/>
  <c r="T109" i="10"/>
  <c r="AB111" i="10"/>
  <c r="T113" i="10"/>
  <c r="Z19" i="10"/>
  <c r="N27" i="10"/>
  <c r="V29" i="10"/>
  <c r="X29" i="10" s="1"/>
  <c r="Z31" i="10"/>
  <c r="J35" i="10"/>
  <c r="L35" i="10" s="1"/>
  <c r="H43" i="10"/>
  <c r="P45" i="10"/>
  <c r="T56" i="10"/>
  <c r="U56" i="10" s="1"/>
  <c r="AB62" i="10"/>
  <c r="T66" i="10"/>
  <c r="U66" i="10" s="1"/>
  <c r="T68" i="10"/>
  <c r="U68" i="10" s="1"/>
  <c r="T74" i="10"/>
  <c r="U74" i="10" s="1"/>
  <c r="V76" i="10"/>
  <c r="P27" i="10"/>
  <c r="AB31" i="10"/>
  <c r="Z39" i="10"/>
  <c r="J43" i="10"/>
  <c r="L43" i="10" s="1"/>
  <c r="Z47" i="10"/>
  <c r="Z52" i="10"/>
  <c r="AA52" i="10" s="1"/>
  <c r="Z70" i="10"/>
  <c r="AA70" i="10" s="1"/>
  <c r="T72" i="10"/>
  <c r="U72" i="10" s="1"/>
  <c r="AB27" i="10"/>
  <c r="H33" i="10"/>
  <c r="T37" i="10"/>
  <c r="AB47" i="10"/>
  <c r="AB56" i="10"/>
  <c r="Z58" i="10"/>
  <c r="AA58" i="10" s="1"/>
  <c r="V60" i="10"/>
  <c r="T23" i="10"/>
  <c r="V37" i="10"/>
  <c r="X37" i="10" s="1"/>
  <c r="N43" i="10"/>
  <c r="V66" i="10"/>
  <c r="V74" i="10"/>
  <c r="AB78" i="10"/>
  <c r="V80" i="10"/>
  <c r="T84" i="10"/>
  <c r="T87" i="10" s="1"/>
  <c r="T116" i="10" s="1"/>
  <c r="T89" i="10"/>
  <c r="AB97" i="10"/>
  <c r="T99" i="10"/>
  <c r="Z103" i="10"/>
  <c r="Z109" i="10"/>
  <c r="T111" i="10"/>
  <c r="J21" i="10"/>
  <c r="L21" i="10" s="1"/>
  <c r="J29" i="10"/>
  <c r="L29" i="10" s="1"/>
  <c r="V33" i="10"/>
  <c r="H39" i="10"/>
  <c r="Z64" i="10"/>
  <c r="AA64" i="10" s="1"/>
  <c r="V68" i="10"/>
  <c r="Z72" i="10"/>
  <c r="AA72" i="10" s="1"/>
  <c r="Z29" i="10"/>
  <c r="N35" i="10"/>
  <c r="AB43" i="10"/>
  <c r="AD43" i="10" s="1"/>
  <c r="AB52" i="10"/>
  <c r="T78" i="10"/>
  <c r="U78" i="10" s="1"/>
  <c r="Z84" i="10"/>
  <c r="Z87" i="10" s="1"/>
  <c r="T95" i="10"/>
  <c r="AB115" i="10"/>
  <c r="K10" i="12"/>
  <c r="K18" i="12"/>
  <c r="K24" i="12"/>
  <c r="K30" i="12"/>
  <c r="M36" i="12"/>
  <c r="H47" i="10"/>
  <c r="AB68" i="10"/>
  <c r="AB76" i="10"/>
  <c r="Z80" i="10"/>
  <c r="AA80" i="10" s="1"/>
  <c r="AB95" i="10"/>
  <c r="AD95" i="10" s="1"/>
  <c r="Z99" i="10"/>
  <c r="Z101" i="10"/>
  <c r="V105" i="10"/>
  <c r="V107" i="10"/>
  <c r="V109" i="10"/>
  <c r="V111" i="10"/>
  <c r="T115" i="10"/>
  <c r="M10" i="12"/>
  <c r="P16" i="12"/>
  <c r="R20" i="12"/>
  <c r="R24" i="12"/>
  <c r="N21" i="10"/>
  <c r="T70" i="10"/>
  <c r="U70" i="10" s="1"/>
  <c r="AB99" i="10"/>
  <c r="AB101" i="10"/>
  <c r="AD101" i="10" s="1"/>
  <c r="AB103" i="10"/>
  <c r="AD103" i="10" s="1"/>
  <c r="Z105" i="10"/>
  <c r="Z111" i="10"/>
  <c r="Z113" i="10"/>
  <c r="V115" i="10"/>
  <c r="K14" i="12"/>
  <c r="R16" i="12"/>
  <c r="K22" i="12"/>
  <c r="M26" i="12"/>
  <c r="O26" i="12" s="1"/>
  <c r="P34" i="12"/>
  <c r="P38" i="12"/>
  <c r="U69" i="12"/>
  <c r="V69" i="12" s="1"/>
  <c r="U86" i="12"/>
  <c r="U92" i="12"/>
  <c r="U98" i="12"/>
  <c r="W104" i="12"/>
  <c r="Z21" i="10"/>
  <c r="AB39" i="10"/>
  <c r="AD39" i="10" s="1"/>
  <c r="AB74" i="10"/>
  <c r="Z78" i="10"/>
  <c r="AA78" i="10" s="1"/>
  <c r="V84" i="10"/>
  <c r="AB105" i="10"/>
  <c r="Z107" i="10"/>
  <c r="AB109" i="10"/>
  <c r="AD109" i="10" s="1"/>
  <c r="AB113" i="10"/>
  <c r="AD113" i="10" s="1"/>
  <c r="Z115" i="10"/>
  <c r="P10" i="12"/>
  <c r="U20" i="12"/>
  <c r="U24" i="12"/>
  <c r="P30" i="12"/>
  <c r="R34" i="12"/>
  <c r="K36" i="12"/>
  <c r="W43" i="12"/>
  <c r="J31" i="10"/>
  <c r="L31" i="10" s="1"/>
  <c r="V72" i="10"/>
  <c r="AB84" i="10"/>
  <c r="K32" i="12"/>
  <c r="N31" i="10"/>
  <c r="V45" i="10"/>
  <c r="X45" i="10" s="1"/>
  <c r="V78" i="10"/>
  <c r="Z91" i="10"/>
  <c r="W10" i="12"/>
  <c r="M20" i="12"/>
  <c r="U22" i="12"/>
  <c r="W49" i="12"/>
  <c r="F59" i="12"/>
  <c r="G59" i="12" s="1"/>
  <c r="F61" i="12"/>
  <c r="G61" i="12" s="1"/>
  <c r="U67" i="12"/>
  <c r="V67" i="12" s="1"/>
  <c r="T60" i="10"/>
  <c r="U60" i="10" s="1"/>
  <c r="T80" i="10"/>
  <c r="U80" i="10" s="1"/>
  <c r="V95" i="10"/>
  <c r="X95" i="10" s="1"/>
  <c r="V113" i="10"/>
  <c r="X113" i="10" s="1"/>
  <c r="P18" i="12"/>
  <c r="W22" i="12"/>
  <c r="M32" i="12"/>
  <c r="O32" i="12" s="1"/>
  <c r="K34" i="12"/>
  <c r="P36" i="12"/>
  <c r="K38" i="12"/>
  <c r="H43" i="12"/>
  <c r="U43" i="12"/>
  <c r="V43" i="12" s="1"/>
  <c r="U65" i="12"/>
  <c r="V65" i="12" s="1"/>
  <c r="W67" i="12"/>
  <c r="W90" i="12"/>
  <c r="Y90" i="12" s="1"/>
  <c r="H96" i="12"/>
  <c r="F104" i="12"/>
  <c r="P23" i="10"/>
  <c r="R23" i="10" s="1"/>
  <c r="P35" i="10"/>
  <c r="V89" i="10"/>
  <c r="X89" i="10" s="1"/>
  <c r="K16" i="12"/>
  <c r="K28" i="12"/>
  <c r="M34" i="12"/>
  <c r="R36" i="12"/>
  <c r="M38" i="12"/>
  <c r="F53" i="12"/>
  <c r="G53" i="12" s="1"/>
  <c r="F55" i="12"/>
  <c r="G55" i="12" s="1"/>
  <c r="H57" i="12"/>
  <c r="H59" i="12"/>
  <c r="U63" i="12"/>
  <c r="V63" i="12" s="1"/>
  <c r="U80" i="12"/>
  <c r="F84" i="12"/>
  <c r="H90" i="12"/>
  <c r="J90" i="12" s="1"/>
  <c r="W98" i="12"/>
  <c r="Y98" i="12" s="1"/>
  <c r="H104" i="12"/>
  <c r="U106" i="12"/>
  <c r="Z35" i="10"/>
  <c r="Z89" i="10"/>
  <c r="Z95" i="10"/>
  <c r="T103" i="10"/>
  <c r="K12" i="12"/>
  <c r="P14" i="12"/>
  <c r="M16" i="12"/>
  <c r="O16" i="12" s="1"/>
  <c r="K26" i="12"/>
  <c r="M30" i="12"/>
  <c r="O30" i="12" s="1"/>
  <c r="R32" i="12"/>
  <c r="U61" i="12"/>
  <c r="V61" i="12" s="1"/>
  <c r="F80" i="12"/>
  <c r="W92" i="12"/>
  <c r="Y92" i="12" s="1"/>
  <c r="F98" i="12"/>
  <c r="U100" i="12"/>
  <c r="F106" i="12"/>
  <c r="W106" i="12"/>
  <c r="H100" i="12"/>
  <c r="H80" i="12"/>
  <c r="U75" i="12"/>
  <c r="U78" i="12" s="1"/>
  <c r="F65" i="12"/>
  <c r="G65" i="12" s="1"/>
  <c r="M63" i="12"/>
  <c r="M60" i="12"/>
  <c r="W57" i="12"/>
  <c r="X50" i="12"/>
  <c r="Y50" i="12"/>
  <c r="K48" i="12"/>
  <c r="L48" i="12" s="1"/>
  <c r="K20" i="12"/>
  <c r="P12" i="12"/>
  <c r="AB89" i="10"/>
  <c r="AD89" i="10" s="1"/>
  <c r="T62" i="10"/>
  <c r="U62" i="10" s="1"/>
  <c r="T45" i="10"/>
  <c r="M61" i="9"/>
  <c r="M62" i="9" s="1"/>
  <c r="N54" i="9"/>
  <c r="O54" i="9" s="1"/>
  <c r="F55" i="9"/>
  <c r="F56" i="9" s="1"/>
  <c r="N36" i="9"/>
  <c r="Q24" i="9"/>
  <c r="Q25" i="9" s="1"/>
  <c r="Q26" i="9" s="1"/>
  <c r="Y25" i="9"/>
  <c r="Y26" i="9" s="1"/>
  <c r="G23" i="9"/>
  <c r="O18" i="9"/>
  <c r="K17" i="9"/>
  <c r="AA17" i="9"/>
  <c r="AA19" i="9" s="1"/>
  <c r="AA20" i="9" s="1"/>
  <c r="S18" i="9"/>
  <c r="W17" i="9"/>
  <c r="U23" i="9"/>
  <c r="U25" i="9" s="1"/>
  <c r="U26" i="9" s="1"/>
  <c r="I24" i="9"/>
  <c r="V24" i="9"/>
  <c r="N29" i="9"/>
  <c r="AA29" i="9"/>
  <c r="AA31" i="9" s="1"/>
  <c r="AA32" i="9" s="1"/>
  <c r="U35" i="9"/>
  <c r="I36" i="9"/>
  <c r="V36" i="9"/>
  <c r="N41" i="9"/>
  <c r="AA41" i="9"/>
  <c r="AA43" i="9" s="1"/>
  <c r="AA44" i="9" s="1"/>
  <c r="U47" i="9"/>
  <c r="I48" i="9"/>
  <c r="V48" i="9"/>
  <c r="N53" i="9"/>
  <c r="AA53" i="9"/>
  <c r="AA55" i="9" s="1"/>
  <c r="AA56" i="9" s="1"/>
  <c r="U59" i="9"/>
  <c r="U61" i="9" s="1"/>
  <c r="U62" i="9" s="1"/>
  <c r="I60" i="9"/>
  <c r="V60" i="9"/>
  <c r="W60" i="9" s="1"/>
  <c r="G17" i="9"/>
  <c r="I23" i="9"/>
  <c r="V23" i="9"/>
  <c r="K24" i="9"/>
  <c r="E30" i="9"/>
  <c r="Q30" i="9"/>
  <c r="Q31" i="9" s="1"/>
  <c r="Q32" i="9" s="1"/>
  <c r="I35" i="9"/>
  <c r="V35" i="9"/>
  <c r="K36" i="9"/>
  <c r="E42" i="9"/>
  <c r="G42" i="9" s="1"/>
  <c r="Q42" i="9"/>
  <c r="I47" i="9"/>
  <c r="V47" i="9"/>
  <c r="K48" i="9"/>
  <c r="K49" i="9" s="1"/>
  <c r="K50" i="9" s="1"/>
  <c r="E54" i="9"/>
  <c r="G54" i="9" s="1"/>
  <c r="Q54" i="9"/>
  <c r="Q55" i="9" s="1"/>
  <c r="Q56" i="9" s="1"/>
  <c r="I59" i="9"/>
  <c r="V59" i="9"/>
  <c r="K60" i="9"/>
  <c r="I75" i="9"/>
  <c r="F102" i="12"/>
  <c r="F100" i="12"/>
  <c r="W96" i="12"/>
  <c r="Y96" i="12" s="1"/>
  <c r="W94" i="12"/>
  <c r="Y94" i="12" s="1"/>
  <c r="F86" i="12"/>
  <c r="F82" i="12"/>
  <c r="I64" i="12"/>
  <c r="F63" i="12"/>
  <c r="G63" i="12" s="1"/>
  <c r="U57" i="12"/>
  <c r="V57" i="12" s="1"/>
  <c r="M53" i="12"/>
  <c r="U49" i="12"/>
  <c r="V49" i="12" s="1"/>
  <c r="W30" i="12"/>
  <c r="M28" i="12"/>
  <c r="O28" i="12" s="1"/>
  <c r="M24" i="12"/>
  <c r="M12" i="12"/>
  <c r="T107" i="10"/>
  <c r="T41" i="10"/>
  <c r="K61" i="9"/>
  <c r="K62" i="9" s="1"/>
  <c r="N47" i="9"/>
  <c r="U96" i="12"/>
  <c r="U94" i="12"/>
  <c r="H88" i="12"/>
  <c r="W84" i="12"/>
  <c r="W80" i="12"/>
  <c r="Y80" i="12" s="1"/>
  <c r="H75" i="12"/>
  <c r="H71" i="12"/>
  <c r="H62" i="12"/>
  <c r="H61" i="12"/>
  <c r="M52" i="12"/>
  <c r="X48" i="12"/>
  <c r="Y48" i="12"/>
  <c r="H47" i="12"/>
  <c r="M46" i="12"/>
  <c r="U30" i="12"/>
  <c r="V99" i="10"/>
  <c r="X99" i="10" s="1"/>
  <c r="P41" i="10"/>
  <c r="H56" i="12"/>
  <c r="H55" i="12"/>
  <c r="H53" i="12"/>
  <c r="H52" i="12"/>
  <c r="F51" i="12"/>
  <c r="G51" i="12" s="1"/>
  <c r="F49" i="12"/>
  <c r="G49" i="12" s="1"/>
  <c r="M22" i="12"/>
  <c r="M88" i="12"/>
  <c r="M94" i="12"/>
  <c r="O94" i="12" s="1"/>
  <c r="M100" i="12"/>
  <c r="M104" i="12"/>
  <c r="O104" i="12" s="1"/>
  <c r="M43" i="12"/>
  <c r="M55" i="12"/>
  <c r="M62" i="12"/>
  <c r="M69" i="12"/>
  <c r="M44" i="12"/>
  <c r="M54" i="12"/>
  <c r="M59" i="12"/>
  <c r="M66" i="12"/>
  <c r="V25" i="10"/>
  <c r="J60" i="12"/>
  <c r="H86" i="12"/>
  <c r="J86" i="12" s="1"/>
  <c r="H92" i="12"/>
  <c r="J92" i="12" s="1"/>
  <c r="H98" i="12"/>
  <c r="F77" i="12"/>
  <c r="J77" i="12" s="1"/>
  <c r="H84" i="12"/>
  <c r="F90" i="12"/>
  <c r="F96" i="12"/>
  <c r="H102" i="12"/>
  <c r="J102" i="12" s="1"/>
  <c r="F44" i="12"/>
  <c r="F45" i="12"/>
  <c r="G45" i="12" s="1"/>
  <c r="H48" i="12"/>
  <c r="F50" i="12"/>
  <c r="G50" i="12" s="1"/>
  <c r="H51" i="12"/>
  <c r="H58" i="12"/>
  <c r="H63" i="12"/>
  <c r="F67" i="12"/>
  <c r="G67" i="12" s="1"/>
  <c r="F43" i="12"/>
  <c r="G43" i="12" s="1"/>
  <c r="H45" i="12"/>
  <c r="F47" i="12"/>
  <c r="G47" i="12" s="1"/>
  <c r="H50" i="12"/>
  <c r="F52" i="12"/>
  <c r="G52" i="12" s="1"/>
  <c r="F57" i="12"/>
  <c r="G57" i="12" s="1"/>
  <c r="F64" i="12"/>
  <c r="G64" i="12" s="1"/>
  <c r="H67" i="12"/>
  <c r="F71" i="12"/>
  <c r="G71" i="12" s="1"/>
  <c r="V71" i="10"/>
  <c r="AB70" i="10"/>
  <c r="V70" i="10"/>
  <c r="W12" i="12"/>
  <c r="Y70" i="12"/>
  <c r="W28" i="12"/>
  <c r="U84" i="12"/>
  <c r="W53" i="12"/>
  <c r="W16" i="12"/>
  <c r="X79" i="10"/>
  <c r="W79" i="10"/>
  <c r="U102" i="12"/>
  <c r="Y102" i="12" s="1"/>
  <c r="W69" i="12"/>
  <c r="U66" i="12"/>
  <c r="V66" i="12" s="1"/>
  <c r="W62" i="12"/>
  <c r="U59" i="12"/>
  <c r="V59" i="12" s="1"/>
  <c r="W55" i="12"/>
  <c r="U54" i="12"/>
  <c r="U38" i="12"/>
  <c r="R30" i="12"/>
  <c r="T30" i="12" s="1"/>
  <c r="R26" i="12"/>
  <c r="T26" i="12" s="1"/>
  <c r="W24" i="12"/>
  <c r="Y24" i="12" s="1"/>
  <c r="W20" i="12"/>
  <c r="Y20" i="12" s="1"/>
  <c r="W75" i="10"/>
  <c r="U16" i="12"/>
  <c r="U34" i="12"/>
  <c r="W65" i="12"/>
  <c r="U62" i="12"/>
  <c r="V62" i="12" s="1"/>
  <c r="W60" i="12"/>
  <c r="U55" i="12"/>
  <c r="V55" i="12" s="1"/>
  <c r="W32" i="12"/>
  <c r="Y32" i="12" s="1"/>
  <c r="U28" i="12"/>
  <c r="U12" i="12"/>
  <c r="R14" i="12"/>
  <c r="P20" i="12"/>
  <c r="P26" i="12"/>
  <c r="P32" i="12"/>
  <c r="R38" i="12"/>
  <c r="T38" i="12" s="1"/>
  <c r="AD73" i="10"/>
  <c r="P37" i="10"/>
  <c r="R37" i="10" s="1"/>
  <c r="V93" i="10"/>
  <c r="AB93" i="10"/>
  <c r="J27" i="10"/>
  <c r="L27" i="10" s="1"/>
  <c r="U73" i="10"/>
  <c r="AA69" i="10"/>
  <c r="AB60" i="10"/>
  <c r="AB58" i="10"/>
  <c r="V59" i="10"/>
  <c r="V58" i="10"/>
  <c r="AB59" i="10"/>
  <c r="AD67" i="10"/>
  <c r="AC53" i="10"/>
  <c r="AD53" i="10"/>
  <c r="P25" i="10"/>
  <c r="AB25" i="10"/>
  <c r="AD25" i="10" s="1"/>
  <c r="J25" i="10"/>
  <c r="L25" i="10" s="1"/>
  <c r="W53" i="10"/>
  <c r="X53" i="10"/>
  <c r="AB64" i="10"/>
  <c r="V65" i="10"/>
  <c r="V64" i="10"/>
  <c r="AB54" i="10"/>
  <c r="V55" i="10"/>
  <c r="J23" i="10"/>
  <c r="L23" i="10" s="1"/>
  <c r="AB23" i="10"/>
  <c r="J52" i="10"/>
  <c r="J55" i="10"/>
  <c r="J67" i="10"/>
  <c r="J58" i="10"/>
  <c r="J61" i="10"/>
  <c r="J64" i="10"/>
  <c r="J75" i="10"/>
  <c r="J69" i="10"/>
  <c r="J54" i="10"/>
  <c r="J57" i="10"/>
  <c r="J63" i="10"/>
  <c r="V56" i="10"/>
  <c r="V54" i="10"/>
  <c r="V52" i="10"/>
  <c r="AB19" i="10"/>
  <c r="AB65" i="10"/>
  <c r="AB55" i="10"/>
  <c r="J37" i="10"/>
  <c r="L37" i="10" s="1"/>
  <c r="AB37" i="10"/>
  <c r="V23" i="10"/>
  <c r="X23" i="10" s="1"/>
  <c r="AD61" i="10"/>
  <c r="AD19" i="10" l="1"/>
  <c r="AB48" i="10"/>
  <c r="AD48" i="10" s="1"/>
  <c r="G44" i="12"/>
  <c r="J44" i="12"/>
  <c r="Y10" i="12"/>
  <c r="W39" i="12"/>
  <c r="N70" i="12"/>
  <c r="O70" i="12"/>
  <c r="S55" i="12"/>
  <c r="T55" i="12"/>
  <c r="Q77" i="10"/>
  <c r="R77" i="10"/>
  <c r="Q66" i="10"/>
  <c r="R66" i="10"/>
  <c r="J48" i="10"/>
  <c r="L48" i="10" s="1"/>
  <c r="G158" i="9"/>
  <c r="G182" i="9" s="1"/>
  <c r="E182" i="9"/>
  <c r="K68" i="10"/>
  <c r="L68" i="10"/>
  <c r="F147" i="9"/>
  <c r="F148" i="9" s="1"/>
  <c r="G145" i="9"/>
  <c r="G147" i="9" s="1"/>
  <c r="G148" i="9" s="1"/>
  <c r="U102" i="9"/>
  <c r="U103" i="9" s="1"/>
  <c r="U115" i="9"/>
  <c r="W55" i="10"/>
  <c r="X55" i="10"/>
  <c r="O55" i="12"/>
  <c r="N55" i="12"/>
  <c r="X43" i="10"/>
  <c r="AD41" i="10"/>
  <c r="R69" i="10"/>
  <c r="Q69" i="10"/>
  <c r="E18" i="9"/>
  <c r="E68" i="9" s="1"/>
  <c r="F18" i="9"/>
  <c r="F68" i="9" s="1"/>
  <c r="G81" i="9"/>
  <c r="G83" i="9" s="1"/>
  <c r="G84" i="9" s="1"/>
  <c r="N81" i="10"/>
  <c r="S211" i="9"/>
  <c r="S212" i="9" s="1"/>
  <c r="I217" i="9"/>
  <c r="I218" i="9" s="1"/>
  <c r="I221" i="9"/>
  <c r="I223" i="9" s="1"/>
  <c r="I224" i="9" s="1"/>
  <c r="K61" i="10"/>
  <c r="L61" i="10"/>
  <c r="X25" i="10"/>
  <c r="H78" i="12"/>
  <c r="J75" i="12"/>
  <c r="U107" i="12"/>
  <c r="J96" i="12"/>
  <c r="S70" i="12"/>
  <c r="T70" i="12"/>
  <c r="Q57" i="10"/>
  <c r="R57" i="10"/>
  <c r="E141" i="9"/>
  <c r="E142" i="9" s="1"/>
  <c r="K60" i="10"/>
  <c r="L60" i="10"/>
  <c r="O182" i="9"/>
  <c r="Y45" i="12"/>
  <c r="K58" i="10"/>
  <c r="L58" i="10"/>
  <c r="J58" i="12"/>
  <c r="I58" i="12"/>
  <c r="I53" i="12"/>
  <c r="J53" i="12"/>
  <c r="J80" i="12"/>
  <c r="AD76" i="10"/>
  <c r="AC76" i="10"/>
  <c r="X74" i="10"/>
  <c r="W74" i="10"/>
  <c r="AD21" i="10"/>
  <c r="T77" i="12"/>
  <c r="S67" i="9"/>
  <c r="S69" i="9" s="1"/>
  <c r="S70" i="9" s="1"/>
  <c r="S37" i="9"/>
  <c r="S38" i="9" s="1"/>
  <c r="O56" i="12"/>
  <c r="Q54" i="10"/>
  <c r="R54" i="10"/>
  <c r="E116" i="9"/>
  <c r="G101" i="9"/>
  <c r="G116" i="9" s="1"/>
  <c r="M211" i="9"/>
  <c r="M212" i="9" s="1"/>
  <c r="R101" i="10"/>
  <c r="O231" i="9"/>
  <c r="O230" i="9"/>
  <c r="O232" i="9" s="1"/>
  <c r="O233" i="9" s="1"/>
  <c r="N232" i="9"/>
  <c r="N233" i="9" s="1"/>
  <c r="U133" i="9"/>
  <c r="U134" i="9" s="1"/>
  <c r="W131" i="9"/>
  <c r="W133" i="9" s="1"/>
  <c r="W134" i="9" s="1"/>
  <c r="Y239" i="9"/>
  <c r="AD37" i="10"/>
  <c r="K63" i="10"/>
  <c r="L63" i="10"/>
  <c r="K67" i="10"/>
  <c r="L67" i="10"/>
  <c r="W65" i="10"/>
  <c r="X65" i="10"/>
  <c r="Y12" i="12"/>
  <c r="J51" i="12"/>
  <c r="I51" i="12"/>
  <c r="J84" i="12"/>
  <c r="N59" i="12"/>
  <c r="O59" i="12"/>
  <c r="O100" i="12"/>
  <c r="I55" i="12"/>
  <c r="J55" i="12"/>
  <c r="Y84" i="12"/>
  <c r="O12" i="12"/>
  <c r="J64" i="12"/>
  <c r="I77" i="9"/>
  <c r="I78" i="9" s="1"/>
  <c r="I49" i="9"/>
  <c r="I50" i="9" s="1"/>
  <c r="O53" i="9"/>
  <c r="O55" i="9" s="1"/>
  <c r="O56" i="9" s="1"/>
  <c r="N55" i="9"/>
  <c r="N56" i="9" s="1"/>
  <c r="U37" i="9"/>
  <c r="U38" i="9" s="1"/>
  <c r="J100" i="12"/>
  <c r="T32" i="12"/>
  <c r="X67" i="12"/>
  <c r="Y67" i="12"/>
  <c r="Y22" i="12"/>
  <c r="AD105" i="10"/>
  <c r="X109" i="10"/>
  <c r="AD68" i="10"/>
  <c r="AC68" i="10"/>
  <c r="X68" i="10"/>
  <c r="W68" i="10"/>
  <c r="W66" i="10"/>
  <c r="X66" i="10"/>
  <c r="AC80" i="10"/>
  <c r="AD80" i="10"/>
  <c r="L47" i="10"/>
  <c r="AD33" i="10"/>
  <c r="W62" i="10"/>
  <c r="X62" i="10"/>
  <c r="X51" i="12"/>
  <c r="Y51" i="12"/>
  <c r="N83" i="9"/>
  <c r="N84" i="9" s="1"/>
  <c r="O81" i="9"/>
  <c r="O83" i="9" s="1"/>
  <c r="O84" i="9" s="1"/>
  <c r="N141" i="9"/>
  <c r="N142" i="9" s="1"/>
  <c r="N181" i="9"/>
  <c r="N183" i="9" s="1"/>
  <c r="N184" i="9" s="1"/>
  <c r="O139" i="9"/>
  <c r="O141" i="9" s="1"/>
  <c r="O142" i="9" s="1"/>
  <c r="N51" i="12"/>
  <c r="O51" i="12"/>
  <c r="Y36" i="12"/>
  <c r="O159" i="9"/>
  <c r="O160" i="9" s="1"/>
  <c r="J106" i="12"/>
  <c r="AA67" i="9"/>
  <c r="AA69" i="9" s="1"/>
  <c r="AA70" i="9" s="1"/>
  <c r="S66" i="12"/>
  <c r="T66" i="12"/>
  <c r="Q67" i="9"/>
  <c r="O84" i="12"/>
  <c r="O75" i="12"/>
  <c r="M78" i="12"/>
  <c r="Y38" i="12"/>
  <c r="J20" i="12"/>
  <c r="J18" i="12"/>
  <c r="P72" i="12"/>
  <c r="S45" i="12"/>
  <c r="T45" i="12"/>
  <c r="S62" i="12"/>
  <c r="T62" i="12"/>
  <c r="S58" i="12"/>
  <c r="T58" i="12"/>
  <c r="T104" i="12"/>
  <c r="T100" i="12"/>
  <c r="T82" i="12"/>
  <c r="O48" i="12"/>
  <c r="S19" i="9"/>
  <c r="S20" i="9" s="1"/>
  <c r="S197" i="9"/>
  <c r="S198" i="9" s="1"/>
  <c r="R61" i="10"/>
  <c r="Q61" i="10"/>
  <c r="R58" i="10"/>
  <c r="Q58" i="10"/>
  <c r="R68" i="10"/>
  <c r="Q68" i="10"/>
  <c r="E202" i="9"/>
  <c r="G196" i="9"/>
  <c r="G202" i="9" s="1"/>
  <c r="E37" i="9"/>
  <c r="E38" i="9" s="1"/>
  <c r="E67" i="9"/>
  <c r="K102" i="9"/>
  <c r="K103" i="9" s="1"/>
  <c r="K115" i="9"/>
  <c r="O165" i="9"/>
  <c r="O166" i="9" s="1"/>
  <c r="F116" i="9"/>
  <c r="G107" i="9"/>
  <c r="L66" i="10"/>
  <c r="K66" i="10"/>
  <c r="K78" i="10"/>
  <c r="L78" i="10"/>
  <c r="K72" i="10"/>
  <c r="L72" i="10"/>
  <c r="K71" i="10"/>
  <c r="L71" i="10"/>
  <c r="E177" i="9"/>
  <c r="E178" i="9" s="1"/>
  <c r="F232" i="9"/>
  <c r="F233" i="9" s="1"/>
  <c r="G230" i="9"/>
  <c r="G232" i="9" s="1"/>
  <c r="G233" i="9" s="1"/>
  <c r="Q211" i="9"/>
  <c r="Q212" i="9" s="1"/>
  <c r="R115" i="10"/>
  <c r="R93" i="10"/>
  <c r="K211" i="9"/>
  <c r="K212" i="9" s="1"/>
  <c r="U43" i="9"/>
  <c r="U44" i="9" s="1"/>
  <c r="Y102" i="9"/>
  <c r="Y103" i="9" s="1"/>
  <c r="Y115" i="9"/>
  <c r="G189" i="9"/>
  <c r="G191" i="9" s="1"/>
  <c r="G192" i="9" s="1"/>
  <c r="F191" i="9"/>
  <c r="F192" i="9" s="1"/>
  <c r="F201" i="9"/>
  <c r="F203" i="9" s="1"/>
  <c r="F204" i="9" s="1"/>
  <c r="I232" i="9"/>
  <c r="I233" i="9" s="1"/>
  <c r="AA217" i="9"/>
  <c r="AA218" i="9" s="1"/>
  <c r="AA221" i="9"/>
  <c r="AA223" i="9" s="1"/>
  <c r="AA224" i="9" s="1"/>
  <c r="N153" i="9"/>
  <c r="N154" i="9" s="1"/>
  <c r="O151" i="9"/>
  <c r="O153" i="9" s="1"/>
  <c r="O154" i="9" s="1"/>
  <c r="M108" i="9"/>
  <c r="M109" i="9" s="1"/>
  <c r="E147" i="9"/>
  <c r="E148" i="9" s="1"/>
  <c r="U95" i="9"/>
  <c r="U96" i="9" s="1"/>
  <c r="W158" i="9"/>
  <c r="W182" i="9" s="1"/>
  <c r="U182" i="9"/>
  <c r="M181" i="9"/>
  <c r="M183" i="9" s="1"/>
  <c r="M184" i="9" s="1"/>
  <c r="J87" i="10"/>
  <c r="L84" i="10"/>
  <c r="U141" i="9"/>
  <c r="U142" i="9" s="1"/>
  <c r="W59" i="10"/>
  <c r="X59" i="10"/>
  <c r="O62" i="12"/>
  <c r="N62" i="12"/>
  <c r="N45" i="12"/>
  <c r="O45" i="12"/>
  <c r="T57" i="12"/>
  <c r="S57" i="12"/>
  <c r="T43" i="12"/>
  <c r="S43" i="12"/>
  <c r="T84" i="12"/>
  <c r="S239" i="9"/>
  <c r="U197" i="9"/>
  <c r="U198" i="9" s="1"/>
  <c r="U201" i="9"/>
  <c r="W52" i="10"/>
  <c r="X52" i="10"/>
  <c r="AC58" i="10"/>
  <c r="AD58" i="10"/>
  <c r="I67" i="12"/>
  <c r="J67" i="12"/>
  <c r="O53" i="12"/>
  <c r="N53" i="12"/>
  <c r="I37" i="9"/>
  <c r="I38" i="9" s="1"/>
  <c r="I67" i="9"/>
  <c r="I69" i="9" s="1"/>
  <c r="I70" i="9" s="1"/>
  <c r="O58" i="12"/>
  <c r="S159" i="9"/>
  <c r="S160" i="9" s="1"/>
  <c r="S181" i="9"/>
  <c r="S183" i="9" s="1"/>
  <c r="S184" i="9" s="1"/>
  <c r="S56" i="12"/>
  <c r="T56" i="12"/>
  <c r="Q63" i="10"/>
  <c r="R63" i="10"/>
  <c r="L62" i="10"/>
  <c r="K62" i="10"/>
  <c r="K201" i="9"/>
  <c r="K203" i="9" s="1"/>
  <c r="K204" i="9" s="1"/>
  <c r="K191" i="9"/>
  <c r="K192" i="9" s="1"/>
  <c r="G231" i="9"/>
  <c r="O210" i="9"/>
  <c r="O18" i="12"/>
  <c r="W159" i="9"/>
  <c r="W160" i="9" s="1"/>
  <c r="F61" i="9"/>
  <c r="F62" i="9" s="1"/>
  <c r="AC54" i="10"/>
  <c r="AD54" i="10"/>
  <c r="R25" i="10"/>
  <c r="I52" i="12"/>
  <c r="J52" i="12"/>
  <c r="U17" i="9"/>
  <c r="U19" i="9" s="1"/>
  <c r="U20" i="9" s="1"/>
  <c r="V17" i="9"/>
  <c r="W19" i="9"/>
  <c r="W20" i="9" s="1"/>
  <c r="W78" i="10"/>
  <c r="X78" i="10"/>
  <c r="N48" i="10"/>
  <c r="I65" i="12"/>
  <c r="J65" i="12"/>
  <c r="K72" i="12"/>
  <c r="S54" i="12"/>
  <c r="T54" i="12"/>
  <c r="S77" i="9"/>
  <c r="S78" i="9" s="1"/>
  <c r="R80" i="10"/>
  <c r="Q80" i="10"/>
  <c r="R111" i="10"/>
  <c r="G209" i="9"/>
  <c r="G211" i="9" s="1"/>
  <c r="G212" i="9" s="1"/>
  <c r="F211" i="9"/>
  <c r="F212" i="9" s="1"/>
  <c r="O107" i="9"/>
  <c r="N116" i="9"/>
  <c r="N117" i="9" s="1"/>
  <c r="N118" i="9" s="1"/>
  <c r="Y60" i="12"/>
  <c r="X60" i="12"/>
  <c r="X69" i="12"/>
  <c r="Y69" i="12"/>
  <c r="I47" i="12"/>
  <c r="J47" i="12"/>
  <c r="V49" i="9"/>
  <c r="V50" i="9" s="1"/>
  <c r="W47" i="9"/>
  <c r="O34" i="12"/>
  <c r="T16" i="12"/>
  <c r="AC62" i="10"/>
  <c r="AD62" i="10"/>
  <c r="T48" i="10"/>
  <c r="N67" i="12"/>
  <c r="O67" i="12"/>
  <c r="W95" i="9"/>
  <c r="W96" i="9" s="1"/>
  <c r="S63" i="12"/>
  <c r="T63" i="12"/>
  <c r="T75" i="12"/>
  <c r="R78" i="12"/>
  <c r="L56" i="10"/>
  <c r="K56" i="10"/>
  <c r="K70" i="10"/>
  <c r="L70" i="10"/>
  <c r="U191" i="9"/>
  <c r="U192" i="9" s="1"/>
  <c r="K57" i="10"/>
  <c r="L57" i="10"/>
  <c r="K55" i="10"/>
  <c r="L55" i="10"/>
  <c r="AC64" i="10"/>
  <c r="AD64" i="10"/>
  <c r="Y65" i="12"/>
  <c r="X65" i="12"/>
  <c r="W70" i="10"/>
  <c r="X70" i="10"/>
  <c r="I50" i="12"/>
  <c r="J50" i="12"/>
  <c r="N54" i="12"/>
  <c r="O54" i="12"/>
  <c r="I56" i="12"/>
  <c r="J56" i="12"/>
  <c r="J88" i="12"/>
  <c r="O24" i="12"/>
  <c r="W23" i="9"/>
  <c r="V25" i="9"/>
  <c r="V26" i="9" s="1"/>
  <c r="W48" i="9"/>
  <c r="K19" i="9"/>
  <c r="K20" i="9" s="1"/>
  <c r="K67" i="9"/>
  <c r="Y106" i="12"/>
  <c r="I59" i="12"/>
  <c r="J59" i="12"/>
  <c r="X49" i="12"/>
  <c r="Y49" i="12"/>
  <c r="X84" i="10"/>
  <c r="V87" i="10"/>
  <c r="X115" i="10"/>
  <c r="X107" i="10"/>
  <c r="Z116" i="10"/>
  <c r="AD31" i="10"/>
  <c r="R45" i="10"/>
  <c r="AD111" i="10"/>
  <c r="AC66" i="10"/>
  <c r="AD66" i="10"/>
  <c r="AD91" i="10"/>
  <c r="Y75" i="12"/>
  <c r="W78" i="12"/>
  <c r="G35" i="9"/>
  <c r="F37" i="9"/>
  <c r="F38" i="9" s="1"/>
  <c r="F67" i="9"/>
  <c r="F69" i="9" s="1"/>
  <c r="F70" i="9" s="1"/>
  <c r="O65" i="12"/>
  <c r="N65" i="12"/>
  <c r="N50" i="12"/>
  <c r="O50" i="12"/>
  <c r="X63" i="12"/>
  <c r="Y63" i="12"/>
  <c r="X103" i="10"/>
  <c r="O102" i="12"/>
  <c r="J49" i="12"/>
  <c r="I49" i="12"/>
  <c r="J94" i="12"/>
  <c r="J36" i="12"/>
  <c r="T44" i="12"/>
  <c r="S44" i="12"/>
  <c r="S61" i="12"/>
  <c r="T61" i="12"/>
  <c r="S51" i="12"/>
  <c r="T51" i="12"/>
  <c r="T49" i="12"/>
  <c r="S49" i="12"/>
  <c r="T92" i="12"/>
  <c r="T102" i="12"/>
  <c r="S182" i="9"/>
  <c r="E171" i="9"/>
  <c r="E172" i="9" s="1"/>
  <c r="W217" i="9"/>
  <c r="W218" i="9" s="1"/>
  <c r="R71" i="10"/>
  <c r="Q71" i="10"/>
  <c r="Q55" i="10"/>
  <c r="R55" i="10"/>
  <c r="Q53" i="10"/>
  <c r="R53" i="10"/>
  <c r="E95" i="9"/>
  <c r="E96" i="9" s="1"/>
  <c r="G93" i="9"/>
  <c r="G95" i="9" s="1"/>
  <c r="G96" i="9" s="1"/>
  <c r="E159" i="9"/>
  <c r="E160" i="9" s="1"/>
  <c r="E181" i="9"/>
  <c r="E183" i="9" s="1"/>
  <c r="E184" i="9" s="1"/>
  <c r="E108" i="9"/>
  <c r="E109" i="9" s="1"/>
  <c r="W169" i="9"/>
  <c r="W171" i="9" s="1"/>
  <c r="W172" i="9" s="1"/>
  <c r="E217" i="9"/>
  <c r="E218" i="9" s="1"/>
  <c r="E221" i="9"/>
  <c r="H81" i="10"/>
  <c r="K77" i="10"/>
  <c r="L77" i="10"/>
  <c r="Y191" i="9"/>
  <c r="Y192" i="9" s="1"/>
  <c r="Y201" i="9"/>
  <c r="Y203" i="9" s="1"/>
  <c r="Y204" i="9" s="1"/>
  <c r="O202" i="9"/>
  <c r="Q232" i="9"/>
  <c r="Q233" i="9" s="1"/>
  <c r="R107" i="10"/>
  <c r="R89" i="10"/>
  <c r="I191" i="9"/>
  <c r="I192" i="9" s="1"/>
  <c r="I201" i="9"/>
  <c r="I203" i="9" s="1"/>
  <c r="I204" i="9" s="1"/>
  <c r="I102" i="9"/>
  <c r="I103" i="9" s="1"/>
  <c r="I115" i="9"/>
  <c r="K232" i="9"/>
  <c r="K233" i="9" s="1"/>
  <c r="Y217" i="9"/>
  <c r="Y218" i="9" s="1"/>
  <c r="Y221" i="9"/>
  <c r="Y223" i="9" s="1"/>
  <c r="Y224" i="9" s="1"/>
  <c r="S147" i="9"/>
  <c r="S148" i="9" s="1"/>
  <c r="O215" i="9"/>
  <c r="N217" i="9"/>
  <c r="N218" i="9" s="1"/>
  <c r="N221" i="9"/>
  <c r="N223" i="9" s="1"/>
  <c r="N224" i="9" s="1"/>
  <c r="U147" i="9"/>
  <c r="U148" i="9" s="1"/>
  <c r="S102" i="9"/>
  <c r="S103" i="9" s="1"/>
  <c r="S115" i="9"/>
  <c r="U116" i="9"/>
  <c r="W101" i="9"/>
  <c r="Q201" i="9"/>
  <c r="Q203" i="9" s="1"/>
  <c r="Q204" i="9" s="1"/>
  <c r="M201" i="9"/>
  <c r="M203" i="9" s="1"/>
  <c r="M204" i="9" s="1"/>
  <c r="M191" i="9"/>
  <c r="M192" i="9" s="1"/>
  <c r="Y153" i="9"/>
  <c r="Y154" i="9" s="1"/>
  <c r="Y181" i="9"/>
  <c r="Y183" i="9" s="1"/>
  <c r="Y184" i="9" s="1"/>
  <c r="I62" i="12"/>
  <c r="J62" i="12"/>
  <c r="O47" i="9"/>
  <c r="O49" i="9" s="1"/>
  <c r="O50" i="9" s="1"/>
  <c r="N49" i="9"/>
  <c r="N50" i="9" s="1"/>
  <c r="V37" i="9"/>
  <c r="V38" i="9" s="1"/>
  <c r="W35" i="9"/>
  <c r="V67" i="9"/>
  <c r="N63" i="12"/>
  <c r="O63" i="12"/>
  <c r="X60" i="10"/>
  <c r="W60" i="10"/>
  <c r="F77" i="9"/>
  <c r="F78" i="9" s="1"/>
  <c r="G75" i="9"/>
  <c r="G77" i="9" s="1"/>
  <c r="G78" i="9" s="1"/>
  <c r="T71" i="12"/>
  <c r="S71" i="12"/>
  <c r="Q65" i="10"/>
  <c r="R65" i="10"/>
  <c r="K64" i="10"/>
  <c r="L64" i="10"/>
  <c r="I71" i="12"/>
  <c r="J71" i="12"/>
  <c r="O10" i="12"/>
  <c r="M39" i="12"/>
  <c r="Z81" i="10"/>
  <c r="U77" i="9"/>
  <c r="U78" i="9" s="1"/>
  <c r="W75" i="9"/>
  <c r="N95" i="9"/>
  <c r="N96" i="9" s="1"/>
  <c r="O93" i="9"/>
  <c r="O95" i="9" s="1"/>
  <c r="O96" i="9" s="1"/>
  <c r="F107" i="12"/>
  <c r="T52" i="12"/>
  <c r="S52" i="12"/>
  <c r="T68" i="12"/>
  <c r="S68" i="12"/>
  <c r="R39" i="12"/>
  <c r="T39" i="12" s="1"/>
  <c r="R64" i="10"/>
  <c r="Q64" i="10"/>
  <c r="L65" i="10"/>
  <c r="K65" i="10"/>
  <c r="W106" i="9"/>
  <c r="W108" i="9" s="1"/>
  <c r="W109" i="9" s="1"/>
  <c r="V108" i="9"/>
  <c r="V109" i="9" s="1"/>
  <c r="H116" i="10"/>
  <c r="E203" i="9"/>
  <c r="E204" i="9" s="1"/>
  <c r="J63" i="12"/>
  <c r="I63" i="12"/>
  <c r="N43" i="12"/>
  <c r="O43" i="12"/>
  <c r="O36" i="9"/>
  <c r="N37" i="9"/>
  <c r="N38" i="9" s="1"/>
  <c r="AD78" i="10"/>
  <c r="AC78" i="10"/>
  <c r="N68" i="12"/>
  <c r="O68" i="12"/>
  <c r="T50" i="12"/>
  <c r="S50" i="12"/>
  <c r="U39" i="12"/>
  <c r="R73" i="10"/>
  <c r="Q73" i="10"/>
  <c r="N191" i="9"/>
  <c r="N192" i="9" s="1"/>
  <c r="O189" i="9"/>
  <c r="W53" i="9"/>
  <c r="W55" i="9" s="1"/>
  <c r="W56" i="9" s="1"/>
  <c r="U55" i="9"/>
  <c r="U56" i="9" s="1"/>
  <c r="G61" i="9"/>
  <c r="G62" i="9" s="1"/>
  <c r="W56" i="10"/>
  <c r="X56" i="10"/>
  <c r="AD99" i="10"/>
  <c r="AD115" i="10"/>
  <c r="AD47" i="10"/>
  <c r="Z48" i="10"/>
  <c r="J26" i="12"/>
  <c r="S69" i="12"/>
  <c r="T69" i="12"/>
  <c r="S53" i="12"/>
  <c r="T53" i="12"/>
  <c r="Q75" i="10"/>
  <c r="R75" i="10"/>
  <c r="L59" i="10"/>
  <c r="K59" i="10"/>
  <c r="F108" i="9"/>
  <c r="F109" i="9" s="1"/>
  <c r="G106" i="9"/>
  <c r="G108" i="9" s="1"/>
  <c r="G109" i="9" s="1"/>
  <c r="G197" i="9"/>
  <c r="G198" i="9" s="1"/>
  <c r="AA115" i="9"/>
  <c r="AA102" i="9"/>
  <c r="AA103" i="9" s="1"/>
  <c r="L54" i="10"/>
  <c r="K54" i="10"/>
  <c r="AC59" i="10"/>
  <c r="AD59" i="10"/>
  <c r="AD93" i="10"/>
  <c r="T14" i="12"/>
  <c r="V54" i="12"/>
  <c r="U72" i="12" s="1"/>
  <c r="Y54" i="12"/>
  <c r="AD70" i="10"/>
  <c r="AC70" i="10"/>
  <c r="J48" i="12"/>
  <c r="I48" i="12"/>
  <c r="J98" i="12"/>
  <c r="N44" i="12"/>
  <c r="O44" i="12"/>
  <c r="O88" i="12"/>
  <c r="Y66" i="12"/>
  <c r="N52" i="12"/>
  <c r="O52" i="12"/>
  <c r="V61" i="9"/>
  <c r="V62" i="9" s="1"/>
  <c r="W59" i="9"/>
  <c r="W61" i="9" s="1"/>
  <c r="W62" i="9" s="1"/>
  <c r="I25" i="9"/>
  <c r="I26" i="9" s="1"/>
  <c r="O29" i="9"/>
  <c r="N31" i="9"/>
  <c r="N32" i="9" s="1"/>
  <c r="N18" i="9"/>
  <c r="N19" i="9" s="1"/>
  <c r="N20" i="9" s="1"/>
  <c r="M18" i="9"/>
  <c r="X57" i="12"/>
  <c r="Y57" i="12"/>
  <c r="I57" i="12"/>
  <c r="J57" i="12"/>
  <c r="AB87" i="10"/>
  <c r="AD84" i="10"/>
  <c r="T24" i="12"/>
  <c r="X105" i="10"/>
  <c r="O36" i="12"/>
  <c r="AD97" i="10"/>
  <c r="AD27" i="10"/>
  <c r="R27" i="10"/>
  <c r="X41" i="10"/>
  <c r="L39" i="10"/>
  <c r="T81" i="10"/>
  <c r="L33" i="10"/>
  <c r="Y37" i="9"/>
  <c r="Y38" i="9" s="1"/>
  <c r="Y67" i="9"/>
  <c r="Y69" i="9" s="1"/>
  <c r="Y70" i="9" s="1"/>
  <c r="O61" i="9"/>
  <c r="O62" i="9" s="1"/>
  <c r="N64" i="12"/>
  <c r="O64" i="12"/>
  <c r="N49" i="12"/>
  <c r="O49" i="12"/>
  <c r="W141" i="9"/>
  <c r="W142" i="9" s="1"/>
  <c r="X59" i="12"/>
  <c r="Y59" i="12"/>
  <c r="N61" i="9"/>
  <c r="N62" i="9" s="1"/>
  <c r="AA201" i="9"/>
  <c r="AA203" i="9" s="1"/>
  <c r="AA204" i="9" s="1"/>
  <c r="N67" i="9"/>
  <c r="O106" i="12"/>
  <c r="O82" i="12"/>
  <c r="Y100" i="12"/>
  <c r="W123" i="9"/>
  <c r="W125" i="9" s="1"/>
  <c r="W126" i="9" s="1"/>
  <c r="H39" i="12"/>
  <c r="J39" i="12" s="1"/>
  <c r="J10" i="12"/>
  <c r="S60" i="12"/>
  <c r="T60" i="12"/>
  <c r="R70" i="10"/>
  <c r="Q70" i="10"/>
  <c r="R72" i="10"/>
  <c r="Q72" i="10"/>
  <c r="R74" i="10"/>
  <c r="Q74" i="10"/>
  <c r="E222" i="9"/>
  <c r="E133" i="9"/>
  <c r="E134" i="9" s="1"/>
  <c r="E55" i="9"/>
  <c r="E56" i="9" s="1"/>
  <c r="G53" i="9"/>
  <c r="G55" i="9" s="1"/>
  <c r="G56" i="9" s="1"/>
  <c r="W232" i="9"/>
  <c r="W233" i="9" s="1"/>
  <c r="G125" i="9"/>
  <c r="G126" i="9" s="1"/>
  <c r="W175" i="9"/>
  <c r="W177" i="9" s="1"/>
  <c r="W178" i="9" s="1"/>
  <c r="G216" i="9"/>
  <c r="G222" i="9" s="1"/>
  <c r="K53" i="10"/>
  <c r="L53" i="10"/>
  <c r="K80" i="10"/>
  <c r="L80" i="10"/>
  <c r="K74" i="10"/>
  <c r="L74" i="10"/>
  <c r="T47" i="12"/>
  <c r="U221" i="9"/>
  <c r="U217" i="9"/>
  <c r="U218" i="9" s="1"/>
  <c r="G36" i="9"/>
  <c r="G68" i="9" s="1"/>
  <c r="X19" i="10"/>
  <c r="V48" i="10"/>
  <c r="X48" i="10" s="1"/>
  <c r="R99" i="10"/>
  <c r="P87" i="10"/>
  <c r="R84" i="10"/>
  <c r="S43" i="9"/>
  <c r="S44" i="9" s="1"/>
  <c r="M217" i="9"/>
  <c r="M218" i="9" s="1"/>
  <c r="M221" i="9"/>
  <c r="M223" i="9" s="1"/>
  <c r="M224" i="9" s="1"/>
  <c r="V147" i="9"/>
  <c r="V148" i="9" s="1"/>
  <c r="W145" i="9"/>
  <c r="W147" i="9" s="1"/>
  <c r="W148" i="9" s="1"/>
  <c r="K217" i="9"/>
  <c r="K218" i="9" s="1"/>
  <c r="K221" i="9"/>
  <c r="K223" i="9" s="1"/>
  <c r="K224" i="9" s="1"/>
  <c r="AA108" i="9"/>
  <c r="AA109" i="9" s="1"/>
  <c r="F102" i="9"/>
  <c r="F103" i="9" s="1"/>
  <c r="F115" i="9"/>
  <c r="G100" i="9"/>
  <c r="W151" i="9"/>
  <c r="W153" i="9" s="1"/>
  <c r="W154" i="9" s="1"/>
  <c r="V153" i="9"/>
  <c r="V154" i="9" s="1"/>
  <c r="V181" i="9"/>
  <c r="V183" i="9" s="1"/>
  <c r="V184" i="9" s="1"/>
  <c r="W216" i="9"/>
  <c r="W222" i="9" s="1"/>
  <c r="U222" i="9"/>
  <c r="U83" i="9"/>
  <c r="U84" i="9" s="1"/>
  <c r="AA181" i="9"/>
  <c r="AA183" i="9" s="1"/>
  <c r="AA184" i="9" s="1"/>
  <c r="K75" i="10"/>
  <c r="L75" i="10"/>
  <c r="Y53" i="12"/>
  <c r="X53" i="12"/>
  <c r="F72" i="12"/>
  <c r="X47" i="12"/>
  <c r="Y47" i="12"/>
  <c r="Q67" i="10"/>
  <c r="R67" i="10"/>
  <c r="F153" i="9"/>
  <c r="F154" i="9" s="1"/>
  <c r="F181" i="9"/>
  <c r="F183" i="9" s="1"/>
  <c r="F184" i="9" s="1"/>
  <c r="G151" i="9"/>
  <c r="G153" i="9" s="1"/>
  <c r="G154" i="9" s="1"/>
  <c r="W189" i="9"/>
  <c r="W191" i="9" s="1"/>
  <c r="W192" i="9" s="1"/>
  <c r="V191" i="9"/>
  <c r="V192" i="9" s="1"/>
  <c r="Q115" i="9"/>
  <c r="Q102" i="9"/>
  <c r="Q103" i="9" s="1"/>
  <c r="U18" i="9"/>
  <c r="U68" i="9" s="1"/>
  <c r="V18" i="9"/>
  <c r="V68" i="9" s="1"/>
  <c r="O145" i="9"/>
  <c r="O147" i="9" s="1"/>
  <c r="O148" i="9" s="1"/>
  <c r="N147" i="9"/>
  <c r="N148" i="9" s="1"/>
  <c r="X62" i="12"/>
  <c r="Y62" i="12"/>
  <c r="O41" i="9"/>
  <c r="O43" i="9" s="1"/>
  <c r="O44" i="9" s="1"/>
  <c r="N43" i="9"/>
  <c r="N44" i="9" s="1"/>
  <c r="O38" i="12"/>
  <c r="X43" i="12"/>
  <c r="Y43" i="12"/>
  <c r="X80" i="10"/>
  <c r="W80" i="10"/>
  <c r="N61" i="12"/>
  <c r="O61" i="12"/>
  <c r="K107" i="12"/>
  <c r="U202" i="9"/>
  <c r="W196" i="9"/>
  <c r="W202" i="9" s="1"/>
  <c r="Q62" i="10"/>
  <c r="R62" i="10"/>
  <c r="L73" i="10"/>
  <c r="K73" i="10"/>
  <c r="F221" i="9"/>
  <c r="F223" i="9" s="1"/>
  <c r="F224" i="9" s="1"/>
  <c r="G215" i="9"/>
  <c r="F217" i="9"/>
  <c r="F218" i="9" s="1"/>
  <c r="S221" i="9"/>
  <c r="S223" i="9" s="1"/>
  <c r="S224" i="9" s="1"/>
  <c r="S217" i="9"/>
  <c r="S218" i="9" s="1"/>
  <c r="W209" i="9"/>
  <c r="W211" i="9" s="1"/>
  <c r="W212" i="9" s="1"/>
  <c r="V211" i="9"/>
  <c r="V212" i="9" s="1"/>
  <c r="F43" i="9"/>
  <c r="F44" i="9" s="1"/>
  <c r="G41" i="9"/>
  <c r="G43" i="9" s="1"/>
  <c r="G44" i="9" s="1"/>
  <c r="E115" i="9"/>
  <c r="E117" i="9" s="1"/>
  <c r="E118" i="9" s="1"/>
  <c r="E102" i="9"/>
  <c r="E103" i="9" s="1"/>
  <c r="O222" i="9"/>
  <c r="W54" i="10"/>
  <c r="X54" i="10"/>
  <c r="AD60" i="10"/>
  <c r="AC60" i="10"/>
  <c r="Y28" i="12"/>
  <c r="O46" i="12"/>
  <c r="N46" i="12"/>
  <c r="W36" i="9"/>
  <c r="T36" i="12"/>
  <c r="Y104" i="12"/>
  <c r="K39" i="12"/>
  <c r="AD56" i="10"/>
  <c r="AC56" i="10"/>
  <c r="AC72" i="10"/>
  <c r="AD72" i="10"/>
  <c r="I116" i="9"/>
  <c r="N125" i="9"/>
  <c r="N126" i="9" s="1"/>
  <c r="O123" i="9"/>
  <c r="O125" i="9" s="1"/>
  <c r="O126" i="9" s="1"/>
  <c r="X71" i="12"/>
  <c r="Y71" i="12"/>
  <c r="Q59" i="10"/>
  <c r="R59" i="10"/>
  <c r="E165" i="9"/>
  <c r="E166" i="9" s="1"/>
  <c r="G163" i="9"/>
  <c r="G165" i="9" s="1"/>
  <c r="G166" i="9" s="1"/>
  <c r="N116" i="10"/>
  <c r="M102" i="9"/>
  <c r="M103" i="9" s="1"/>
  <c r="M115" i="9"/>
  <c r="M117" i="9" s="1"/>
  <c r="M118" i="9" s="1"/>
  <c r="Q217" i="9"/>
  <c r="Q218" i="9" s="1"/>
  <c r="Q221" i="9"/>
  <c r="Q223" i="9" s="1"/>
  <c r="Q224" i="9" s="1"/>
  <c r="I108" i="9"/>
  <c r="I109" i="9" s="1"/>
  <c r="U159" i="9"/>
  <c r="U160" i="9" s="1"/>
  <c r="U181" i="9"/>
  <c r="W231" i="9"/>
  <c r="W64" i="10"/>
  <c r="X64" i="10"/>
  <c r="N66" i="12"/>
  <c r="O66" i="12"/>
  <c r="I68" i="9"/>
  <c r="T34" i="12"/>
  <c r="X111" i="10"/>
  <c r="X39" i="10"/>
  <c r="V116" i="9"/>
  <c r="W76" i="9"/>
  <c r="G133" i="9"/>
  <c r="G134" i="9" s="1"/>
  <c r="S68" i="9"/>
  <c r="Q79" i="10"/>
  <c r="R79" i="10"/>
  <c r="R56" i="10"/>
  <c r="Q56" i="10"/>
  <c r="AC55" i="10"/>
  <c r="AD55" i="10"/>
  <c r="K52" i="10"/>
  <c r="L52" i="10"/>
  <c r="AC65" i="10"/>
  <c r="AD65" i="10"/>
  <c r="L69" i="10"/>
  <c r="K69" i="10"/>
  <c r="AD23" i="10"/>
  <c r="W58" i="10"/>
  <c r="X58" i="10"/>
  <c r="X93" i="10"/>
  <c r="Y55" i="12"/>
  <c r="X55" i="12"/>
  <c r="Y16" i="12"/>
  <c r="X71" i="10"/>
  <c r="W71" i="10"/>
  <c r="I45" i="12"/>
  <c r="J45" i="12"/>
  <c r="O69" i="12"/>
  <c r="N69" i="12"/>
  <c r="O22" i="12"/>
  <c r="R41" i="10"/>
  <c r="I61" i="12"/>
  <c r="J61" i="12"/>
  <c r="Y30" i="12"/>
  <c r="I61" i="9"/>
  <c r="I62" i="9" s="1"/>
  <c r="K68" i="9"/>
  <c r="K239" i="9" s="1"/>
  <c r="F17" i="9"/>
  <c r="F19" i="9" s="1"/>
  <c r="F20" i="9" s="1"/>
  <c r="G19" i="9"/>
  <c r="G20" i="9" s="1"/>
  <c r="E17" i="9"/>
  <c r="U49" i="9"/>
  <c r="U50" i="9" s="1"/>
  <c r="W24" i="9"/>
  <c r="G25" i="9"/>
  <c r="G26" i="9" s="1"/>
  <c r="O60" i="12"/>
  <c r="N60" i="12"/>
  <c r="J104" i="12"/>
  <c r="R35" i="10"/>
  <c r="J43" i="12"/>
  <c r="I43" i="12"/>
  <c r="O20" i="12"/>
  <c r="X72" i="10"/>
  <c r="W72" i="10"/>
  <c r="P39" i="12"/>
  <c r="AC74" i="10"/>
  <c r="AD74" i="10"/>
  <c r="T20" i="12"/>
  <c r="AC52" i="10"/>
  <c r="AD52" i="10"/>
  <c r="X33" i="10"/>
  <c r="W76" i="10"/>
  <c r="X76" i="10"/>
  <c r="AD107" i="10"/>
  <c r="AD35" i="10"/>
  <c r="X47" i="10"/>
  <c r="AD45" i="10"/>
  <c r="L45" i="10"/>
  <c r="X27" i="10"/>
  <c r="R47" i="10"/>
  <c r="AD29" i="10"/>
  <c r="T12" i="12"/>
  <c r="M25" i="9"/>
  <c r="M26" i="9" s="1"/>
  <c r="M67" i="9"/>
  <c r="O23" i="9"/>
  <c r="O25" i="9" s="1"/>
  <c r="O26" i="9" s="1"/>
  <c r="Q68" i="9"/>
  <c r="Q239" i="9" s="1"/>
  <c r="Q37" i="9"/>
  <c r="Q38" i="9" s="1"/>
  <c r="N71" i="12"/>
  <c r="O71" i="12"/>
  <c r="N47" i="12"/>
  <c r="O47" i="12"/>
  <c r="T67" i="12"/>
  <c r="S67" i="12"/>
  <c r="K37" i="9"/>
  <c r="K38" i="9" s="1"/>
  <c r="W83" i="9"/>
  <c r="W84" i="9" s="1"/>
  <c r="S222" i="9"/>
  <c r="X91" i="10"/>
  <c r="J38" i="12"/>
  <c r="O90" i="12"/>
  <c r="O77" i="12"/>
  <c r="T65" i="12"/>
  <c r="S65" i="12"/>
  <c r="S59" i="12"/>
  <c r="T59" i="12"/>
  <c r="S48" i="12"/>
  <c r="T48" i="12"/>
  <c r="T46" i="12"/>
  <c r="S46" i="12"/>
  <c r="T88" i="12"/>
  <c r="P78" i="12"/>
  <c r="P107" i="12" s="1"/>
  <c r="T64" i="12"/>
  <c r="O116" i="9"/>
  <c r="G177" i="9"/>
  <c r="G178" i="9" s="1"/>
  <c r="G181" i="9"/>
  <c r="G183" i="9" s="1"/>
  <c r="G184" i="9" s="1"/>
  <c r="Q78" i="10"/>
  <c r="R78" i="10"/>
  <c r="R76" i="10"/>
  <c r="Q76" i="10"/>
  <c r="R52" i="10"/>
  <c r="Q52" i="10"/>
  <c r="Q60" i="10"/>
  <c r="R60" i="10"/>
  <c r="U232" i="9"/>
  <c r="U233" i="9" s="1"/>
  <c r="E25" i="9"/>
  <c r="E26" i="9" s="1"/>
  <c r="K181" i="9"/>
  <c r="K183" i="9" s="1"/>
  <c r="K184" i="9" s="1"/>
  <c r="K79" i="10"/>
  <c r="L79" i="10"/>
  <c r="K76" i="10"/>
  <c r="L76" i="10"/>
  <c r="E61" i="9"/>
  <c r="E62" i="9" s="1"/>
  <c r="N211" i="9"/>
  <c r="N212" i="9" s="1"/>
  <c r="O209" i="9"/>
  <c r="O211" i="9" s="1"/>
  <c r="O212" i="9" s="1"/>
  <c r="R19" i="10"/>
  <c r="P48" i="10"/>
  <c r="R48" i="10" s="1"/>
  <c r="R105" i="10"/>
  <c r="R91" i="10"/>
  <c r="M232" i="9"/>
  <c r="M233" i="9" s="1"/>
  <c r="W41" i="9"/>
  <c r="W43" i="9" s="1"/>
  <c r="W44" i="9" s="1"/>
  <c r="V43" i="9"/>
  <c r="V44" i="9" s="1"/>
  <c r="V102" i="9"/>
  <c r="V103" i="9" s="1"/>
  <c r="V115" i="9"/>
  <c r="V117" i="9" s="1"/>
  <c r="V118" i="9" s="1"/>
  <c r="W100" i="9"/>
  <c r="N108" i="9"/>
  <c r="N109" i="9" s="1"/>
  <c r="O106" i="9"/>
  <c r="O108" i="9" s="1"/>
  <c r="O109" i="9" s="1"/>
  <c r="K108" i="9"/>
  <c r="K109" i="9" s="1"/>
  <c r="U165" i="9"/>
  <c r="U166" i="9" s="1"/>
  <c r="W163" i="9"/>
  <c r="W165" i="9" s="1"/>
  <c r="W166" i="9" s="1"/>
  <c r="U31" i="9"/>
  <c r="U32" i="9" s="1"/>
  <c r="W29" i="9"/>
  <c r="W31" i="9" s="1"/>
  <c r="W32" i="9" s="1"/>
  <c r="L107" i="10"/>
  <c r="L91" i="10"/>
  <c r="I181" i="9"/>
  <c r="I183" i="9" s="1"/>
  <c r="I184" i="9" s="1"/>
  <c r="O100" i="9"/>
  <c r="W102" i="9" l="1"/>
  <c r="W103" i="9" s="1"/>
  <c r="W115" i="9"/>
  <c r="W117" i="9" s="1"/>
  <c r="W118" i="9" s="1"/>
  <c r="U223" i="9"/>
  <c r="U224" i="9" s="1"/>
  <c r="G201" i="9"/>
  <c r="G203" i="9" s="1"/>
  <c r="G204" i="9" s="1"/>
  <c r="W77" i="9"/>
  <c r="W78" i="9" s="1"/>
  <c r="E223" i="9"/>
  <c r="E224" i="9" s="1"/>
  <c r="W81" i="10"/>
  <c r="X81" i="10" s="1"/>
  <c r="Y117" i="9"/>
  <c r="Y118" i="9" s="1"/>
  <c r="Y238" i="9"/>
  <c r="Y240" i="9" s="1"/>
  <c r="Y241" i="9" s="1"/>
  <c r="U67" i="9"/>
  <c r="U69" i="9" s="1"/>
  <c r="U70" i="9" s="1"/>
  <c r="AC81" i="10"/>
  <c r="AD81" i="10" s="1"/>
  <c r="I72" i="12"/>
  <c r="J72" i="12" s="1"/>
  <c r="P116" i="10"/>
  <c r="R116" i="10" s="1"/>
  <c r="R87" i="10"/>
  <c r="S117" i="9"/>
  <c r="S118" i="9" s="1"/>
  <c r="S238" i="9"/>
  <c r="W25" i="9"/>
  <c r="W26" i="9" s="1"/>
  <c r="R107" i="12"/>
  <c r="T107" i="12" s="1"/>
  <c r="T78" i="12"/>
  <c r="U203" i="9"/>
  <c r="U204" i="9" s="1"/>
  <c r="J116" i="10"/>
  <c r="L116" i="10" s="1"/>
  <c r="L87" i="10"/>
  <c r="O78" i="12"/>
  <c r="M107" i="12"/>
  <c r="O107" i="12" s="1"/>
  <c r="O181" i="9"/>
  <c r="O183" i="9" s="1"/>
  <c r="O184" i="9" s="1"/>
  <c r="J78" i="12"/>
  <c r="H107" i="12"/>
  <c r="J107" i="12" s="1"/>
  <c r="M69" i="9"/>
  <c r="M70" i="9" s="1"/>
  <c r="E19" i="9"/>
  <c r="E20" i="9" s="1"/>
  <c r="U183" i="9"/>
  <c r="U184" i="9" s="1"/>
  <c r="I239" i="9"/>
  <c r="N68" i="9"/>
  <c r="N69" i="9" s="1"/>
  <c r="N70" i="9" s="1"/>
  <c r="G37" i="9"/>
  <c r="G38" i="9" s="1"/>
  <c r="G67" i="9"/>
  <c r="G69" i="9" s="1"/>
  <c r="G70" i="9" s="1"/>
  <c r="O31" i="9"/>
  <c r="O32" i="9" s="1"/>
  <c r="O67" i="9"/>
  <c r="O69" i="9" s="1"/>
  <c r="O70" i="9" s="1"/>
  <c r="W116" i="9"/>
  <c r="W68" i="9"/>
  <c r="X72" i="12"/>
  <c r="Y72" i="12" s="1"/>
  <c r="O39" i="12"/>
  <c r="V69" i="9"/>
  <c r="V70" i="9" s="1"/>
  <c r="I117" i="9"/>
  <c r="I118" i="9" s="1"/>
  <c r="I238" i="9"/>
  <c r="I240" i="9" s="1"/>
  <c r="I241" i="9" s="1"/>
  <c r="W201" i="9"/>
  <c r="W203" i="9" s="1"/>
  <c r="W204" i="9" s="1"/>
  <c r="G159" i="9"/>
  <c r="G160" i="9" s="1"/>
  <c r="G102" i="9"/>
  <c r="G103" i="9" s="1"/>
  <c r="G115" i="9"/>
  <c r="G117" i="9" s="1"/>
  <c r="G118" i="9" s="1"/>
  <c r="M19" i="9"/>
  <c r="M20" i="9" s="1"/>
  <c r="M68" i="9"/>
  <c r="Q69" i="9"/>
  <c r="Q70" i="9" s="1"/>
  <c r="U117" i="9"/>
  <c r="U118" i="9" s="1"/>
  <c r="Q81" i="10"/>
  <c r="R81" i="10" s="1"/>
  <c r="G221" i="9"/>
  <c r="G223" i="9" s="1"/>
  <c r="G224" i="9" s="1"/>
  <c r="G217" i="9"/>
  <c r="G218" i="9" s="1"/>
  <c r="F117" i="9"/>
  <c r="F118" i="9" s="1"/>
  <c r="N72" i="12"/>
  <c r="O72" i="12" s="1"/>
  <c r="K69" i="9"/>
  <c r="K70" i="9" s="1"/>
  <c r="W49" i="9"/>
  <c r="W50" i="9" s="1"/>
  <c r="S72" i="12"/>
  <c r="T72" i="12" s="1"/>
  <c r="K117" i="9"/>
  <c r="K118" i="9" s="1"/>
  <c r="K238" i="9"/>
  <c r="Y39" i="12"/>
  <c r="AA117" i="9"/>
  <c r="AA118" i="9" s="1"/>
  <c r="AA238" i="9"/>
  <c r="E69" i="9"/>
  <c r="E70" i="9" s="1"/>
  <c r="O68" i="9"/>
  <c r="O37" i="9"/>
  <c r="O38" i="9" s="1"/>
  <c r="Y78" i="12"/>
  <c r="W107" i="12"/>
  <c r="Y107" i="12" s="1"/>
  <c r="O115" i="9"/>
  <c r="O117" i="9" s="1"/>
  <c r="O118" i="9" s="1"/>
  <c r="O102" i="9"/>
  <c r="O103" i="9" s="1"/>
  <c r="W37" i="9"/>
  <c r="W38" i="9" s="1"/>
  <c r="W67" i="9"/>
  <c r="W69" i="9" s="1"/>
  <c r="W70" i="9" s="1"/>
  <c r="W197" i="9"/>
  <c r="W198" i="9" s="1"/>
  <c r="K81" i="10"/>
  <c r="L81" i="10" s="1"/>
  <c r="Q238" i="9"/>
  <c r="Q240" i="9" s="1"/>
  <c r="Q241" i="9" s="1"/>
  <c r="Q117" i="9"/>
  <c r="Q118" i="9" s="1"/>
  <c r="AB116" i="10"/>
  <c r="AD116" i="10" s="1"/>
  <c r="AD87" i="10"/>
  <c r="O191" i="9"/>
  <c r="O192" i="9" s="1"/>
  <c r="O201" i="9"/>
  <c r="O203" i="9" s="1"/>
  <c r="O204" i="9" s="1"/>
  <c r="O217" i="9"/>
  <c r="O218" i="9" s="1"/>
  <c r="O221" i="9"/>
  <c r="O223" i="9" s="1"/>
  <c r="O224" i="9" s="1"/>
  <c r="W221" i="9"/>
  <c r="W223" i="9" s="1"/>
  <c r="W224" i="9" s="1"/>
  <c r="X87" i="10"/>
  <c r="V116" i="10"/>
  <c r="X116" i="10" s="1"/>
  <c r="V19" i="9"/>
  <c r="V20" i="9" s="1"/>
  <c r="W181" i="9"/>
  <c r="W183" i="9" s="1"/>
  <c r="W184" i="9" s="1"/>
  <c r="S246" i="9" l="1"/>
  <c r="S240" i="9"/>
  <c r="K246" i="9"/>
  <c r="K240" i="9"/>
  <c r="AA240" i="9"/>
  <c r="AA246" i="9"/>
  <c r="B246" i="9" l="1"/>
  <c r="AA241" i="9"/>
  <c r="K241" i="9"/>
  <c r="S241" i="9"/>
  <c r="AA245" i="9"/>
  <c r="K245" i="9"/>
  <c r="S245" i="9"/>
  <c r="B245" i="9" l="1"/>
</calcChain>
</file>

<file path=xl/sharedStrings.xml><?xml version="1.0" encoding="utf-8"?>
<sst xmlns="http://schemas.openxmlformats.org/spreadsheetml/2006/main" count="1349" uniqueCount="226">
  <si>
    <t>Yes</t>
  </si>
  <si>
    <t>No</t>
  </si>
  <si>
    <t>ENRON NORTH AMERICA</t>
  </si>
  <si>
    <t>EOL DAILY SUMMARY</t>
  </si>
  <si>
    <t>FOR EXTERNAL TRADES</t>
  </si>
  <si>
    <t>EXCLUDING NG-PRICE DEALS</t>
  </si>
  <si>
    <t>Absolute</t>
  </si>
  <si>
    <t>Deal</t>
  </si>
  <si>
    <t>Vols.</t>
  </si>
  <si>
    <t>Count</t>
  </si>
  <si>
    <t>TOTAL</t>
  </si>
  <si>
    <t>EOL</t>
  </si>
  <si>
    <t>NON-EOL</t>
  </si>
  <si>
    <t>% EOL OF TOTAL</t>
  </si>
  <si>
    <t>Long</t>
  </si>
  <si>
    <t>Short</t>
  </si>
  <si>
    <t>Value</t>
  </si>
  <si>
    <t>EOL TOTAL VOLUME &amp; VALUE</t>
  </si>
  <si>
    <t>EOL FLAG</t>
  </si>
  <si>
    <t>TOTAL GAS</t>
  </si>
  <si>
    <t xml:space="preserve"> </t>
  </si>
  <si>
    <t>COMMODITY-TYPE</t>
  </si>
  <si>
    <t>GAS-BASIS</t>
  </si>
  <si>
    <t>GAS-PHYSICAL</t>
  </si>
  <si>
    <t>GAS-PRICE</t>
  </si>
  <si>
    <t>GAS-BASIS=Yes</t>
  </si>
  <si>
    <t>GAS-BASIS=No</t>
  </si>
  <si>
    <t>GAS-PHYSICAL=Yes</t>
  </si>
  <si>
    <t>GAS-PHYSICAL=No</t>
  </si>
  <si>
    <t>GAS-PRICE=Yes</t>
  </si>
  <si>
    <t>GAS-PRICE=No</t>
  </si>
  <si>
    <t>PAPER &amp; PULP-PHYSICAL=No</t>
  </si>
  <si>
    <t>PAPER &amp; PULP-PRICE=No</t>
  </si>
  <si>
    <t>PAPER &amp; PULP PHYSICAL</t>
  </si>
  <si>
    <t>PLASTICS-PRICE=No</t>
  </si>
  <si>
    <t>PLASTICS PRICE</t>
  </si>
  <si>
    <t>PLASTICS-PRICE=Yes</t>
  </si>
  <si>
    <t>POWER-PHYSICAL=Yes</t>
  </si>
  <si>
    <t>POWER-PHYSICAL=No</t>
  </si>
  <si>
    <t>SumOfLTDDEAL</t>
  </si>
  <si>
    <t>SumOfLTDVOLBUY</t>
  </si>
  <si>
    <t>SumOfLTDVOLSELL</t>
  </si>
  <si>
    <t>SumOfLTDAMTBUY</t>
  </si>
  <si>
    <t>SumOfLTDAMTSELL</t>
  </si>
  <si>
    <t>SumOfMTDDEAL</t>
  </si>
  <si>
    <t>SumOfMTDVOLBUY</t>
  </si>
  <si>
    <t>SumOfMTDVOLSELL</t>
  </si>
  <si>
    <t>SumOfMTDAMTBUY</t>
  </si>
  <si>
    <t>SumOfMTDAMTSELL</t>
  </si>
  <si>
    <t>SumOfONEDEAL</t>
  </si>
  <si>
    <t>SumOfONEVOLBUY</t>
  </si>
  <si>
    <t>SumOfONEVOLSELL</t>
  </si>
  <si>
    <t>SumOfONEAMTBUY</t>
  </si>
  <si>
    <t>SumOfONEAMTSELL</t>
  </si>
  <si>
    <t>MTD</t>
  </si>
  <si>
    <t>LTD</t>
  </si>
  <si>
    <t>GRAND TOTAL</t>
  </si>
  <si>
    <t>PAPER &amp; PULP TOTAL</t>
  </si>
  <si>
    <t>PAPER &amp; PULP PRICE</t>
  </si>
  <si>
    <t>PAPER &amp; PULP-PRICE=Yes</t>
  </si>
  <si>
    <t>PAPER &amp; PULP-PHYSICAL=Yes</t>
  </si>
  <si>
    <t>COAL PHYSICAL</t>
  </si>
  <si>
    <t>COAL-PHYSICAL=No</t>
  </si>
  <si>
    <t>COAL-PHYSICAL=Yes</t>
  </si>
  <si>
    <t>US POWER PHYSICAL</t>
  </si>
  <si>
    <t>NORDIC POWER PHYSICAL</t>
  </si>
  <si>
    <t>TOTAL POWER</t>
  </si>
  <si>
    <t>NORDIC POWER-PHYSICAL=Yes</t>
  </si>
  <si>
    <t>NORDIC POWER-PHYSICAL=No</t>
  </si>
  <si>
    <t>SumOfYTDDEAL</t>
  </si>
  <si>
    <t>SumOfYTDVOLBUY</t>
  </si>
  <si>
    <t>SumOfYTDVOLSELL</t>
  </si>
  <si>
    <t>SumOfYTDAMTBUY</t>
  </si>
  <si>
    <t>SumOfYTDAMTSELL</t>
  </si>
  <si>
    <t>GAS</t>
  </si>
  <si>
    <t>US GAS</t>
  </si>
  <si>
    <t>% OF TOTAL</t>
  </si>
  <si>
    <t>ENRON</t>
  </si>
  <si>
    <t>YTD</t>
  </si>
  <si>
    <t>COMMODITY</t>
  </si>
  <si>
    <t>CONTINENTAL POWER</t>
  </si>
  <si>
    <t>UK GAS FINANCIAL</t>
  </si>
  <si>
    <t>UK GAS PHYSICAL</t>
  </si>
  <si>
    <t>COAL</t>
  </si>
  <si>
    <t>PAPER &amp; PULP</t>
  </si>
  <si>
    <t>PLASTICS</t>
  </si>
  <si>
    <t>POWER</t>
  </si>
  <si>
    <t>UK GAS</t>
  </si>
  <si>
    <t>UK POWER</t>
  </si>
  <si>
    <t>US POWER</t>
  </si>
  <si>
    <t>CONTINENTAL POWER-PHYSICAL=Yes</t>
  </si>
  <si>
    <t>CONTINENTAL POWER-PHYSICAL=No</t>
  </si>
  <si>
    <t>UK GAS-FINANCIAL=Yes</t>
  </si>
  <si>
    <t>UK GAS-FINANCIAL=No</t>
  </si>
  <si>
    <t>UK GAS-PHYSICAL=Yes</t>
  </si>
  <si>
    <t>UK GAS-PHYSICAL=No</t>
  </si>
  <si>
    <t xml:space="preserve"> CONTINENTAL POWER PHYSICAL</t>
  </si>
  <si>
    <t>PAGE BREAK</t>
  </si>
  <si>
    <t>NUMBER OF TRANSACTIONS</t>
  </si>
  <si>
    <t>GROSS NOTIONAL VOLUME</t>
  </si>
  <si>
    <t>PETROCHEMICALS</t>
  </si>
  <si>
    <t>LPG</t>
  </si>
  <si>
    <t>CRUDE &amp; PRODUCTS</t>
  </si>
  <si>
    <t>LIQUIDS</t>
  </si>
  <si>
    <t>NORDIC POWER</t>
  </si>
  <si>
    <t>EMISSIONS</t>
  </si>
  <si>
    <t>WEATHER</t>
  </si>
  <si>
    <t>GAS-GAS DAILY</t>
  </si>
  <si>
    <t>CONTINENTAL POWER-FINANCIAL=No</t>
  </si>
  <si>
    <t>CRUDE &amp; PRODUCTS-PHYSICAL=No</t>
  </si>
  <si>
    <t>CRUDE &amp; PRODUCTS-PRICE=Yes</t>
  </si>
  <si>
    <t>CRUDE &amp; PRODUCTS-PRICE=No</t>
  </si>
  <si>
    <t>GAS-GAS DAILY=Yes</t>
  </si>
  <si>
    <t>GAS-GAS DAILY=No</t>
  </si>
  <si>
    <t>LPG-PHYSICAL=No</t>
  </si>
  <si>
    <t>LPG-PRICE=Yes</t>
  </si>
  <si>
    <t>LPG-PRICE=No</t>
  </si>
  <si>
    <t>PETROCHEMICALS-PHYSICAL=Yes</t>
  </si>
  <si>
    <t>PETROCHEMICALS-PHYSICAL=No</t>
  </si>
  <si>
    <t>PETROCHEMICALS-PRICE=No</t>
  </si>
  <si>
    <t>PLASTICS-PHYSICAL=No</t>
  </si>
  <si>
    <t xml:space="preserve"> CONTINENTAL POWER FINANCIAL</t>
  </si>
  <si>
    <t>CONTINENTAL POWER-FINANCIAL=Yes</t>
  </si>
  <si>
    <t>CRUDE &amp; PRODUCTS PHYSICAL</t>
  </si>
  <si>
    <t>CRUDE &amp; PRODUCTS PRICE</t>
  </si>
  <si>
    <t>CRUDE &amp; PRODUCTS-PHYSICAL=YES</t>
  </si>
  <si>
    <t>LPG PHYSICAL</t>
  </si>
  <si>
    <t>LPG PRICE</t>
  </si>
  <si>
    <t>LPG-PHYSICAL=Yes</t>
  </si>
  <si>
    <t>PETROCHEMICALS PHYSICAL</t>
  </si>
  <si>
    <t>PETROCHEMICALS-PRICE=Yes</t>
  </si>
  <si>
    <t>PETROCHEMICALS PRICE</t>
  </si>
  <si>
    <t>PLASTICS-PHYSICAL=Yes</t>
  </si>
  <si>
    <t>PLASTICS PHYSICAL</t>
  </si>
  <si>
    <t>PLASTICS TOTAL</t>
  </si>
  <si>
    <t>US GAS BASIS ONLY</t>
  </si>
  <si>
    <t>EMISSIONS-PHYSICAL=Yes</t>
  </si>
  <si>
    <t>EMISSIONS-PHYSICAL=No</t>
  </si>
  <si>
    <t>WEATHER-FINANCIAL=Yes</t>
  </si>
  <si>
    <t>WEATHER-FINANCIAL=No</t>
  </si>
  <si>
    <t>VALUE</t>
  </si>
  <si>
    <t>TYPE</t>
  </si>
  <si>
    <t>DATA LOCATION</t>
  </si>
  <si>
    <t>UNIT TO</t>
  </si>
  <si>
    <t>PHYSICAL</t>
  </si>
  <si>
    <t>ERMS</t>
  </si>
  <si>
    <t>TONNE</t>
  </si>
  <si>
    <t>PRICE</t>
  </si>
  <si>
    <t>BASIS</t>
  </si>
  <si>
    <t>BBL</t>
  </si>
  <si>
    <t>MMBTU</t>
  </si>
  <si>
    <t>GAS DAILY</t>
  </si>
  <si>
    <t>CPR</t>
  </si>
  <si>
    <t>LUMBER</t>
  </si>
  <si>
    <t>MBF</t>
  </si>
  <si>
    <t>(UNITS)</t>
  </si>
  <si>
    <t>MWH</t>
  </si>
  <si>
    <t>CONTRACTS</t>
  </si>
  <si>
    <t>MMBTU EQUIVALENT TOTALS</t>
  </si>
  <si>
    <t>NORDIC POWER-FINANCIAL=No</t>
  </si>
  <si>
    <t>NORDIC POWER FINANCIAL</t>
  </si>
  <si>
    <t>NORDIC POWER-FINANCIAL=Yes</t>
  </si>
  <si>
    <t>LB</t>
  </si>
  <si>
    <t>UK POWER FINANCIAL</t>
  </si>
  <si>
    <t>UK POWER-FINANCIAL=Yes</t>
  </si>
  <si>
    <t>UK POWER-FINANCIAL=No</t>
  </si>
  <si>
    <t>BRAINWAVE MATCHES</t>
  </si>
  <si>
    <t>CONTINENTAL GAS</t>
  </si>
  <si>
    <t>CONTINENTAL GAS PHYSICAL</t>
  </si>
  <si>
    <t>CONTINENTAL GAS-PHYSICAL=Yes</t>
  </si>
  <si>
    <t>CONTINENTAL GAS-PHYSICAL=No</t>
  </si>
  <si>
    <t>CONTINENTAL GAS FINANCIAL</t>
  </si>
  <si>
    <t>CONTINENTAL GAS-FINANCIAL=Yes</t>
  </si>
  <si>
    <t>CONTINENTAL GAS-FINANCIAL=No</t>
  </si>
  <si>
    <t>CRUDE &amp; PRODUCTS-BASIS=No</t>
  </si>
  <si>
    <t>CRUDE &amp; PRODUCTS BASIS</t>
  </si>
  <si>
    <t>CRUDE &amp; PRODUCTS-BASIS=YES</t>
  </si>
  <si>
    <t>NORTH AMERICAN GAS</t>
  </si>
  <si>
    <t>NORTH AMERICAN GAS (EXCL BASIS)</t>
  </si>
  <si>
    <t>COAL-PHYSICAL</t>
  </si>
  <si>
    <t>CONTINENTAL GAS-FINANCIAL</t>
  </si>
  <si>
    <t>CONTINENTAL GAS-PHYSICAL</t>
  </si>
  <si>
    <t>CONTINENTAL POWER-FINANCIAL</t>
  </si>
  <si>
    <t>CONTINENTAL POWER-PHYSICAL</t>
  </si>
  <si>
    <t>CRUDE &amp; PRODUCTS-BASIS</t>
  </si>
  <si>
    <t>CRUDE &amp; PRODUCTS-PHYSICAL</t>
  </si>
  <si>
    <t>CRUDE &amp; PRODUCTS-PRICE</t>
  </si>
  <si>
    <t>EMISSIONS-PHYSICAL</t>
  </si>
  <si>
    <t>LPG-PHYSICAL</t>
  </si>
  <si>
    <t>LPG-PRICE</t>
  </si>
  <si>
    <t>NORDIC POWER-FINANCIAL</t>
  </si>
  <si>
    <t>NORDIC POWER-PHYSICAL</t>
  </si>
  <si>
    <t>PAPER &amp; PULP-PHYSICAL</t>
  </si>
  <si>
    <t>PAPER &amp; PULP-PRICE</t>
  </si>
  <si>
    <t>PETROCHEMICALS-PHYSICAL</t>
  </si>
  <si>
    <t>PETROCHEMICALS-PRICE</t>
  </si>
  <si>
    <t>PLASTICS-PRICE</t>
  </si>
  <si>
    <t>POWER-PHYSICAL</t>
  </si>
  <si>
    <t>UK GAS-FINANCIAL</t>
  </si>
  <si>
    <t>UK GAS-PHYSICAL</t>
  </si>
  <si>
    <t>UK POWER-FINANCIAL</t>
  </si>
  <si>
    <t>WEATHER-FINANCIAL</t>
  </si>
  <si>
    <t>HAVE EVERYTHING IN RAW DATA TABLE</t>
  </si>
  <si>
    <t>NORTH AMERICAGAS DAILY</t>
  </si>
  <si>
    <t>NORTH AMERICAPHYSICAL</t>
  </si>
  <si>
    <t>NORTH AMERICAPRICE</t>
  </si>
  <si>
    <t>NORTH AMERICAGAS BASIS</t>
  </si>
  <si>
    <t>ONE-EOL</t>
  </si>
  <si>
    <t>CRUDE &amp; PRODUCTS-PHYSICAL=Yes</t>
  </si>
  <si>
    <t>ONE-EOL-M</t>
  </si>
  <si>
    <t>ONE-NON-EOL</t>
  </si>
  <si>
    <t>ONE-NONEOL-M</t>
  </si>
  <si>
    <t>ONE-PERC</t>
  </si>
  <si>
    <t>MTD-EOL</t>
  </si>
  <si>
    <t>MTD-EOL-M</t>
  </si>
  <si>
    <t>MTD-NON-EOL</t>
  </si>
  <si>
    <t>MTD-NONEOL-M</t>
  </si>
  <si>
    <t>MTD-PERC</t>
  </si>
  <si>
    <t>YTD-EOL</t>
  </si>
  <si>
    <t>YTD-EOL-M</t>
  </si>
  <si>
    <t>YTD-NON-EOL</t>
  </si>
  <si>
    <t>YTD-NONEOL-M</t>
  </si>
  <si>
    <t>LTD-EOL-M</t>
  </si>
  <si>
    <t>LTD-NON-EOL</t>
  </si>
  <si>
    <t>LTD-NONEOL-M</t>
  </si>
  <si>
    <t>LTD-PERC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</si>
</sst>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57"/>
      <name val="Arial"/>
      <family val="2"/>
    </font>
    <font>
      <sz val="10"/>
      <color indexed="52"/>
      <name val="Arial"/>
      <family val="2"/>
    </font>
    <font>
      <sz val="10"/>
      <color indexed="14"/>
      <name val="Arial"/>
      <family val="2"/>
    </font>
    <font>
      <sz val="10"/>
      <color indexed="2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9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b/>
      <sz val="10"/>
      <color indexed="8"/>
      <name val="Comic Sans MS"/>
      <family val="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2" borderId="0" xfId="0" applyFont="1" applyFill="1"/>
    <xf numFmtId="0" fontId="3" fillId="0" borderId="0" xfId="0" applyFont="1"/>
    <xf numFmtId="37" fontId="0" fillId="0" borderId="0" xfId="0" applyNumberFormat="1"/>
    <xf numFmtId="0" fontId="2" fillId="0" borderId="0" xfId="0" applyFont="1"/>
    <xf numFmtId="0" fontId="4" fillId="0" borderId="0" xfId="0" applyFont="1"/>
    <xf numFmtId="37" fontId="0" fillId="0" borderId="1" xfId="0" applyNumberFormat="1" applyBorder="1"/>
    <xf numFmtId="0" fontId="0" fillId="0" borderId="1" xfId="0" applyBorder="1"/>
    <xf numFmtId="16" fontId="2" fillId="0" borderId="1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5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0" applyFont="1" applyFill="1"/>
    <xf numFmtId="0" fontId="0" fillId="0" borderId="0" xfId="0" applyBorder="1"/>
    <xf numFmtId="9" fontId="0" fillId="0" borderId="0" xfId="0" applyNumberFormat="1" applyBorder="1"/>
    <xf numFmtId="3" fontId="0" fillId="0" borderId="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0" xfId="0" applyAlignment="1">
      <alignment horizontal="right"/>
    </xf>
    <xf numFmtId="9" fontId="0" fillId="0" borderId="2" xfId="0" applyNumberFormat="1" applyBorder="1" applyAlignment="1">
      <alignment horizontal="right"/>
    </xf>
    <xf numFmtId="0" fontId="3" fillId="0" borderId="0" xfId="0" applyFont="1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3" fontId="6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3" borderId="0" xfId="0" applyNumberFormat="1" applyFill="1"/>
    <xf numFmtId="3" fontId="0" fillId="0" borderId="0" xfId="0" applyNumberFormat="1"/>
    <xf numFmtId="0" fontId="0" fillId="3" borderId="0" xfId="0" applyFill="1"/>
    <xf numFmtId="14" fontId="0" fillId="3" borderId="0" xfId="0" applyNumberFormat="1" applyFill="1"/>
    <xf numFmtId="3" fontId="8" fillId="0" borderId="0" xfId="0" applyNumberFormat="1" applyFont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4" fontId="11" fillId="0" borderId="1" xfId="0" applyNumberFormat="1" applyFont="1" applyBorder="1" applyAlignment="1">
      <alignment horizontal="center"/>
    </xf>
    <xf numFmtId="0" fontId="12" fillId="0" borderId="0" xfId="0" applyFont="1"/>
    <xf numFmtId="3" fontId="2" fillId="0" borderId="0" xfId="0" applyNumberFormat="1" applyFont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11" fillId="0" borderId="0" xfId="0" applyNumberFormat="1" applyFont="1" applyBorder="1" applyAlignment="1">
      <alignment horizontal="right"/>
    </xf>
    <xf numFmtId="3" fontId="13" fillId="0" borderId="0" xfId="0" applyNumberFormat="1" applyFont="1" applyBorder="1" applyAlignment="1">
      <alignment horizontal="right"/>
    </xf>
    <xf numFmtId="3" fontId="12" fillId="0" borderId="0" xfId="0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5" fillId="3" borderId="0" xfId="1" applyFont="1" applyFill="1"/>
    <xf numFmtId="3" fontId="5" fillId="3" borderId="0" xfId="1" applyNumberFormat="1" applyFont="1" applyFill="1"/>
    <xf numFmtId="3" fontId="5" fillId="3" borderId="0" xfId="0" applyNumberFormat="1" applyFont="1" applyFill="1"/>
    <xf numFmtId="0" fontId="5" fillId="3" borderId="0" xfId="0" applyFont="1" applyFill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7" fillId="0" borderId="0" xfId="2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2" borderId="0" xfId="0" applyFill="1"/>
    <xf numFmtId="3" fontId="2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37" fontId="0" fillId="4" borderId="0" xfId="0" applyNumberFormat="1" applyFill="1"/>
    <xf numFmtId="3" fontId="7" fillId="4" borderId="0" xfId="0" applyNumberFormat="1" applyFont="1" applyFill="1" applyBorder="1" applyAlignment="1">
      <alignment horizontal="right"/>
    </xf>
    <xf numFmtId="0" fontId="15" fillId="3" borderId="0" xfId="0" applyFont="1" applyFill="1"/>
    <xf numFmtId="3" fontId="16" fillId="0" borderId="0" xfId="0" applyNumberFormat="1" applyFont="1" applyBorder="1" applyAlignment="1">
      <alignment horizontal="right"/>
    </xf>
    <xf numFmtId="3" fontId="16" fillId="4" borderId="0" xfId="0" applyNumberFormat="1" applyFont="1" applyFill="1" applyBorder="1" applyAlignment="1">
      <alignment horizontal="right"/>
    </xf>
    <xf numFmtId="10" fontId="16" fillId="0" borderId="0" xfId="2" applyNumberFormat="1" applyFont="1" applyBorder="1" applyAlignment="1">
      <alignment horizontal="right"/>
    </xf>
    <xf numFmtId="0" fontId="17" fillId="3" borderId="0" xfId="0" applyFont="1" applyFill="1"/>
    <xf numFmtId="0" fontId="5" fillId="4" borderId="0" xfId="0" applyFont="1" applyFill="1"/>
    <xf numFmtId="0" fontId="17" fillId="4" borderId="0" xfId="0" applyFont="1" applyFill="1"/>
    <xf numFmtId="0" fontId="2" fillId="4" borderId="0" xfId="0" applyFont="1" applyFill="1"/>
    <xf numFmtId="10" fontId="7" fillId="4" borderId="0" xfId="2" applyNumberFormat="1" applyFont="1" applyFill="1" applyBorder="1" applyAlignment="1">
      <alignment horizontal="right"/>
    </xf>
    <xf numFmtId="0" fontId="6" fillId="4" borderId="0" xfId="0" applyFont="1" applyFill="1"/>
    <xf numFmtId="37" fontId="6" fillId="4" borderId="0" xfId="0" applyNumberFormat="1" applyFont="1" applyFill="1"/>
    <xf numFmtId="3" fontId="6" fillId="4" borderId="0" xfId="0" applyNumberFormat="1" applyFont="1" applyFill="1" applyBorder="1" applyAlignment="1">
      <alignment horizontal="right"/>
    </xf>
    <xf numFmtId="10" fontId="6" fillId="0" borderId="0" xfId="2" applyNumberFormat="1" applyFont="1" applyBorder="1" applyAlignment="1">
      <alignment horizontal="right"/>
    </xf>
    <xf numFmtId="37" fontId="0" fillId="0" borderId="0" xfId="0" applyNumberFormat="1" applyFill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5" fillId="0" borderId="7" xfId="0" applyFont="1" applyBorder="1"/>
    <xf numFmtId="0" fontId="0" fillId="3" borderId="0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3" fontId="5" fillId="4" borderId="0" xfId="1" applyNumberFormat="1" applyFont="1" applyFill="1"/>
    <xf numFmtId="14" fontId="11" fillId="4" borderId="0" xfId="0" applyNumberFormat="1" applyFont="1" applyFill="1" applyBorder="1" applyAlignment="1">
      <alignment horizontal="center"/>
    </xf>
    <xf numFmtId="3" fontId="5" fillId="4" borderId="0" xfId="0" applyNumberFormat="1" applyFont="1" applyFill="1"/>
    <xf numFmtId="0" fontId="5" fillId="0" borderId="0" xfId="0" applyFont="1"/>
    <xf numFmtId="0" fontId="5" fillId="2" borderId="6" xfId="0" applyFont="1" applyFill="1" applyBorder="1"/>
    <xf numFmtId="0" fontId="5" fillId="2" borderId="0" xfId="0" applyFont="1" applyFill="1" applyBorder="1"/>
    <xf numFmtId="0" fontId="5" fillId="2" borderId="7" xfId="0" applyFont="1" applyFill="1" applyBorder="1"/>
    <xf numFmtId="0" fontId="5" fillId="2" borderId="0" xfId="0" applyFont="1" applyFill="1"/>
    <xf numFmtId="0" fontId="5" fillId="4" borderId="6" xfId="0" applyFont="1" applyFill="1" applyBorder="1"/>
    <xf numFmtId="0" fontId="5" fillId="3" borderId="6" xfId="0" applyFont="1" applyFill="1" applyBorder="1"/>
    <xf numFmtId="0" fontId="5" fillId="3" borderId="0" xfId="0" applyFont="1" applyFill="1" applyBorder="1"/>
    <xf numFmtId="0" fontId="5" fillId="3" borderId="7" xfId="0" applyFont="1" applyFill="1" applyBorder="1"/>
    <xf numFmtId="3" fontId="11" fillId="2" borderId="0" xfId="0" applyNumberFormat="1" applyFont="1" applyFill="1"/>
    <xf numFmtId="14" fontId="11" fillId="4" borderId="11" xfId="0" applyNumberFormat="1" applyFont="1" applyFill="1" applyBorder="1"/>
    <xf numFmtId="14" fontId="18" fillId="3" borderId="0" xfId="0" applyNumberFormat="1" applyFont="1" applyFill="1"/>
    <xf numFmtId="3" fontId="19" fillId="3" borderId="0" xfId="0" applyNumberFormat="1" applyFont="1" applyFill="1"/>
    <xf numFmtId="3" fontId="18" fillId="3" borderId="0" xfId="0" applyNumberFormat="1" applyFont="1" applyFill="1"/>
    <xf numFmtId="0" fontId="18" fillId="0" borderId="0" xfId="0" applyFont="1"/>
    <xf numFmtId="3" fontId="15" fillId="3" borderId="0" xfId="0" applyNumberFormat="1" applyFont="1" applyFill="1"/>
    <xf numFmtId="14" fontId="5" fillId="3" borderId="0" xfId="0" applyNumberFormat="1" applyFont="1" applyFill="1"/>
    <xf numFmtId="0" fontId="11" fillId="4" borderId="11" xfId="0" applyFont="1" applyFill="1" applyBorder="1"/>
    <xf numFmtId="0" fontId="2" fillId="3" borderId="0" xfId="0" applyFont="1" applyFill="1"/>
    <xf numFmtId="37" fontId="0" fillId="3" borderId="0" xfId="0" applyNumberFormat="1" applyFill="1"/>
    <xf numFmtId="3" fontId="7" fillId="3" borderId="0" xfId="0" applyNumberFormat="1" applyFont="1" applyFill="1" applyBorder="1" applyAlignment="1">
      <alignment horizontal="right"/>
    </xf>
    <xf numFmtId="10" fontId="7" fillId="3" borderId="0" xfId="2" applyNumberFormat="1" applyFon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10" fontId="16" fillId="3" borderId="0" xfId="2" applyNumberFormat="1" applyFont="1" applyFill="1" applyBorder="1" applyAlignment="1">
      <alignment horizontal="right"/>
    </xf>
    <xf numFmtId="3" fontId="2" fillId="3" borderId="0" xfId="0" applyNumberFormat="1" applyFont="1" applyFill="1" applyBorder="1" applyAlignment="1">
      <alignment horizontal="right"/>
    </xf>
    <xf numFmtId="9" fontId="0" fillId="3" borderId="0" xfId="0" applyNumberFormat="1" applyFill="1" applyBorder="1" applyAlignment="1">
      <alignment horizontal="right"/>
    </xf>
    <xf numFmtId="0" fontId="6" fillId="3" borderId="0" xfId="0" applyFont="1" applyFill="1"/>
    <xf numFmtId="37" fontId="6" fillId="3" borderId="0" xfId="0" applyNumberFormat="1" applyFont="1" applyFill="1"/>
    <xf numFmtId="3" fontId="6" fillId="3" borderId="0" xfId="0" applyNumberFormat="1" applyFont="1" applyFill="1" applyBorder="1" applyAlignment="1">
      <alignment horizontal="right"/>
    </xf>
    <xf numFmtId="10" fontId="6" fillId="3" borderId="0" xfId="2" applyNumberFormat="1" applyFont="1" applyFill="1" applyBorder="1" applyAlignment="1">
      <alignment horizontal="right"/>
    </xf>
    <xf numFmtId="0" fontId="15" fillId="2" borderId="0" xfId="0" applyFont="1" applyFill="1"/>
    <xf numFmtId="3" fontId="16" fillId="2" borderId="0" xfId="0" applyNumberFormat="1" applyFont="1" applyFill="1" applyBorder="1" applyAlignment="1">
      <alignment horizontal="right"/>
    </xf>
    <xf numFmtId="10" fontId="16" fillId="2" borderId="0" xfId="2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0" fontId="20" fillId="2" borderId="0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right"/>
    </xf>
    <xf numFmtId="14" fontId="12" fillId="2" borderId="1" xfId="0" applyNumberFormat="1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ndense val="0"/>
        <extend val="0"/>
        <color indexed="12"/>
      </font>
    </dxf>
    <dxf>
      <font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95"/>
  <sheetViews>
    <sheetView zoomScale="65" workbookViewId="0">
      <pane xSplit="4" ySplit="14" topLeftCell="E15" activePane="bottomRight" state="frozen"/>
      <selection pane="topRight" activeCell="E1" sqref="E1"/>
      <selection pane="bottomLeft" activeCell="A13" sqref="A13"/>
      <selection pane="bottomRight" activeCell="E32" sqref="E32"/>
    </sheetView>
  </sheetViews>
  <sheetFormatPr defaultRowHeight="12.75" x14ac:dyDescent="0.2"/>
  <cols>
    <col min="1" max="1" width="29.5703125" style="16" hidden="1" customWidth="1"/>
    <col min="2" max="2" width="10.28515625" style="26" bestFit="1" customWidth="1"/>
    <col min="4" max="4" width="13" customWidth="1"/>
    <col min="5" max="7" width="17.5703125" customWidth="1"/>
    <col min="8" max="8" width="2.28515625" customWidth="1"/>
    <col min="9" max="9" width="17.5703125" customWidth="1"/>
    <col min="10" max="10" width="2.28515625" customWidth="1"/>
    <col min="11" max="11" width="10.28515625" bestFit="1" customWidth="1"/>
    <col min="13" max="15" width="17.5703125" customWidth="1"/>
    <col min="16" max="16" width="2.28515625" customWidth="1"/>
    <col min="17" max="17" width="17.5703125" customWidth="1"/>
    <col min="18" max="18" width="2.28515625" customWidth="1"/>
    <col min="19" max="19" width="9.85546875" customWidth="1"/>
    <col min="21" max="23" width="17.5703125" customWidth="1"/>
    <col min="24" max="24" width="2.28515625" customWidth="1"/>
    <col min="25" max="25" width="17.5703125" customWidth="1"/>
    <col min="26" max="26" width="2.28515625" customWidth="1"/>
    <col min="27" max="27" width="9.85546875" customWidth="1"/>
  </cols>
  <sheetData>
    <row r="1" spans="1:28" s="34" customFormat="1" hidden="1" x14ac:dyDescent="0.2">
      <c r="A1" s="16"/>
      <c r="E1" s="31" t="s">
        <v>50</v>
      </c>
      <c r="F1" s="31" t="s">
        <v>51</v>
      </c>
      <c r="G1" s="31" t="s">
        <v>20</v>
      </c>
      <c r="H1" s="31"/>
      <c r="I1" s="31" t="s">
        <v>52</v>
      </c>
      <c r="J1" s="31" t="s">
        <v>20</v>
      </c>
      <c r="K1" s="31" t="s">
        <v>49</v>
      </c>
      <c r="L1" s="34" t="s">
        <v>20</v>
      </c>
      <c r="M1" s="31" t="s">
        <v>45</v>
      </c>
      <c r="N1" s="31" t="s">
        <v>46</v>
      </c>
      <c r="O1" s="31" t="s">
        <v>20</v>
      </c>
      <c r="P1" s="31"/>
      <c r="Q1" s="31" t="s">
        <v>47</v>
      </c>
      <c r="R1" s="31" t="s">
        <v>20</v>
      </c>
      <c r="S1" s="31" t="s">
        <v>44</v>
      </c>
      <c r="T1" s="34" t="s">
        <v>20</v>
      </c>
      <c r="U1" s="31" t="s">
        <v>40</v>
      </c>
      <c r="V1" s="31" t="s">
        <v>41</v>
      </c>
      <c r="W1" s="31" t="s">
        <v>20</v>
      </c>
      <c r="X1" s="31"/>
      <c r="Y1" s="31" t="s">
        <v>42</v>
      </c>
      <c r="Z1" s="31" t="s">
        <v>20</v>
      </c>
      <c r="AA1" s="31" t="s">
        <v>39</v>
      </c>
      <c r="AB1" s="16"/>
    </row>
    <row r="2" spans="1:28" s="34" customFormat="1" hidden="1" x14ac:dyDescent="0.2">
      <c r="A2" s="16"/>
      <c r="I2" s="31" t="s">
        <v>53</v>
      </c>
      <c r="J2" s="34" t="s">
        <v>20</v>
      </c>
      <c r="Q2" s="31" t="s">
        <v>48</v>
      </c>
      <c r="R2" s="34" t="s">
        <v>20</v>
      </c>
      <c r="Y2" s="31" t="s">
        <v>43</v>
      </c>
      <c r="Z2" s="34" t="s">
        <v>20</v>
      </c>
      <c r="AB2" s="16"/>
    </row>
    <row r="3" spans="1:28" s="34" customFormat="1" hidden="1" x14ac:dyDescent="0.2">
      <c r="A3" s="16"/>
      <c r="D3" s="34">
        <v>5</v>
      </c>
      <c r="E3" s="34">
        <f>MATCH(E1,VARFINDCOLUMN,0)</f>
        <v>16</v>
      </c>
      <c r="F3" s="34">
        <f>MATCH(F1,VARFINDCOLUMN,0)</f>
        <v>17</v>
      </c>
      <c r="I3" s="34">
        <f>MATCH(I1,VARFINDCOLUMN,0)</f>
        <v>18</v>
      </c>
      <c r="K3" s="34">
        <f>MATCH(K1,VARFINDCOLUMN,0)</f>
        <v>15</v>
      </c>
      <c r="M3" s="34">
        <f>MATCH(M1,VARFINDCOLUMN,0)</f>
        <v>11</v>
      </c>
      <c r="N3" s="34">
        <f>MATCH(N1,VARFINDCOLUMN,0)</f>
        <v>12</v>
      </c>
      <c r="Q3" s="34">
        <f>MATCH(Q1,VARFINDCOLUMN,0)</f>
        <v>13</v>
      </c>
      <c r="S3" s="34">
        <f>MATCH(S1,VARFINDCOLUMN,0)</f>
        <v>10</v>
      </c>
      <c r="U3" s="34">
        <f>MATCH(U1,VARFINDCOLUMN,0)</f>
        <v>6</v>
      </c>
      <c r="V3" s="34">
        <f>MATCH(V1,VARFINDCOLUMN,0)</f>
        <v>7</v>
      </c>
      <c r="Y3" s="34">
        <f>MATCH(Y1,VARFINDCOLUMN,0)</f>
        <v>8</v>
      </c>
      <c r="AA3" s="34">
        <f>MATCH(AA1,VARFINDCOLUMN,0)</f>
        <v>5</v>
      </c>
      <c r="AB3" s="16"/>
    </row>
    <row r="4" spans="1:28" s="34" customFormat="1" hidden="1" x14ac:dyDescent="0.2">
      <c r="A4" s="16"/>
      <c r="I4" s="34">
        <f>MATCH(I2,VARFINDCOLUMN,0)</f>
        <v>19</v>
      </c>
      <c r="Q4" s="34">
        <f>MATCH(Q2,VARFINDCOLUMN,0)</f>
        <v>14</v>
      </c>
      <c r="Y4" s="34">
        <f>MATCH(Y2,VARFINDCOLUMN,0)</f>
        <v>9</v>
      </c>
      <c r="AB4" s="16"/>
    </row>
    <row r="5" spans="1:28" ht="15.75" x14ac:dyDescent="0.25">
      <c r="B5" s="24" t="s">
        <v>2</v>
      </c>
      <c r="C5" s="2"/>
      <c r="D5" s="2"/>
      <c r="E5" s="3"/>
      <c r="F5" s="3"/>
      <c r="G5" s="3"/>
      <c r="M5" s="3"/>
      <c r="N5" s="3"/>
      <c r="O5" s="3"/>
      <c r="U5" s="3"/>
      <c r="V5" s="3"/>
      <c r="W5" s="3"/>
      <c r="AB5" s="16"/>
    </row>
    <row r="6" spans="1:28" ht="15.75" x14ac:dyDescent="0.25">
      <c r="B6" s="24" t="s">
        <v>3</v>
      </c>
      <c r="C6" s="2"/>
      <c r="D6" s="2"/>
      <c r="E6" s="3"/>
      <c r="F6" s="3"/>
      <c r="G6" s="3"/>
      <c r="M6" s="3"/>
      <c r="N6" s="3"/>
      <c r="O6" s="3"/>
      <c r="U6" s="3"/>
      <c r="V6" s="3"/>
      <c r="W6" s="3"/>
      <c r="AB6" s="16"/>
    </row>
    <row r="7" spans="1:28" x14ac:dyDescent="0.2">
      <c r="B7" s="25" t="s">
        <v>4</v>
      </c>
      <c r="E7" s="3"/>
      <c r="F7" s="3"/>
      <c r="M7" s="3"/>
      <c r="N7" s="3"/>
      <c r="O7" s="3"/>
      <c r="U7" s="3"/>
      <c r="V7" s="3"/>
      <c r="W7" s="3"/>
      <c r="AB7" s="16"/>
    </row>
    <row r="8" spans="1:28" x14ac:dyDescent="0.2">
      <c r="B8" s="25" t="s">
        <v>5</v>
      </c>
      <c r="E8" s="3"/>
      <c r="F8" s="3"/>
      <c r="G8" s="3"/>
      <c r="M8" s="3"/>
      <c r="N8" s="3"/>
      <c r="O8" s="3"/>
      <c r="U8" s="3"/>
      <c r="V8" s="3"/>
      <c r="W8" s="3"/>
      <c r="AB8" s="16"/>
    </row>
    <row r="9" spans="1:28" x14ac:dyDescent="0.2">
      <c r="E9" s="3"/>
      <c r="F9" s="3"/>
      <c r="G9" s="3"/>
      <c r="M9" s="3"/>
      <c r="N9" s="3"/>
      <c r="O9" s="3"/>
      <c r="U9" s="3"/>
      <c r="AB9" s="16"/>
    </row>
    <row r="10" spans="1:28" x14ac:dyDescent="0.2">
      <c r="B10" s="27" t="s">
        <v>17</v>
      </c>
      <c r="C10" s="5"/>
      <c r="D10" s="5"/>
      <c r="E10" s="3"/>
      <c r="F10" s="3"/>
      <c r="G10" s="3"/>
      <c r="M10" s="3"/>
      <c r="N10" s="3"/>
      <c r="O10" s="3"/>
      <c r="U10" s="3"/>
      <c r="V10" s="3"/>
      <c r="W10" s="3"/>
      <c r="AB10" s="16"/>
    </row>
    <row r="11" spans="1:28" x14ac:dyDescent="0.2">
      <c r="E11" s="3"/>
      <c r="F11" s="3"/>
      <c r="G11" s="3"/>
      <c r="M11" s="3"/>
      <c r="N11" s="3"/>
      <c r="O11" s="3"/>
      <c r="U11" s="3"/>
      <c r="V11" s="3"/>
      <c r="W11" s="3"/>
      <c r="Y11" s="40"/>
      <c r="AB11" s="16"/>
    </row>
    <row r="12" spans="1:28" x14ac:dyDescent="0.2">
      <c r="E12" s="6"/>
      <c r="F12" s="6"/>
      <c r="G12" s="6"/>
      <c r="H12" s="7"/>
      <c r="I12" s="39">
        <f>'RAW DATA'!C1</f>
        <v>36551</v>
      </c>
      <c r="J12" s="8"/>
      <c r="K12" s="7"/>
      <c r="L12" s="17"/>
      <c r="M12" s="6"/>
      <c r="N12" s="6"/>
      <c r="O12" s="6"/>
      <c r="P12" s="7"/>
      <c r="Q12" s="39" t="s">
        <v>54</v>
      </c>
      <c r="R12" s="8"/>
      <c r="S12" s="7"/>
      <c r="U12" s="6"/>
      <c r="V12" s="6"/>
      <c r="W12" s="6"/>
      <c r="X12" s="7"/>
      <c r="Y12" s="39" t="s">
        <v>55</v>
      </c>
      <c r="Z12" s="8"/>
      <c r="AA12" s="7"/>
      <c r="AB12" s="16"/>
    </row>
    <row r="13" spans="1:28" x14ac:dyDescent="0.2">
      <c r="E13" s="9" t="s">
        <v>14</v>
      </c>
      <c r="F13" s="9" t="s">
        <v>15</v>
      </c>
      <c r="G13" s="9" t="s">
        <v>6</v>
      </c>
      <c r="H13" s="10"/>
      <c r="I13" s="10"/>
      <c r="J13" s="10"/>
      <c r="K13" s="10" t="s">
        <v>7</v>
      </c>
      <c r="L13" s="10"/>
      <c r="M13" s="9" t="s">
        <v>14</v>
      </c>
      <c r="N13" s="9" t="s">
        <v>15</v>
      </c>
      <c r="O13" s="9" t="s">
        <v>6</v>
      </c>
      <c r="P13" s="10"/>
      <c r="Q13" s="10"/>
      <c r="R13" s="10"/>
      <c r="S13" s="10" t="s">
        <v>7</v>
      </c>
      <c r="U13" s="9" t="s">
        <v>14</v>
      </c>
      <c r="V13" s="9" t="s">
        <v>15</v>
      </c>
      <c r="W13" s="9" t="s">
        <v>6</v>
      </c>
      <c r="X13" s="10"/>
      <c r="Y13" s="10"/>
      <c r="Z13" s="10"/>
      <c r="AA13" s="10" t="s">
        <v>7</v>
      </c>
      <c r="AB13" s="16"/>
    </row>
    <row r="14" spans="1:28" x14ac:dyDescent="0.2">
      <c r="E14" s="11" t="s">
        <v>8</v>
      </c>
      <c r="F14" s="11" t="s">
        <v>8</v>
      </c>
      <c r="G14" s="11" t="s">
        <v>8</v>
      </c>
      <c r="H14" s="10"/>
      <c r="I14" s="12" t="s">
        <v>16</v>
      </c>
      <c r="J14" s="10"/>
      <c r="K14" s="12" t="s">
        <v>9</v>
      </c>
      <c r="L14" s="15"/>
      <c r="M14" s="11" t="s">
        <v>8</v>
      </c>
      <c r="N14" s="11" t="s">
        <v>8</v>
      </c>
      <c r="O14" s="11" t="s">
        <v>8</v>
      </c>
      <c r="P14" s="10"/>
      <c r="Q14" s="12" t="s">
        <v>16</v>
      </c>
      <c r="R14" s="10"/>
      <c r="S14" s="12" t="s">
        <v>9</v>
      </c>
      <c r="U14" s="11" t="s">
        <v>8</v>
      </c>
      <c r="V14" s="11" t="s">
        <v>8</v>
      </c>
      <c r="W14" s="11" t="s">
        <v>8</v>
      </c>
      <c r="X14" s="10"/>
      <c r="Y14" s="12" t="s">
        <v>16</v>
      </c>
      <c r="Z14" s="10"/>
      <c r="AA14" s="12" t="s">
        <v>9</v>
      </c>
      <c r="AB14" s="16"/>
    </row>
    <row r="15" spans="1:28" x14ac:dyDescent="0.2">
      <c r="AB15" s="16"/>
    </row>
    <row r="16" spans="1:28" x14ac:dyDescent="0.2">
      <c r="B16" s="25" t="s">
        <v>206</v>
      </c>
      <c r="E16" s="3"/>
      <c r="F16" s="3"/>
      <c r="G16" s="3"/>
      <c r="I16" s="14"/>
      <c r="K16" s="3"/>
      <c r="L16" s="3"/>
      <c r="M16" s="3"/>
      <c r="N16" s="3"/>
      <c r="O16" s="3"/>
      <c r="Q16" s="14"/>
      <c r="S16" s="3"/>
      <c r="U16" s="3"/>
      <c r="V16" s="3"/>
      <c r="W16" s="3"/>
      <c r="Y16" s="14"/>
      <c r="AA16" s="3"/>
      <c r="AB16" s="16"/>
    </row>
    <row r="17" spans="1:28" x14ac:dyDescent="0.2">
      <c r="A17" s="16" t="s">
        <v>25</v>
      </c>
      <c r="B17" s="25"/>
      <c r="C17" t="s">
        <v>11</v>
      </c>
      <c r="E17" s="36">
        <f>G17/2</f>
        <v>21795000</v>
      </c>
      <c r="F17" s="36">
        <f>-G17/2</f>
        <v>-21795000</v>
      </c>
      <c r="G17" s="38">
        <f>1*(IF(ISNA(ABS(VLOOKUP($A17,VARDATA,F$3,FALSE))),0,ABS(VLOOKUP($A17,VARDATA,F$3,FALSE)))+IF(ISNA(ABS(VLOOKUP($A17,VARDATA,E$3,FALSE))),0,ABS(VLOOKUP($A17,VARDATA,E$3,FALSE))))</f>
        <v>43590000</v>
      </c>
      <c r="H17" s="20"/>
      <c r="I17" s="29"/>
      <c r="J17" s="20"/>
      <c r="K17" s="29">
        <f>IF(ISNA(ABS(VLOOKUP($A17,VARDATA,K$3,FALSE))),0,ABS(VLOOKUP($A17,VARDATA,K$3,FALSE)))</f>
        <v>94</v>
      </c>
      <c r="L17" s="13"/>
      <c r="M17" s="36">
        <f>O17/2</f>
        <v>216560000</v>
      </c>
      <c r="N17" s="36">
        <f>-O17/2</f>
        <v>-216560000</v>
      </c>
      <c r="O17" s="38">
        <f>1*(IF(ISNA(ABS(VLOOKUP($A17,VARDATA,N$3,FALSE))),0,ABS(VLOOKUP($A17,VARDATA,N$3,FALSE)))+IF(ISNA(ABS(VLOOKUP($A17,VARDATA,M$3,FALSE))),0,ABS(VLOOKUP($A17,VARDATA,M$3,FALSE))))</f>
        <v>433120000</v>
      </c>
      <c r="P17" s="20"/>
      <c r="Q17" s="29"/>
      <c r="R17" s="20"/>
      <c r="S17" s="29">
        <f>IF(ISNA(ABS(VLOOKUP($A17,VARDATA,S$3,FALSE))),0,ABS(VLOOKUP($A17,VARDATA,S$3,FALSE)))</f>
        <v>770</v>
      </c>
      <c r="U17" s="36">
        <f>W17/2</f>
        <v>416887500</v>
      </c>
      <c r="V17" s="36">
        <f>-W17/2</f>
        <v>-416887500</v>
      </c>
      <c r="W17" s="38">
        <f>1*(IF(ISNA(ABS(VLOOKUP($A17,VARDATA,V$3,FALSE))),0,ABS(VLOOKUP($A17,VARDATA,V$3,FALSE)))+IF(ISNA(ABS(VLOOKUP($A17,VARDATA,U$3,FALSE))),0,ABS(VLOOKUP($A17,VARDATA,U$3,FALSE))))</f>
        <v>833775000</v>
      </c>
      <c r="X17" s="20"/>
      <c r="Y17" s="29"/>
      <c r="Z17" s="20"/>
      <c r="AA17" s="29">
        <f>IF(ISNA(ABS(VLOOKUP($A17,VARDATA,AA$3,FALSE))),0,ABS(VLOOKUP($A17,VARDATA,AA$3,FALSE)))</f>
        <v>1427</v>
      </c>
      <c r="AB17" s="16"/>
    </row>
    <row r="18" spans="1:28" x14ac:dyDescent="0.2">
      <c r="A18" s="16" t="s">
        <v>26</v>
      </c>
      <c r="B18" s="25"/>
      <c r="C18" t="s">
        <v>12</v>
      </c>
      <c r="E18" s="36">
        <f>G18/2</f>
        <v>27796995</v>
      </c>
      <c r="F18" s="36">
        <f>-G18/2</f>
        <v>-27796995</v>
      </c>
      <c r="G18" s="38">
        <f>1*(IF(ISNA(ABS(VLOOKUP($A18,VARDATA,F$3,FALSE))),0,ABS(VLOOKUP($A18,VARDATA,F$3,FALSE)))+IF(ISNA(ABS(VLOOKUP($A18,VARDATA,E$3,FALSE))),0,ABS(VLOOKUP($A18,VARDATA,E$3,FALSE))))</f>
        <v>55593990</v>
      </c>
      <c r="H18" s="20"/>
      <c r="I18" s="29"/>
      <c r="J18" s="20"/>
      <c r="K18" s="29">
        <f>IF(ISNA(ABS(VLOOKUP($A18,VARDATA,K$3,FALSE))),0,ABS(VLOOKUP($A18,VARDATA,K$3,FALSE)))</f>
        <v>100</v>
      </c>
      <c r="L18" s="13"/>
      <c r="M18" s="36">
        <f>O18/2</f>
        <v>449274828</v>
      </c>
      <c r="N18" s="36">
        <f>-O18/2</f>
        <v>-449274828</v>
      </c>
      <c r="O18" s="38">
        <f>1*(IF(ISNA(ABS(VLOOKUP($A18,VARDATA,N$3,FALSE))),0,ABS(VLOOKUP($A18,VARDATA,N$3,FALSE)))+IF(ISNA(ABS(VLOOKUP($A18,VARDATA,M$3,FALSE))),0,ABS(VLOOKUP($A18,VARDATA,M$3,FALSE))))</f>
        <v>898549656</v>
      </c>
      <c r="P18" s="20"/>
      <c r="Q18" s="29"/>
      <c r="R18" s="20"/>
      <c r="S18" s="29">
        <f>IF(ISNA(ABS(VLOOKUP($A18,VARDATA,S$3,FALSE))),0,ABS(VLOOKUP($A18,VARDATA,S$3,FALSE)))</f>
        <v>983</v>
      </c>
      <c r="U18" s="36">
        <f>W18/2</f>
        <v>1106449676.875</v>
      </c>
      <c r="V18" s="36">
        <f>-W18/2</f>
        <v>-1106449676.875</v>
      </c>
      <c r="W18" s="38">
        <f>1*(IF(ISNA(ABS(VLOOKUP($A18,VARDATA,V$3,FALSE))),0,ABS(VLOOKUP($A18,VARDATA,V$3,FALSE)))+IF(ISNA(ABS(VLOOKUP($A18,VARDATA,U$3,FALSE))),0,ABS(VLOOKUP($A18,VARDATA,U$3,FALSE))))</f>
        <v>2212899353.75</v>
      </c>
      <c r="X18" s="20"/>
      <c r="Y18" s="29"/>
      <c r="Z18" s="20"/>
      <c r="AA18" s="29">
        <f>IF(ISNA(ABS(VLOOKUP($A18,VARDATA,AA$3,FALSE))),0,ABS(VLOOKUP($A18,VARDATA,AA$3,FALSE)))</f>
        <v>2463</v>
      </c>
      <c r="AB18" s="16"/>
    </row>
    <row r="19" spans="1:28" x14ac:dyDescent="0.2">
      <c r="B19" s="25"/>
      <c r="C19" t="s">
        <v>10</v>
      </c>
      <c r="E19" s="21">
        <f>SUM(E17:E18)</f>
        <v>49591995</v>
      </c>
      <c r="F19" s="21">
        <f>SUM(F17:F18)</f>
        <v>-49591995</v>
      </c>
      <c r="G19" s="21">
        <f>SUM(G17:G18)</f>
        <v>99183990</v>
      </c>
      <c r="H19" s="22"/>
      <c r="I19" s="21"/>
      <c r="J19" s="22"/>
      <c r="K19" s="21">
        <f>SUM(K17:K18)</f>
        <v>194</v>
      </c>
      <c r="L19" s="13"/>
      <c r="M19" s="21">
        <f>SUM(M17:M18)</f>
        <v>665834828</v>
      </c>
      <c r="N19" s="21">
        <f>SUM(N17:N18)</f>
        <v>-665834828</v>
      </c>
      <c r="O19" s="21">
        <f>SUM(O17:O18)</f>
        <v>1331669656</v>
      </c>
      <c r="P19" s="22"/>
      <c r="Q19" s="21"/>
      <c r="R19" s="22"/>
      <c r="S19" s="21">
        <f>SUM(S17:S18)</f>
        <v>1753</v>
      </c>
      <c r="U19" s="21">
        <f>SUM(U17:U18)</f>
        <v>1523337176.875</v>
      </c>
      <c r="V19" s="21">
        <f>SUM(V17:V18)</f>
        <v>-1523337176.875</v>
      </c>
      <c r="W19" s="21">
        <f>SUM(W17:W18)</f>
        <v>3046674353.75</v>
      </c>
      <c r="X19" s="22"/>
      <c r="Y19" s="21"/>
      <c r="Z19" s="22"/>
      <c r="AA19" s="21">
        <f>SUM(AA17:AA18)</f>
        <v>3890</v>
      </c>
      <c r="AB19" s="16"/>
    </row>
    <row r="20" spans="1:28" x14ac:dyDescent="0.2">
      <c r="C20" t="s">
        <v>13</v>
      </c>
      <c r="E20" s="23">
        <f>IF(E19=0,"",E17/E19)</f>
        <v>0.43948625176301137</v>
      </c>
      <c r="F20" s="23">
        <f>IF(F19=0,"",G17/F19)</f>
        <v>-0.87897250352602274</v>
      </c>
      <c r="G20" s="23">
        <f>IF(G19=0,"",H17/G19)</f>
        <v>0</v>
      </c>
      <c r="H20" s="22"/>
      <c r="I20" s="23" t="str">
        <f>IF(I19=0,"",I17/I19)</f>
        <v/>
      </c>
      <c r="J20" s="22"/>
      <c r="K20" s="23">
        <f>IF(K19=0,"",K17/K19)</f>
        <v>0.4845360824742268</v>
      </c>
      <c r="L20" s="18"/>
      <c r="M20" s="23">
        <f>IF(M19=0,"",M17/M19)</f>
        <v>0.32524582808395841</v>
      </c>
      <c r="N20" s="23">
        <f>IF(N19=0,"",O17/N19)</f>
        <v>-0.65049165616791682</v>
      </c>
      <c r="O20" s="23">
        <f>IF(O19=0,"",P17/O19)</f>
        <v>0</v>
      </c>
      <c r="P20" s="22"/>
      <c r="Q20" s="23" t="str">
        <f>IF(Q19=0,"",Q17/Q19)</f>
        <v/>
      </c>
      <c r="R20" s="22"/>
      <c r="S20" s="23">
        <f>IF(S19=0,"",S17/S19)</f>
        <v>0.4392470051340559</v>
      </c>
      <c r="U20" s="23">
        <f>IF(U19=0,"",U17/U19)</f>
        <v>0.27366725261390268</v>
      </c>
      <c r="V20" s="23">
        <f>IF(V19=0,"",W17/V19)</f>
        <v>-0.54733450522780536</v>
      </c>
      <c r="W20" s="23">
        <f>IF(W19=0,"",X17/W19)</f>
        <v>0</v>
      </c>
      <c r="X20" s="22"/>
      <c r="Y20" s="23" t="str">
        <f>IF(Y19=0,"",Y17/Y19)</f>
        <v/>
      </c>
      <c r="Z20" s="22"/>
      <c r="AA20" s="23">
        <f>IF(AA19=0,"",AA17/AA19)</f>
        <v>0.36683804627249356</v>
      </c>
      <c r="AB20" s="16"/>
    </row>
    <row r="21" spans="1:28" x14ac:dyDescent="0.2">
      <c r="AB21" s="16"/>
    </row>
    <row r="22" spans="1:28" x14ac:dyDescent="0.2">
      <c r="B22" s="25" t="s">
        <v>203</v>
      </c>
      <c r="E22" s="3"/>
      <c r="F22" s="3"/>
      <c r="G22" s="3"/>
      <c r="I22" s="14"/>
      <c r="K22" s="3"/>
      <c r="L22" s="3"/>
      <c r="M22" s="3"/>
      <c r="N22" s="3"/>
      <c r="O22" s="3"/>
      <c r="Q22" s="14"/>
      <c r="S22" s="3"/>
      <c r="U22" s="3"/>
      <c r="V22" s="3"/>
      <c r="W22" s="3"/>
      <c r="Y22" s="14"/>
      <c r="AA22" s="3"/>
      <c r="AB22" s="16"/>
    </row>
    <row r="23" spans="1:28" x14ac:dyDescent="0.2">
      <c r="A23" s="16" t="s">
        <v>112</v>
      </c>
      <c r="B23" s="25"/>
      <c r="C23" t="s">
        <v>11</v>
      </c>
      <c r="E23" s="29">
        <f>IF(ISNA(ABS(VLOOKUP($A23,VARDATA,E$3,FALSE))),0,ABS(VLOOKUP($A23,VARDATA,E$3,FALSE)))</f>
        <v>4640000</v>
      </c>
      <c r="F23" s="37">
        <f>-IF(ISNA(ABS(VLOOKUP($A23,VARDATA,F$3,FALSE))),0,ABS(VLOOKUP($A23,VARDATA,F$3,FALSE)))</f>
        <v>-2198914.29</v>
      </c>
      <c r="G23" s="19">
        <f>ABS(F23)+ABS(E23)</f>
        <v>6838914.29</v>
      </c>
      <c r="H23" s="20"/>
      <c r="I23" s="46">
        <f>IF(ISNA(ABS(VLOOKUP($A23,VARDATA,I$4,FALSE))),0,ABS(VLOOKUP($A23,VARDATA,I$4,FALSE)))+IF(ISNA(ABS(VLOOKUP($A23,VARDATA,I$3,FALSE))),0,ABS(VLOOKUP($A23,VARDATA,I$3,FALSE)))</f>
        <v>18100922.399999999</v>
      </c>
      <c r="J23" s="20"/>
      <c r="K23" s="29">
        <f>IF(ISNA(ABS(VLOOKUP($A23,VARDATA,K$3,FALSE))),0,ABS(VLOOKUP($A23,VARDATA,K$3,FALSE)))</f>
        <v>41</v>
      </c>
      <c r="L23" s="13"/>
      <c r="M23" s="29">
        <f>IF(ISNA(ABS(VLOOKUP($A23,VARDATA,M$3,FALSE))),0,ABS(VLOOKUP($A23,VARDATA,M$3,FALSE)))</f>
        <v>66618485.75</v>
      </c>
      <c r="N23" s="37">
        <f>-IF(ISNA(ABS(VLOOKUP($A23,VARDATA,N$3,FALSE))),0,ABS(VLOOKUP($A23,VARDATA,N$3,FALSE)))</f>
        <v>-53778914.289999999</v>
      </c>
      <c r="O23" s="19">
        <f>ABS(N23)+ABS(M23)</f>
        <v>120397400.03999999</v>
      </c>
      <c r="P23" s="20"/>
      <c r="Q23" s="46">
        <f>IF(ISNA(ABS(VLOOKUP($A23,VARDATA,Q$4,FALSE))),0,ABS(VLOOKUP($A23,VARDATA,Q$4,FALSE)))+IF(ISNA(ABS(VLOOKUP($A23,VARDATA,Q$3,FALSE))),0,ABS(VLOOKUP($A23,VARDATA,Q$3,FALSE)))</f>
        <v>282511558.27999997</v>
      </c>
      <c r="R23" s="20"/>
      <c r="S23" s="29">
        <f>IF(ISNA(ABS(VLOOKUP($A23,VARDATA,S$3,FALSE))),0,ABS(VLOOKUP($A23,VARDATA,S$3,FALSE)))</f>
        <v>749</v>
      </c>
      <c r="U23" s="29">
        <f>IF(ISNA(ABS(VLOOKUP($A23,VARDATA,U$3,FALSE))),0,ABS(VLOOKUP($A23,VARDATA,U$3,FALSE)))</f>
        <v>119828485.75</v>
      </c>
      <c r="V23" s="37">
        <f>-IF(ISNA(ABS(VLOOKUP($A23,VARDATA,V$3,FALSE))),0,ABS(VLOOKUP($A23,VARDATA,V$3,FALSE)))</f>
        <v>-97498914.290000007</v>
      </c>
      <c r="W23" s="19">
        <f>ABS(V23)+ABS(U23)</f>
        <v>217327400.04000002</v>
      </c>
      <c r="X23" s="20"/>
      <c r="Y23" s="46">
        <f>IF(ISNA(ABS(VLOOKUP($A23,VARDATA,Y$4,FALSE))),0,ABS(VLOOKUP($A23,VARDATA,Y$4,FALSE)))+IF(ISNA(ABS(VLOOKUP($A23,VARDATA,Y$3,FALSE))),0,ABS(VLOOKUP($A23,VARDATA,Y$3,FALSE)))</f>
        <v>512142877.02999997</v>
      </c>
      <c r="Z23" s="20"/>
      <c r="AA23" s="29">
        <f>IF(ISNA(ABS(VLOOKUP($A23,VARDATA,AA$3,FALSE))),0,ABS(VLOOKUP($A23,VARDATA,AA$3,FALSE)))</f>
        <v>1387</v>
      </c>
      <c r="AB23" s="16"/>
    </row>
    <row r="24" spans="1:28" x14ac:dyDescent="0.2">
      <c r="A24" s="16" t="s">
        <v>113</v>
      </c>
      <c r="B24" s="25"/>
      <c r="C24" t="s">
        <v>12</v>
      </c>
      <c r="E24" s="29">
        <f>IF(ISNA(ABS(VLOOKUP($A24,VARDATA,E$3,FALSE))),0,ABS(VLOOKUP($A24,VARDATA,E$3,FALSE)))</f>
        <v>19417405.780000001</v>
      </c>
      <c r="F24" s="37">
        <f>-IF(ISNA(ABS(VLOOKUP($A24,VARDATA,F$3,FALSE))),0,ABS(VLOOKUP($A24,VARDATA,F$3,FALSE)))</f>
        <v>-13485000</v>
      </c>
      <c r="G24" s="19">
        <f>ABS(F24)+ABS(E24)</f>
        <v>32902405.780000001</v>
      </c>
      <c r="H24" s="20"/>
      <c r="I24" s="46">
        <f>IF(ISNA(ABS(VLOOKUP($A24,VARDATA,I$4,FALSE))),0,ABS(VLOOKUP($A24,VARDATA,I$4,FALSE)))+IF(ISNA(ABS(VLOOKUP($A24,VARDATA,I$3,FALSE))),0,ABS(VLOOKUP($A24,VARDATA,I$3,FALSE)))</f>
        <v>86218332.669999987</v>
      </c>
      <c r="J24" s="20"/>
      <c r="K24" s="29">
        <f>IF(ISNA(ABS(VLOOKUP($A24,VARDATA,K$3,FALSE))),0,ABS(VLOOKUP($A24,VARDATA,K$3,FALSE)))</f>
        <v>89</v>
      </c>
      <c r="L24" s="13"/>
      <c r="M24" s="29">
        <f>IF(ISNA(ABS(VLOOKUP($A24,VARDATA,M$3,FALSE))),0,ABS(VLOOKUP($A24,VARDATA,M$3,FALSE)))</f>
        <v>74006905.780000001</v>
      </c>
      <c r="N24" s="37">
        <f>-IF(ISNA(ABS(VLOOKUP($A24,VARDATA,N$3,FALSE))),0,ABS(VLOOKUP($A24,VARDATA,N$3,FALSE)))</f>
        <v>-98543500</v>
      </c>
      <c r="O24" s="19">
        <f>ABS(N24)+ABS(M24)</f>
        <v>172550405.78</v>
      </c>
      <c r="P24" s="20"/>
      <c r="Q24" s="46">
        <f>IF(ISNA(ABS(VLOOKUP($A24,VARDATA,Q$4,FALSE))),0,ABS(VLOOKUP($A24,VARDATA,Q$4,FALSE)))+IF(ISNA(ABS(VLOOKUP($A24,VARDATA,Q$3,FALSE))),0,ABS(VLOOKUP($A24,VARDATA,Q$3,FALSE)))</f>
        <v>424582419.46000004</v>
      </c>
      <c r="R24" s="20"/>
      <c r="S24" s="29">
        <f>IF(ISNA(ABS(VLOOKUP($A24,VARDATA,S$3,FALSE))),0,ABS(VLOOKUP($A24,VARDATA,S$3,FALSE)))</f>
        <v>615</v>
      </c>
      <c r="U24" s="29">
        <f>IF(ISNA(ABS(VLOOKUP($A24,VARDATA,U$3,FALSE))),0,ABS(VLOOKUP($A24,VARDATA,U$3,FALSE)))</f>
        <v>233306337.78</v>
      </c>
      <c r="V24" s="37">
        <f>-IF(ISNA(ABS(VLOOKUP($A24,VARDATA,V$3,FALSE))),0,ABS(VLOOKUP($A24,VARDATA,V$3,FALSE)))</f>
        <v>-225818500</v>
      </c>
      <c r="W24" s="19">
        <f>ABS(V24)+ABS(U24)</f>
        <v>459124837.77999997</v>
      </c>
      <c r="X24" s="20"/>
      <c r="Y24" s="46">
        <f>IF(ISNA(ABS(VLOOKUP($A24,VARDATA,Y$4,FALSE))),0,ABS(VLOOKUP($A24,VARDATA,Y$4,FALSE)))+IF(ISNA(ABS(VLOOKUP($A24,VARDATA,Y$3,FALSE))),0,ABS(VLOOKUP($A24,VARDATA,Y$3,FALSE)))</f>
        <v>1097315787.9400001</v>
      </c>
      <c r="Z24" s="20"/>
      <c r="AA24" s="29">
        <f>IF(ISNA(ABS(VLOOKUP($A24,VARDATA,AA$3,FALSE))),0,ABS(VLOOKUP($A24,VARDATA,AA$3,FALSE)))</f>
        <v>1706</v>
      </c>
      <c r="AB24" s="16"/>
    </row>
    <row r="25" spans="1:28" x14ac:dyDescent="0.2">
      <c r="B25" s="25"/>
      <c r="C25" t="s">
        <v>10</v>
      </c>
      <c r="E25" s="21">
        <f>SUM(E23:E24)</f>
        <v>24057405.780000001</v>
      </c>
      <c r="F25" s="21">
        <f>SUM(F23:F24)</f>
        <v>-15683914.289999999</v>
      </c>
      <c r="G25" s="21">
        <f>SUM(G23:G24)</f>
        <v>39741320.07</v>
      </c>
      <c r="H25" s="22"/>
      <c r="I25" s="21">
        <f>SUM(I23:I24)</f>
        <v>104319255.06999999</v>
      </c>
      <c r="J25" s="22"/>
      <c r="K25" s="21">
        <f>SUM(K23:K24)</f>
        <v>130</v>
      </c>
      <c r="L25" s="13"/>
      <c r="M25" s="21">
        <f>SUM(M23:M24)</f>
        <v>140625391.53</v>
      </c>
      <c r="N25" s="21">
        <f>SUM(N23:N24)</f>
        <v>-152322414.28999999</v>
      </c>
      <c r="O25" s="21">
        <f>SUM(O23:O24)</f>
        <v>292947805.81999999</v>
      </c>
      <c r="P25" s="22"/>
      <c r="Q25" s="21">
        <f>SUM(Q23:Q24)</f>
        <v>707093977.74000001</v>
      </c>
      <c r="R25" s="22"/>
      <c r="S25" s="21">
        <f>SUM(S23:S24)</f>
        <v>1364</v>
      </c>
      <c r="U25" s="21">
        <f>SUM(U23:U24)</f>
        <v>353134823.52999997</v>
      </c>
      <c r="V25" s="21">
        <f>SUM(V23:V24)</f>
        <v>-323317414.29000002</v>
      </c>
      <c r="W25" s="21">
        <f>SUM(W23:W24)</f>
        <v>676452237.81999993</v>
      </c>
      <c r="X25" s="22"/>
      <c r="Y25" s="21">
        <f>SUM(Y23:Y24)</f>
        <v>1609458664.97</v>
      </c>
      <c r="Z25" s="22"/>
      <c r="AA25" s="21">
        <f>SUM(AA23:AA24)</f>
        <v>3093</v>
      </c>
      <c r="AB25" s="16"/>
    </row>
    <row r="26" spans="1:28" x14ac:dyDescent="0.2">
      <c r="C26" t="s">
        <v>13</v>
      </c>
      <c r="E26" s="23">
        <f>IF(E25=0,"",E23/E25)</f>
        <v>0.19287200134677196</v>
      </c>
      <c r="F26" s="23">
        <f>IF(F25=0,"",F23/F25)</f>
        <v>0.14020188132512423</v>
      </c>
      <c r="G26" s="23">
        <f>IF(G25=0,"",G23/G25)</f>
        <v>0.1720857353996797</v>
      </c>
      <c r="H26" s="22"/>
      <c r="I26" s="23">
        <f>IF(I25=0,"",I23/I25)</f>
        <v>0.17351468228807782</v>
      </c>
      <c r="J26" s="22"/>
      <c r="K26" s="23">
        <f>IF(K25=0,"",K23/K25)</f>
        <v>0.31538461538461537</v>
      </c>
      <c r="L26" s="18"/>
      <c r="M26" s="23">
        <f>IF(M25=0,"",M23/M25)</f>
        <v>0.47373013525646324</v>
      </c>
      <c r="N26" s="23">
        <f>IF(N25=0,"",N23/N25)</f>
        <v>0.3530597551297518</v>
      </c>
      <c r="O26" s="23">
        <f>IF(O25=0,"",O23/O25)</f>
        <v>0.41098583996214483</v>
      </c>
      <c r="P26" s="22"/>
      <c r="Q26" s="23">
        <f>IF(Q25=0,"",Q23/Q25)</f>
        <v>0.39953891162099542</v>
      </c>
      <c r="R26" s="22"/>
      <c r="S26" s="23">
        <f>IF(S25=0,"",S23/S25)</f>
        <v>0.54912023460410553</v>
      </c>
      <c r="U26" s="23">
        <f>IF(U25=0,"",U23/U25)</f>
        <v>0.33932786506913321</v>
      </c>
      <c r="V26" s="23">
        <f>IF(V25=0,"",V23/V25)</f>
        <v>0.30155788083393559</v>
      </c>
      <c r="W26" s="23">
        <f>IF(W25=0,"",W23/W25)</f>
        <v>0.3212753065026146</v>
      </c>
      <c r="X26" s="22"/>
      <c r="Y26" s="23">
        <f>IF(Y25=0,"",Y23/Y25)</f>
        <v>0.31820815792094059</v>
      </c>
      <c r="Z26" s="22"/>
      <c r="AA26" s="23">
        <f>IF(AA25=0,"",AA23/AA25)</f>
        <v>0.44843194309731654</v>
      </c>
      <c r="AB26" s="16"/>
    </row>
    <row r="27" spans="1:28" x14ac:dyDescent="0.2">
      <c r="AB27" s="16"/>
    </row>
    <row r="28" spans="1:28" x14ac:dyDescent="0.2">
      <c r="B28" s="25" t="s">
        <v>204</v>
      </c>
      <c r="E28" s="3"/>
      <c r="F28" s="3"/>
      <c r="G28" s="3"/>
      <c r="I28" s="14"/>
      <c r="K28" s="3"/>
      <c r="L28" s="3"/>
      <c r="M28" s="3"/>
      <c r="N28" s="3"/>
      <c r="O28" s="3"/>
      <c r="Q28" s="14"/>
      <c r="S28" s="3"/>
      <c r="U28" s="3"/>
      <c r="V28" s="3"/>
      <c r="W28" s="3"/>
      <c r="Y28" s="14"/>
      <c r="AA28" s="3"/>
      <c r="AB28" s="16"/>
    </row>
    <row r="29" spans="1:28" x14ac:dyDescent="0.2">
      <c r="A29" s="16" t="s">
        <v>27</v>
      </c>
      <c r="B29" s="25"/>
      <c r="C29" t="s">
        <v>11</v>
      </c>
      <c r="E29" s="29">
        <f>IF(ISNA(ABS(VLOOKUP($A29,VARDATA,E$3,FALSE))),0,ABS(VLOOKUP($A29,VARDATA,E$3,FALSE)))</f>
        <v>8341883.1100000003</v>
      </c>
      <c r="F29" s="37">
        <f>-IF(ISNA(ABS(VLOOKUP($A29,VARDATA,F$3,FALSE))),0,ABS(VLOOKUP($A29,VARDATA,F$3,FALSE)))</f>
        <v>-7188123.0499999998</v>
      </c>
      <c r="G29" s="19">
        <f>ABS(F29)+ABS(E29)</f>
        <v>15530006.16</v>
      </c>
      <c r="H29" s="20"/>
      <c r="I29" s="46">
        <f>IF(ISNA(ABS(VLOOKUP($A29,VARDATA,I$4,FALSE))),0,ABS(VLOOKUP($A29,VARDATA,I$4,FALSE)))+IF(ISNA(ABS(VLOOKUP($A29,VARDATA,I$3,FALSE))),0,ABS(VLOOKUP($A29,VARDATA,I$3,FALSE)))</f>
        <v>36067279.629999995</v>
      </c>
      <c r="J29" s="20"/>
      <c r="K29" s="29">
        <f>IF(ISNA(ABS(VLOOKUP($A29,VARDATA,K$3,FALSE))),0,ABS(VLOOKUP($A29,VARDATA,K$3,FALSE)))</f>
        <v>388</v>
      </c>
      <c r="L29" s="13"/>
      <c r="M29" s="29">
        <f>IF(ISNA(ABS(VLOOKUP($A29,VARDATA,M$3,FALSE))),0,ABS(VLOOKUP($A29,VARDATA,M$3,FALSE)))</f>
        <v>116518661.7</v>
      </c>
      <c r="N29" s="37">
        <f>-IF(ISNA(ABS(VLOOKUP($A29,VARDATA,N$3,FALSE))),0,ABS(VLOOKUP($A29,VARDATA,N$3,FALSE)))</f>
        <v>-116886724.69</v>
      </c>
      <c r="O29" s="19">
        <f>ABS(N29)+ABS(M29)</f>
        <v>233405386.38999999</v>
      </c>
      <c r="P29" s="20"/>
      <c r="Q29" s="46">
        <f>IF(ISNA(ABS(VLOOKUP($A29,VARDATA,Q$4,FALSE))),0,ABS(VLOOKUP($A29,VARDATA,Q$4,FALSE)))+IF(ISNA(ABS(VLOOKUP($A29,VARDATA,Q$3,FALSE))),0,ABS(VLOOKUP($A29,VARDATA,Q$3,FALSE)))</f>
        <v>530922802.39999998</v>
      </c>
      <c r="R29" s="20"/>
      <c r="S29" s="29">
        <f>IF(ISNA(ABS(VLOOKUP($A29,VARDATA,S$3,FALSE))),0,ABS(VLOOKUP($A29,VARDATA,S$3,FALSE)))</f>
        <v>4482</v>
      </c>
      <c r="U29" s="29">
        <f>IF(ISNA(ABS(VLOOKUP($A29,VARDATA,U$3,FALSE))),0,ABS(VLOOKUP($A29,VARDATA,U$3,FALSE)))</f>
        <v>222830731.37</v>
      </c>
      <c r="V29" s="37">
        <f>-IF(ISNA(ABS(VLOOKUP($A29,VARDATA,V$3,FALSE))),0,ABS(VLOOKUP($A29,VARDATA,V$3,FALSE)))</f>
        <v>-202945319.06</v>
      </c>
      <c r="W29" s="19">
        <f>ABS(V29)+ABS(U29)</f>
        <v>425776050.43000001</v>
      </c>
      <c r="X29" s="20"/>
      <c r="Y29" s="46">
        <f>IF(ISNA(ABS(VLOOKUP($A29,VARDATA,Y$4,FALSE))),0,ABS(VLOOKUP($A29,VARDATA,Y$4,FALSE)))+IF(ISNA(ABS(VLOOKUP($A29,VARDATA,Y$3,FALSE))),0,ABS(VLOOKUP($A29,VARDATA,Y$3,FALSE)))</f>
        <v>973942282.98000002</v>
      </c>
      <c r="Z29" s="20"/>
      <c r="AA29" s="29">
        <f>IF(ISNA(ABS(VLOOKUP($A29,VARDATA,AA$3,FALSE))),0,ABS(VLOOKUP($A29,VARDATA,AA$3,FALSE)))</f>
        <v>7617</v>
      </c>
      <c r="AB29" s="16"/>
    </row>
    <row r="30" spans="1:28" x14ac:dyDescent="0.2">
      <c r="A30" s="16" t="s">
        <v>28</v>
      </c>
      <c r="B30" s="25"/>
      <c r="C30" t="s">
        <v>12</v>
      </c>
      <c r="E30" s="29">
        <f>IF(ISNA(ABS(VLOOKUP($A30,VARDATA,E$3,FALSE))),0,ABS(VLOOKUP($A30,VARDATA,E$3,FALSE)))</f>
        <v>24109967.149999999</v>
      </c>
      <c r="F30" s="37">
        <f>-IF(ISNA(ABS(VLOOKUP($A30,VARDATA,F$3,FALSE))),0,ABS(VLOOKUP($A30,VARDATA,F$3,FALSE)))</f>
        <v>-28585738.07</v>
      </c>
      <c r="G30" s="19">
        <f>ABS(F30)+ABS(E30)</f>
        <v>52695705.219999999</v>
      </c>
      <c r="H30" s="20"/>
      <c r="I30" s="46">
        <f>IF(ISNA(ABS(VLOOKUP($A30,VARDATA,I$4,FALSE))),0,ABS(VLOOKUP($A30,VARDATA,I$4,FALSE)))+IF(ISNA(ABS(VLOOKUP($A30,VARDATA,I$3,FALSE))),0,ABS(VLOOKUP($A30,VARDATA,I$3,FALSE)))</f>
        <v>129076571.43000001</v>
      </c>
      <c r="J30" s="20"/>
      <c r="K30" s="29">
        <f>IF(ISNA(ABS(VLOOKUP($A30,VARDATA,K$3,FALSE))),0,ABS(VLOOKUP($A30,VARDATA,K$3,FALSE)))</f>
        <v>571</v>
      </c>
      <c r="L30" s="13"/>
      <c r="M30" s="29">
        <f>IF(ISNA(ABS(VLOOKUP($A30,VARDATA,M$3,FALSE))),0,ABS(VLOOKUP($A30,VARDATA,M$3,FALSE)))</f>
        <v>411013205.89999998</v>
      </c>
      <c r="N30" s="37">
        <f>-IF(ISNA(ABS(VLOOKUP($A30,VARDATA,N$3,FALSE))),0,ABS(VLOOKUP($A30,VARDATA,N$3,FALSE)))</f>
        <v>-233314476.21000001</v>
      </c>
      <c r="O30" s="19">
        <f>ABS(N30)+ABS(M30)</f>
        <v>644327682.11000001</v>
      </c>
      <c r="P30" s="20"/>
      <c r="Q30" s="46">
        <f>IF(ISNA(ABS(VLOOKUP($A30,VARDATA,Q$4,FALSE))),0,ABS(VLOOKUP($A30,VARDATA,Q$4,FALSE)))+IF(ISNA(ABS(VLOOKUP($A30,VARDATA,Q$3,FALSE))),0,ABS(VLOOKUP($A30,VARDATA,Q$3,FALSE)))</f>
        <v>1543884708.1799998</v>
      </c>
      <c r="R30" s="20"/>
      <c r="S30" s="29">
        <f>IF(ISNA(ABS(VLOOKUP($A30,VARDATA,S$3,FALSE))),0,ABS(VLOOKUP($A30,VARDATA,S$3,FALSE)))</f>
        <v>5832</v>
      </c>
      <c r="U30" s="29">
        <f>IF(ISNA(ABS(VLOOKUP($A30,VARDATA,U$3,FALSE))),0,ABS(VLOOKUP($A30,VARDATA,U$3,FALSE)))</f>
        <v>742340492.92999995</v>
      </c>
      <c r="V30" s="37">
        <f>-IF(ISNA(ABS(VLOOKUP($A30,VARDATA,V$3,FALSE))),0,ABS(VLOOKUP($A30,VARDATA,V$3,FALSE)))</f>
        <v>-553149161.97000003</v>
      </c>
      <c r="W30" s="19">
        <f>ABS(V30)+ABS(U30)</f>
        <v>1295489654.9000001</v>
      </c>
      <c r="X30" s="20"/>
      <c r="Y30" s="46">
        <f>IF(ISNA(ABS(VLOOKUP($A30,VARDATA,Y$4,FALSE))),0,ABS(VLOOKUP($A30,VARDATA,Y$4,FALSE)))+IF(ISNA(ABS(VLOOKUP($A30,VARDATA,Y$3,FALSE))),0,ABS(VLOOKUP($A30,VARDATA,Y$3,FALSE)))</f>
        <v>3056230906.5100002</v>
      </c>
      <c r="Z30" s="20"/>
      <c r="AA30" s="29">
        <f>IF(ISNA(ABS(VLOOKUP($A30,VARDATA,AA$3,FALSE))),0,ABS(VLOOKUP($A30,VARDATA,AA$3,FALSE)))</f>
        <v>13085</v>
      </c>
      <c r="AB30" s="16"/>
    </row>
    <row r="31" spans="1:28" x14ac:dyDescent="0.2">
      <c r="B31" s="25"/>
      <c r="C31" t="s">
        <v>10</v>
      </c>
      <c r="E31" s="21">
        <f>SUM(E29:E30)</f>
        <v>32451850.259999998</v>
      </c>
      <c r="F31" s="21">
        <f>SUM(F29:F30)</f>
        <v>-35773861.119999997</v>
      </c>
      <c r="G31" s="21">
        <f>SUM(G29:G30)</f>
        <v>68225711.379999995</v>
      </c>
      <c r="H31" s="22"/>
      <c r="I31" s="21">
        <f>SUM(I29:I30)</f>
        <v>165143851.06</v>
      </c>
      <c r="J31" s="22"/>
      <c r="K31" s="21">
        <f>SUM(K29:K30)</f>
        <v>959</v>
      </c>
      <c r="L31" s="13"/>
      <c r="M31" s="21">
        <f>SUM(M29:M30)</f>
        <v>527531867.59999996</v>
      </c>
      <c r="N31" s="21">
        <f>SUM(N29:N30)</f>
        <v>-350201200.89999998</v>
      </c>
      <c r="O31" s="21">
        <f>SUM(O29:O30)</f>
        <v>877733068.5</v>
      </c>
      <c r="P31" s="22"/>
      <c r="Q31" s="21">
        <f>SUM(Q29:Q30)</f>
        <v>2074807510.5799999</v>
      </c>
      <c r="R31" s="22"/>
      <c r="S31" s="21">
        <f>SUM(S29:S30)</f>
        <v>10314</v>
      </c>
      <c r="U31" s="21">
        <f>SUM(U29:U30)</f>
        <v>965171224.29999995</v>
      </c>
      <c r="V31" s="21">
        <f>SUM(V29:V30)</f>
        <v>-756094481.02999997</v>
      </c>
      <c r="W31" s="21">
        <f>SUM(W29:W30)</f>
        <v>1721265705.3300002</v>
      </c>
      <c r="X31" s="22"/>
      <c r="Y31" s="21">
        <f>SUM(Y29:Y30)</f>
        <v>4030173189.4900002</v>
      </c>
      <c r="Z31" s="22"/>
      <c r="AA31" s="21">
        <f>SUM(AA29:AA30)</f>
        <v>20702</v>
      </c>
      <c r="AB31" s="16"/>
    </row>
    <row r="32" spans="1:28" x14ac:dyDescent="0.2">
      <c r="C32" t="s">
        <v>13</v>
      </c>
      <c r="E32" s="23">
        <f>IF(E31=0,"",E29/E31)</f>
        <v>0.25705416002988796</v>
      </c>
      <c r="F32" s="23">
        <f>IF(F31=0,"",F29/F31)</f>
        <v>0.20093226800115671</v>
      </c>
      <c r="G32" s="23">
        <f>IF(G31=0,"",G29/G31)</f>
        <v>0.22762688502435371</v>
      </c>
      <c r="H32" s="22"/>
      <c r="I32" s="23">
        <f>IF(I31=0,"",I29/I31)</f>
        <v>0.21839916774676668</v>
      </c>
      <c r="J32" s="22"/>
      <c r="K32" s="23">
        <f>IF(K31=0,"",K29/K31)</f>
        <v>0.4045881126173097</v>
      </c>
      <c r="L32" s="18"/>
      <c r="M32" s="23">
        <f>IF(M31=0,"",M29/M31)</f>
        <v>0.22087511457857567</v>
      </c>
      <c r="N32" s="23">
        <f>IF(N31=0,"",N29/N31)</f>
        <v>0.33377019950133474</v>
      </c>
      <c r="O32" s="23">
        <f>IF(O31=0,"",O29/O31)</f>
        <v>0.26591841502437363</v>
      </c>
      <c r="P32" s="22"/>
      <c r="Q32" s="23">
        <f>IF(Q31=0,"",Q29/Q31)</f>
        <v>0.25589014869701515</v>
      </c>
      <c r="R32" s="22"/>
      <c r="S32" s="23">
        <f>IF(S31=0,"",S29/S31)</f>
        <v>0.43455497382198954</v>
      </c>
      <c r="U32" s="23">
        <f>IF(U31=0,"",U29/U31)</f>
        <v>0.23087171038652776</v>
      </c>
      <c r="V32" s="23">
        <f>IF(V31=0,"",V29/V31)</f>
        <v>0.26841264438742496</v>
      </c>
      <c r="W32" s="23">
        <f>IF(W31=0,"",W29/W31)</f>
        <v>0.24736218766896911</v>
      </c>
      <c r="X32" s="22"/>
      <c r="Y32" s="23">
        <f>IF(Y31=0,"",Y29/Y31)</f>
        <v>0.24166263760571735</v>
      </c>
      <c r="Z32" s="22"/>
      <c r="AA32" s="23">
        <f>IF(AA31=0,"",AA29/AA31)</f>
        <v>0.36793546517244713</v>
      </c>
      <c r="AB32" s="16"/>
    </row>
    <row r="33" spans="1:28" x14ac:dyDescent="0.2">
      <c r="AB33" s="16"/>
    </row>
    <row r="34" spans="1:28" x14ac:dyDescent="0.2">
      <c r="B34" s="25" t="s">
        <v>205</v>
      </c>
      <c r="E34" s="3"/>
      <c r="F34" s="3"/>
      <c r="G34" s="3"/>
      <c r="I34" s="14"/>
      <c r="K34" s="3"/>
      <c r="L34" s="3"/>
      <c r="M34" s="3"/>
      <c r="N34" s="3"/>
      <c r="O34" s="3"/>
      <c r="Q34" s="14"/>
      <c r="S34" s="3"/>
      <c r="U34" s="3"/>
      <c r="V34" s="3"/>
      <c r="W34" s="3"/>
      <c r="Y34" s="14"/>
      <c r="AA34" s="3"/>
      <c r="AB34" s="16"/>
    </row>
    <row r="35" spans="1:28" x14ac:dyDescent="0.2">
      <c r="A35" s="16" t="s">
        <v>29</v>
      </c>
      <c r="B35" s="25"/>
      <c r="C35" t="s">
        <v>11</v>
      </c>
      <c r="E35" s="29">
        <f>IF(ISNA(ABS(VLOOKUP($A35,VARDATA,E$3,FALSE))),0,ABS(VLOOKUP($A35,VARDATA,E$3,FALSE)))</f>
        <v>46979212.009999998</v>
      </c>
      <c r="F35" s="37">
        <f>-IF(ISNA(ABS(VLOOKUP($A35,VARDATA,F$3,FALSE))),0,ABS(VLOOKUP($A35,VARDATA,F$3,FALSE)))</f>
        <v>-27389588.260000002</v>
      </c>
      <c r="G35" s="19">
        <f>ABS(F35)+ABS(E35)</f>
        <v>74368800.269999996</v>
      </c>
      <c r="H35" s="20"/>
      <c r="I35" s="46">
        <f>IF(ISNA(ABS(VLOOKUP($A35,VARDATA,I$4,FALSE))),0,ABS(VLOOKUP($A35,VARDATA,I$4,FALSE)))+IF(ISNA(ABS(VLOOKUP($A35,VARDATA,I$3,FALSE))),0,ABS(VLOOKUP($A35,VARDATA,I$3,FALSE)))</f>
        <v>183740724.84999999</v>
      </c>
      <c r="J35" s="20"/>
      <c r="K35" s="29">
        <f>IF(ISNA(ABS(VLOOKUP($A35,VARDATA,K$3,FALSE))),0,ABS(VLOOKUP($A35,VARDATA,K$3,FALSE)))</f>
        <v>201</v>
      </c>
      <c r="L35" s="13"/>
      <c r="M35" s="29">
        <f>IF(ISNA(ABS(VLOOKUP($A35,VARDATA,M$3,FALSE))),0,ABS(VLOOKUP($A35,VARDATA,M$3,FALSE)))</f>
        <v>294030411.58999997</v>
      </c>
      <c r="N35" s="37">
        <f>-IF(ISNA(ABS(VLOOKUP($A35,VARDATA,N$3,FALSE))),0,ABS(VLOOKUP($A35,VARDATA,N$3,FALSE)))</f>
        <v>-290722038.44999999</v>
      </c>
      <c r="O35" s="19">
        <f>ABS(N35)+ABS(M35)</f>
        <v>584752450.03999996</v>
      </c>
      <c r="P35" s="20"/>
      <c r="Q35" s="46">
        <f>IF(ISNA(ABS(VLOOKUP($A35,VARDATA,Q$4,FALSE))),0,ABS(VLOOKUP($A35,VARDATA,Q$4,FALSE)))+IF(ISNA(ABS(VLOOKUP($A35,VARDATA,Q$3,FALSE))),0,ABS(VLOOKUP($A35,VARDATA,Q$3,FALSE)))</f>
        <v>1342485242.3899999</v>
      </c>
      <c r="R35" s="20"/>
      <c r="S35" s="29">
        <f>IF(ISNA(ABS(VLOOKUP($A35,VARDATA,S$3,FALSE))),0,ABS(VLOOKUP($A35,VARDATA,S$3,FALSE)))</f>
        <v>1755</v>
      </c>
      <c r="U35" s="29">
        <f>IF(ISNA(ABS(VLOOKUP($A35,VARDATA,U$3,FALSE))),0,ABS(VLOOKUP($A35,VARDATA,U$3,FALSE)))</f>
        <v>388806994.83999997</v>
      </c>
      <c r="V35" s="37">
        <f>-IF(ISNA(ABS(VLOOKUP($A35,VARDATA,V$3,FALSE))),0,ABS(VLOOKUP($A35,VARDATA,V$3,FALSE)))</f>
        <v>-404000281.55000001</v>
      </c>
      <c r="W35" s="19">
        <f>ABS(V35)+ABS(U35)</f>
        <v>792807276.38999999</v>
      </c>
      <c r="X35" s="20"/>
      <c r="Y35" s="46">
        <f>IF(ISNA(ABS(VLOOKUP($A35,VARDATA,Y$4,FALSE))),0,ABS(VLOOKUP($A35,VARDATA,Y$4,FALSE)))+IF(ISNA(ABS(VLOOKUP($A35,VARDATA,Y$3,FALSE))),0,ABS(VLOOKUP($A35,VARDATA,Y$3,FALSE)))</f>
        <v>1806136890.3399999</v>
      </c>
      <c r="Z35" s="20"/>
      <c r="AA35" s="29">
        <f>IF(ISNA(ABS(VLOOKUP($A35,VARDATA,AA$3,FALSE))),0,ABS(VLOOKUP($A35,VARDATA,AA$3,FALSE)))</f>
        <v>2150</v>
      </c>
      <c r="AB35" s="16"/>
    </row>
    <row r="36" spans="1:28" x14ac:dyDescent="0.2">
      <c r="A36" s="16" t="s">
        <v>30</v>
      </c>
      <c r="B36" s="25"/>
      <c r="C36" t="s">
        <v>12</v>
      </c>
      <c r="E36" s="29">
        <f>IF(ISNA(ABS(VLOOKUP($A36,VARDATA,E$3,FALSE))),0,ABS(VLOOKUP($A36,VARDATA,E$3,FALSE)))</f>
        <v>47090000</v>
      </c>
      <c r="F36" s="37">
        <f>-IF(ISNA(ABS(VLOOKUP($A36,VARDATA,F$3,FALSE))),0,ABS(VLOOKUP($A36,VARDATA,F$3,FALSE)))</f>
        <v>-42867290</v>
      </c>
      <c r="G36" s="19">
        <f>ABS(F36)+ABS(E36)</f>
        <v>89957290</v>
      </c>
      <c r="H36" s="20"/>
      <c r="I36" s="46">
        <f>IF(ISNA(ABS(VLOOKUP($A36,VARDATA,I$4,FALSE))),0,ABS(VLOOKUP($A36,VARDATA,I$4,FALSE)))+IF(ISNA(ABS(VLOOKUP($A36,VARDATA,I$3,FALSE))),0,ABS(VLOOKUP($A36,VARDATA,I$3,FALSE)))</f>
        <v>227384048.43000001</v>
      </c>
      <c r="J36" s="20"/>
      <c r="K36" s="29">
        <f>IF(ISNA(ABS(VLOOKUP($A36,VARDATA,K$3,FALSE))),0,ABS(VLOOKUP($A36,VARDATA,K$3,FALSE)))</f>
        <v>81</v>
      </c>
      <c r="L36" s="13"/>
      <c r="M36" s="29">
        <f>IF(ISNA(ABS(VLOOKUP($A36,VARDATA,M$3,FALSE))),0,ABS(VLOOKUP($A36,VARDATA,M$3,FALSE)))</f>
        <v>654606726.23000002</v>
      </c>
      <c r="N36" s="37">
        <f>-IF(ISNA(ABS(VLOOKUP($A36,VARDATA,N$3,FALSE))),0,ABS(VLOOKUP($A36,VARDATA,N$3,FALSE)))</f>
        <v>-801381755.74000001</v>
      </c>
      <c r="O36" s="19">
        <f>ABS(N36)+ABS(M36)</f>
        <v>1455988481.97</v>
      </c>
      <c r="P36" s="20"/>
      <c r="Q36" s="46">
        <f>IF(ISNA(ABS(VLOOKUP($A36,VARDATA,Q$4,FALSE))),0,ABS(VLOOKUP($A36,VARDATA,Q$4,FALSE)))+IF(ISNA(ABS(VLOOKUP($A36,VARDATA,Q$3,FALSE))),0,ABS(VLOOKUP($A36,VARDATA,Q$3,FALSE)))</f>
        <v>3510126788.9700003</v>
      </c>
      <c r="R36" s="20"/>
      <c r="S36" s="29">
        <f>IF(ISNA(ABS(VLOOKUP($A36,VARDATA,S$3,FALSE))),0,ABS(VLOOKUP($A36,VARDATA,S$3,FALSE)))</f>
        <v>1169</v>
      </c>
      <c r="U36" s="29">
        <f>IF(ISNA(ABS(VLOOKUP($A36,VARDATA,U$3,FALSE))),0,ABS(VLOOKUP($A36,VARDATA,U$3,FALSE)))</f>
        <v>1787507995.3199999</v>
      </c>
      <c r="V36" s="37">
        <f>-IF(ISNA(ABS(VLOOKUP($A36,VARDATA,V$3,FALSE))),0,ABS(VLOOKUP($A36,VARDATA,V$3,FALSE)))</f>
        <v>-1815986031.45</v>
      </c>
      <c r="W36" s="19">
        <f>ABS(V36)+ABS(U36)</f>
        <v>3603494026.77</v>
      </c>
      <c r="X36" s="20"/>
      <c r="Y36" s="46">
        <f>IF(ISNA(ABS(VLOOKUP($A36,VARDATA,Y$4,FALSE))),0,ABS(VLOOKUP($A36,VARDATA,Y$4,FALSE)))+IF(ISNA(ABS(VLOOKUP($A36,VARDATA,Y$3,FALSE))),0,ABS(VLOOKUP($A36,VARDATA,Y$3,FALSE)))</f>
        <v>8230722752.3699989</v>
      </c>
      <c r="Z36" s="20"/>
      <c r="AA36" s="29">
        <f>IF(ISNA(ABS(VLOOKUP($A36,VARDATA,AA$3,FALSE))),0,ABS(VLOOKUP($A36,VARDATA,AA$3,FALSE)))</f>
        <v>2863</v>
      </c>
      <c r="AB36" s="16"/>
    </row>
    <row r="37" spans="1:28" x14ac:dyDescent="0.2">
      <c r="B37" s="25"/>
      <c r="C37" t="s">
        <v>10</v>
      </c>
      <c r="E37" s="21">
        <f>SUM(E35:E36)</f>
        <v>94069212.00999999</v>
      </c>
      <c r="F37" s="21">
        <f>SUM(F35:F36)</f>
        <v>-70256878.260000005</v>
      </c>
      <c r="G37" s="21">
        <f>SUM(G35:G36)</f>
        <v>164326090.26999998</v>
      </c>
      <c r="H37" s="22"/>
      <c r="I37" s="21">
        <f>SUM(I35:I36)</f>
        <v>411124773.27999997</v>
      </c>
      <c r="J37" s="22"/>
      <c r="K37" s="21">
        <f>SUM(K35:K36)</f>
        <v>282</v>
      </c>
      <c r="L37" s="13"/>
      <c r="M37" s="21">
        <f>SUM(M35:M36)</f>
        <v>948637137.81999993</v>
      </c>
      <c r="N37" s="21">
        <f>SUM(N35:N36)</f>
        <v>-1092103794.1900001</v>
      </c>
      <c r="O37" s="21">
        <f>SUM(O35:O36)</f>
        <v>2040740932.01</v>
      </c>
      <c r="P37" s="22"/>
      <c r="Q37" s="21">
        <f>SUM(Q35:Q36)</f>
        <v>4852612031.3600006</v>
      </c>
      <c r="R37" s="22"/>
      <c r="S37" s="21">
        <f>SUM(S35:S36)</f>
        <v>2924</v>
      </c>
      <c r="U37" s="21">
        <f>SUM(U35:U36)</f>
        <v>2176314990.1599998</v>
      </c>
      <c r="V37" s="21">
        <f>SUM(V35:V36)</f>
        <v>-2219986313</v>
      </c>
      <c r="W37" s="21">
        <f>SUM(W35:W36)</f>
        <v>4396301303.1599998</v>
      </c>
      <c r="X37" s="22"/>
      <c r="Y37" s="21">
        <f>SUM(Y35:Y36)</f>
        <v>10036859642.709999</v>
      </c>
      <c r="Z37" s="22"/>
      <c r="AA37" s="21">
        <f>SUM(AA35:AA36)</f>
        <v>5013</v>
      </c>
      <c r="AB37" s="16"/>
    </row>
    <row r="38" spans="1:28" x14ac:dyDescent="0.2">
      <c r="C38" t="s">
        <v>13</v>
      </c>
      <c r="E38" s="23">
        <f>IF(E37=0,"",E35/E37)</f>
        <v>0.49941113576040047</v>
      </c>
      <c r="F38" s="23">
        <f>IF(F37=0,"",F35/F37)</f>
        <v>0.38984920677288287</v>
      </c>
      <c r="G38" s="23">
        <f>IF(G37=0,"",G35/G37)</f>
        <v>0.45256842749563703</v>
      </c>
      <c r="H38" s="22"/>
      <c r="I38" s="23">
        <f>IF(I37=0,"",I35/I37)</f>
        <v>0.44692204603506547</v>
      </c>
      <c r="J38" s="22"/>
      <c r="K38" s="23">
        <f>IF(K37=0,"",K35/K37)</f>
        <v>0.71276595744680848</v>
      </c>
      <c r="L38" s="18"/>
      <c r="M38" s="23">
        <f>IF(M37=0,"",M35/M37)</f>
        <v>0.30995034862928911</v>
      </c>
      <c r="N38" s="23">
        <f>IF(N37=0,"",N35/N37)</f>
        <v>0.26620367038063902</v>
      </c>
      <c r="O38" s="23">
        <f>IF(O37=0,"",O35/O37)</f>
        <v>0.28653928623073971</v>
      </c>
      <c r="P38" s="22"/>
      <c r="Q38" s="23">
        <f>IF(Q37=0,"",Q35/Q37)</f>
        <v>0.27665208628140686</v>
      </c>
      <c r="R38" s="22"/>
      <c r="S38" s="23">
        <f>IF(S37=0,"",S35/S37)</f>
        <v>0.60020519835841313</v>
      </c>
      <c r="U38" s="23">
        <f>IF(U37=0,"",U35/U37)</f>
        <v>0.1786538238251143</v>
      </c>
      <c r="V38" s="23">
        <f>IF(V37=0,"",V35/V37)</f>
        <v>0.18198323079030623</v>
      </c>
      <c r="W38" s="23">
        <f>IF(W37=0,"",W35/W37)</f>
        <v>0.18033506389112622</v>
      </c>
      <c r="X38" s="22"/>
      <c r="Y38" s="23">
        <f>IF(Y37=0,"",Y35/Y37)</f>
        <v>0.17995039829533119</v>
      </c>
      <c r="Z38" s="22"/>
      <c r="AA38" s="23">
        <f>IF(AA37=0,"",AA35/AA37)</f>
        <v>0.42888489926191903</v>
      </c>
      <c r="AB38" s="16"/>
    </row>
    <row r="39" spans="1:28" x14ac:dyDescent="0.2">
      <c r="AB39" s="16"/>
    </row>
    <row r="40" spans="1:28" x14ac:dyDescent="0.2">
      <c r="B40" s="25" t="s">
        <v>171</v>
      </c>
      <c r="E40" s="3"/>
      <c r="F40" s="3"/>
      <c r="G40" s="3"/>
      <c r="I40" s="14"/>
      <c r="K40" s="3"/>
      <c r="L40" s="3"/>
      <c r="M40" s="3"/>
      <c r="N40" s="3"/>
      <c r="O40" s="3"/>
      <c r="Q40" s="14"/>
      <c r="S40" s="3"/>
      <c r="U40" s="3"/>
      <c r="V40" s="3"/>
      <c r="W40" s="3"/>
      <c r="Y40" s="14"/>
      <c r="AA40" s="3"/>
      <c r="AB40" s="16"/>
    </row>
    <row r="41" spans="1:28" x14ac:dyDescent="0.2">
      <c r="A41" s="16" t="s">
        <v>172</v>
      </c>
      <c r="B41" s="25"/>
      <c r="C41" t="s">
        <v>11</v>
      </c>
      <c r="E41" s="29">
        <f>IF(ISNA(ABS(VLOOKUP($A41,VARDATA,E$3,FALSE))),0,ABS(VLOOKUP($A41,VARDATA,E$3,FALSE)))</f>
        <v>0</v>
      </c>
      <c r="F41" s="37">
        <f>-IF(ISNA(ABS(VLOOKUP($A41,VARDATA,F$3,FALSE))),0,ABS(VLOOKUP($A41,VARDATA,F$3,FALSE)))</f>
        <v>0</v>
      </c>
      <c r="G41" s="19">
        <f>ABS(F41)+ABS(E41)</f>
        <v>0</v>
      </c>
      <c r="H41" s="20"/>
      <c r="I41" s="46">
        <f>IF(ISNA(ABS(VLOOKUP($A41,VARDATA,I$4,FALSE))),0,ABS(VLOOKUP($A41,VARDATA,I$4,FALSE)))+IF(ISNA(ABS(VLOOKUP($A41,VARDATA,I$3,FALSE))),0,ABS(VLOOKUP($A41,VARDATA,I$3,FALSE)))</f>
        <v>0</v>
      </c>
      <c r="J41" s="20"/>
      <c r="K41" s="29">
        <f>IF(ISNA(ABS(VLOOKUP($A41,VARDATA,K$3,FALSE))),0,ABS(VLOOKUP($A41,VARDATA,K$3,FALSE)))</f>
        <v>0</v>
      </c>
      <c r="L41" s="13"/>
      <c r="M41" s="29">
        <f>IF(ISNA(ABS(VLOOKUP($A41,VARDATA,M$3,FALSE))),0,ABS(VLOOKUP($A41,VARDATA,M$3,FALSE)))</f>
        <v>0</v>
      </c>
      <c r="N41" s="37">
        <f>-IF(ISNA(ABS(VLOOKUP($A41,VARDATA,N$3,FALSE))),0,ABS(VLOOKUP($A41,VARDATA,N$3,FALSE)))</f>
        <v>0</v>
      </c>
      <c r="O41" s="19">
        <f>ABS(N41)+ABS(M41)</f>
        <v>0</v>
      </c>
      <c r="P41" s="20"/>
      <c r="Q41" s="46">
        <f>IF(ISNA(ABS(VLOOKUP($A41,VARDATA,Q$4,FALSE))),0,ABS(VLOOKUP($A41,VARDATA,Q$4,FALSE)))+IF(ISNA(ABS(VLOOKUP($A41,VARDATA,Q$3,FALSE))),0,ABS(VLOOKUP($A41,VARDATA,Q$3,FALSE)))</f>
        <v>0</v>
      </c>
      <c r="R41" s="20"/>
      <c r="S41" s="29">
        <f>IF(ISNA(ABS(VLOOKUP($A41,VARDATA,S$3,FALSE))),0,ABS(VLOOKUP($A41,VARDATA,S$3,FALSE)))</f>
        <v>0</v>
      </c>
      <c r="U41" s="29">
        <f>IF(ISNA(ABS(VLOOKUP($A41,VARDATA,U$3,FALSE))),0,ABS(VLOOKUP($A41,VARDATA,U$3,FALSE)))</f>
        <v>0</v>
      </c>
      <c r="V41" s="37">
        <f>-IF(ISNA(ABS(VLOOKUP($A41,VARDATA,V$3,FALSE))),0,ABS(VLOOKUP($A41,VARDATA,V$3,FALSE)))</f>
        <v>0</v>
      </c>
      <c r="W41" s="19">
        <f>ABS(V41)+ABS(U41)</f>
        <v>0</v>
      </c>
      <c r="X41" s="20"/>
      <c r="Y41" s="46">
        <f>IF(ISNA(ABS(VLOOKUP($A41,VARDATA,Y$4,FALSE))),0,ABS(VLOOKUP($A41,VARDATA,Y$4,FALSE)))+IF(ISNA(ABS(VLOOKUP($A41,VARDATA,Y$3,FALSE))),0,ABS(VLOOKUP($A41,VARDATA,Y$3,FALSE)))</f>
        <v>0</v>
      </c>
      <c r="Z41" s="20"/>
      <c r="AA41" s="29">
        <f>IF(ISNA(ABS(VLOOKUP($A41,VARDATA,AA$3,FALSE))),0,ABS(VLOOKUP($A41,VARDATA,AA$3,FALSE)))</f>
        <v>0</v>
      </c>
      <c r="AB41" s="16"/>
    </row>
    <row r="42" spans="1:28" x14ac:dyDescent="0.2">
      <c r="A42" s="16" t="s">
        <v>173</v>
      </c>
      <c r="B42" s="25"/>
      <c r="C42" t="s">
        <v>12</v>
      </c>
      <c r="E42" s="29">
        <f>IF(ISNA(ABS(VLOOKUP($A42,VARDATA,E$3,FALSE))),0,ABS(VLOOKUP($A42,VARDATA,E$3,FALSE)))</f>
        <v>200000</v>
      </c>
      <c r="F42" s="37">
        <f>-IF(ISNA(ABS(VLOOKUP($A42,VARDATA,F$3,FALSE))),0,ABS(VLOOKUP($A42,VARDATA,F$3,FALSE)))</f>
        <v>0</v>
      </c>
      <c r="G42" s="19">
        <f>ABS(F42)+ABS(E42)</f>
        <v>200000</v>
      </c>
      <c r="H42" s="20"/>
      <c r="I42" s="46">
        <f>IF(ISNA(ABS(VLOOKUP($A42,VARDATA,I$4,FALSE))),0,ABS(VLOOKUP($A42,VARDATA,I$4,FALSE)))+IF(ISNA(ABS(VLOOKUP($A42,VARDATA,I$3,FALSE))),0,ABS(VLOOKUP($A42,VARDATA,I$3,FALSE)))</f>
        <v>0</v>
      </c>
      <c r="J42" s="20"/>
      <c r="K42" s="29">
        <f>IF(ISNA(ABS(VLOOKUP($A42,VARDATA,K$3,FALSE))),0,ABS(VLOOKUP($A42,VARDATA,K$3,FALSE)))</f>
        <v>2</v>
      </c>
      <c r="L42" s="13"/>
      <c r="M42" s="29">
        <f>IF(ISNA(ABS(VLOOKUP($A42,VARDATA,M$3,FALSE))),0,ABS(VLOOKUP($A42,VARDATA,M$3,FALSE)))</f>
        <v>2295501.7000000002</v>
      </c>
      <c r="N42" s="37">
        <f>-IF(ISNA(ABS(VLOOKUP($A42,VARDATA,N$3,FALSE))),0,ABS(VLOOKUP($A42,VARDATA,N$3,FALSE)))</f>
        <v>0</v>
      </c>
      <c r="O42" s="19">
        <f>ABS(N42)+ABS(M42)</f>
        <v>2295501.7000000002</v>
      </c>
      <c r="P42" s="20"/>
      <c r="Q42" s="46">
        <f>IF(ISNA(ABS(VLOOKUP($A42,VARDATA,Q$4,FALSE))),0,ABS(VLOOKUP($A42,VARDATA,Q$4,FALSE)))+IF(ISNA(ABS(VLOOKUP($A42,VARDATA,Q$3,FALSE))),0,ABS(VLOOKUP($A42,VARDATA,Q$3,FALSE)))</f>
        <v>138022.17000000001</v>
      </c>
      <c r="R42" s="20"/>
      <c r="S42" s="29">
        <f>IF(ISNA(ABS(VLOOKUP($A42,VARDATA,S$3,FALSE))),0,ABS(VLOOKUP($A42,VARDATA,S$3,FALSE)))</f>
        <v>28</v>
      </c>
      <c r="U42" s="29">
        <f>IF(ISNA(ABS(VLOOKUP($A42,VARDATA,U$3,FALSE))),0,ABS(VLOOKUP($A42,VARDATA,U$3,FALSE)))</f>
        <v>2295501.7000000002</v>
      </c>
      <c r="V42" s="37">
        <f>-IF(ISNA(ABS(VLOOKUP($A42,VARDATA,V$3,FALSE))),0,ABS(VLOOKUP($A42,VARDATA,V$3,FALSE)))</f>
        <v>0</v>
      </c>
      <c r="W42" s="19">
        <f>ABS(V42)+ABS(U42)</f>
        <v>2295501.7000000002</v>
      </c>
      <c r="X42" s="20"/>
      <c r="Y42" s="46">
        <f>IF(ISNA(ABS(VLOOKUP($A42,VARDATA,Y$4,FALSE))),0,ABS(VLOOKUP($A42,VARDATA,Y$4,FALSE)))+IF(ISNA(ABS(VLOOKUP($A42,VARDATA,Y$3,FALSE))),0,ABS(VLOOKUP($A42,VARDATA,Y$3,FALSE)))</f>
        <v>138022.17000000001</v>
      </c>
      <c r="Z42" s="20"/>
      <c r="AA42" s="29">
        <f>IF(ISNA(ABS(VLOOKUP($A42,VARDATA,AA$3,FALSE))),0,ABS(VLOOKUP($A42,VARDATA,AA$3,FALSE)))</f>
        <v>28</v>
      </c>
      <c r="AB42" s="16"/>
    </row>
    <row r="43" spans="1:28" x14ac:dyDescent="0.2">
      <c r="B43" s="25"/>
      <c r="C43" t="s">
        <v>10</v>
      </c>
      <c r="E43" s="21">
        <f>SUM(E41:E42)</f>
        <v>200000</v>
      </c>
      <c r="F43" s="21">
        <f>SUM(F41:F42)</f>
        <v>0</v>
      </c>
      <c r="G43" s="21">
        <f>SUM(G41:G42)</f>
        <v>200000</v>
      </c>
      <c r="H43" s="22"/>
      <c r="I43" s="21">
        <f>SUM(I41:I42)</f>
        <v>0</v>
      </c>
      <c r="J43" s="22"/>
      <c r="K43" s="21">
        <f>SUM(K41:K42)</f>
        <v>2</v>
      </c>
      <c r="L43" s="13"/>
      <c r="M43" s="21">
        <f>SUM(M41:M42)</f>
        <v>2295501.7000000002</v>
      </c>
      <c r="N43" s="21">
        <f>SUM(N41:N42)</f>
        <v>0</v>
      </c>
      <c r="O43" s="21">
        <f>SUM(O41:O42)</f>
        <v>2295501.7000000002</v>
      </c>
      <c r="P43" s="22"/>
      <c r="Q43" s="21">
        <f>SUM(Q41:Q42)</f>
        <v>138022.17000000001</v>
      </c>
      <c r="R43" s="22"/>
      <c r="S43" s="21">
        <f>SUM(S41:S42)</f>
        <v>28</v>
      </c>
      <c r="U43" s="21">
        <f>SUM(U41:U42)</f>
        <v>2295501.7000000002</v>
      </c>
      <c r="V43" s="21">
        <f>SUM(V41:V42)</f>
        <v>0</v>
      </c>
      <c r="W43" s="21">
        <f>SUM(W41:W42)</f>
        <v>2295501.7000000002</v>
      </c>
      <c r="X43" s="22"/>
      <c r="Y43" s="21">
        <f>SUM(Y41:Y42)</f>
        <v>138022.17000000001</v>
      </c>
      <c r="Z43" s="22"/>
      <c r="AA43" s="21">
        <f>SUM(AA41:AA42)</f>
        <v>28</v>
      </c>
      <c r="AB43" s="16"/>
    </row>
    <row r="44" spans="1:28" x14ac:dyDescent="0.2">
      <c r="C44" t="s">
        <v>13</v>
      </c>
      <c r="E44" s="23">
        <f>IF(E43=0,"",E41/E43)</f>
        <v>0</v>
      </c>
      <c r="F44" s="23" t="str">
        <f>IF(F43=0,"",F41/F43)</f>
        <v/>
      </c>
      <c r="G44" s="23">
        <f>IF(G43=0,"",G41/G43)</f>
        <v>0</v>
      </c>
      <c r="H44" s="22"/>
      <c r="I44" s="23" t="str">
        <f>IF(I43=0,"",I41/I43)</f>
        <v/>
      </c>
      <c r="J44" s="22"/>
      <c r="K44" s="23">
        <f>IF(K43=0,"",K41/K43)</f>
        <v>0</v>
      </c>
      <c r="L44" s="18"/>
      <c r="M44" s="23">
        <f>IF(M43=0,"",M41/M43)</f>
        <v>0</v>
      </c>
      <c r="N44" s="23" t="str">
        <f>IF(N43=0,"",N41/N43)</f>
        <v/>
      </c>
      <c r="O44" s="23">
        <f>IF(O43=0,"",O41/O43)</f>
        <v>0</v>
      </c>
      <c r="P44" s="22"/>
      <c r="Q44" s="23">
        <f>IF(Q43=0,"",Q41/Q43)</f>
        <v>0</v>
      </c>
      <c r="R44" s="22"/>
      <c r="S44" s="23">
        <f>IF(S43=0,"",S41/S43)</f>
        <v>0</v>
      </c>
      <c r="U44" s="23">
        <f>IF(U43=0,"",U41/U43)</f>
        <v>0</v>
      </c>
      <c r="V44" s="23" t="str">
        <f>IF(V43=0,"",V41/V43)</f>
        <v/>
      </c>
      <c r="W44" s="23">
        <f>IF(W43=0,"",W41/W43)</f>
        <v>0</v>
      </c>
      <c r="X44" s="22"/>
      <c r="Y44" s="23">
        <f>IF(Y43=0,"",Y41/Y43)</f>
        <v>0</v>
      </c>
      <c r="Z44" s="22"/>
      <c r="AA44" s="23">
        <f>IF(AA43=0,"",AA41/AA43)</f>
        <v>0</v>
      </c>
      <c r="AB44" s="16"/>
    </row>
    <row r="45" spans="1:28" x14ac:dyDescent="0.2">
      <c r="AB45" s="16"/>
    </row>
    <row r="46" spans="1:28" x14ac:dyDescent="0.2">
      <c r="B46" s="25" t="s">
        <v>168</v>
      </c>
      <c r="E46" s="3"/>
      <c r="F46" s="3"/>
      <c r="G46" s="3"/>
      <c r="I46" s="14"/>
      <c r="K46" s="3"/>
      <c r="L46" s="3"/>
      <c r="M46" s="3"/>
      <c r="N46" s="3"/>
      <c r="O46" s="3"/>
      <c r="Q46" s="14"/>
      <c r="S46" s="3"/>
      <c r="U46" s="3"/>
      <c r="V46" s="3"/>
      <c r="W46" s="3"/>
      <c r="Y46" s="14"/>
      <c r="AA46" s="3"/>
      <c r="AB46" s="16"/>
    </row>
    <row r="47" spans="1:28" x14ac:dyDescent="0.2">
      <c r="A47" s="16" t="s">
        <v>169</v>
      </c>
      <c r="B47" s="25"/>
      <c r="C47" t="s">
        <v>11</v>
      </c>
      <c r="E47" s="29">
        <f>IF(ISNA(ABS(VLOOKUP($A47,VARDATA,E$3,FALSE))),0,ABS(VLOOKUP($A47,VARDATA,E$3,FALSE)))</f>
        <v>0</v>
      </c>
      <c r="F47" s="37">
        <f>-IF(ISNA(ABS(VLOOKUP($A47,VARDATA,F$3,FALSE))),0,ABS(VLOOKUP($A47,VARDATA,F$3,FALSE)))</f>
        <v>-72500</v>
      </c>
      <c r="G47" s="19">
        <f>ABS(F47)+ABS(E47)</f>
        <v>72500</v>
      </c>
      <c r="H47" s="20"/>
      <c r="I47" s="46">
        <f>IF(ISNA(ABS(VLOOKUP($A47,VARDATA,I$4,FALSE))),0,ABS(VLOOKUP($A47,VARDATA,I$4,FALSE)))+IF(ISNA(ABS(VLOOKUP($A47,VARDATA,I$3,FALSE))),0,ABS(VLOOKUP($A47,VARDATA,I$3,FALSE)))</f>
        <v>165150.76999999999</v>
      </c>
      <c r="J47" s="20"/>
      <c r="K47" s="29">
        <f>IF(ISNA(ABS(VLOOKUP($A47,VARDATA,K$3,FALSE))),0,ABS(VLOOKUP($A47,VARDATA,K$3,FALSE)))</f>
        <v>1</v>
      </c>
      <c r="L47" s="13"/>
      <c r="M47" s="29">
        <f>IF(ISNA(ABS(VLOOKUP($A47,VARDATA,M$3,FALSE))),0,ABS(VLOOKUP($A47,VARDATA,M$3,FALSE)))</f>
        <v>7125000</v>
      </c>
      <c r="N47" s="37">
        <f>-IF(ISNA(ABS(VLOOKUP($A47,VARDATA,N$3,FALSE))),0,ABS(VLOOKUP($A47,VARDATA,N$3,FALSE)))</f>
        <v>-4027500</v>
      </c>
      <c r="O47" s="19">
        <f>ABS(N47)+ABS(M47)</f>
        <v>11152500</v>
      </c>
      <c r="P47" s="20"/>
      <c r="Q47" s="46">
        <f>IF(ISNA(ABS(VLOOKUP($A47,VARDATA,Q$4,FALSE))),0,ABS(VLOOKUP($A47,VARDATA,Q$4,FALSE)))+IF(ISNA(ABS(VLOOKUP($A47,VARDATA,Q$3,FALSE))),0,ABS(VLOOKUP($A47,VARDATA,Q$3,FALSE)))</f>
        <v>21270544.879999999</v>
      </c>
      <c r="R47" s="20"/>
      <c r="S47" s="29">
        <f>IF(ISNA(ABS(VLOOKUP($A47,VARDATA,S$3,FALSE))),0,ABS(VLOOKUP($A47,VARDATA,S$3,FALSE)))</f>
        <v>49</v>
      </c>
      <c r="U47" s="29">
        <f>IF(ISNA(ABS(VLOOKUP($A47,VARDATA,U$3,FALSE))),0,ABS(VLOOKUP($A47,VARDATA,U$3,FALSE)))</f>
        <v>7125000</v>
      </c>
      <c r="V47" s="37">
        <f>-IF(ISNA(ABS(VLOOKUP($A47,VARDATA,V$3,FALSE))),0,ABS(VLOOKUP($A47,VARDATA,V$3,FALSE)))</f>
        <v>-4027500</v>
      </c>
      <c r="W47" s="19">
        <f>ABS(V47)+ABS(U47)</f>
        <v>11152500</v>
      </c>
      <c r="X47" s="20"/>
      <c r="Y47" s="46">
        <f>IF(ISNA(ABS(VLOOKUP($A47,VARDATA,Y$4,FALSE))),0,ABS(VLOOKUP($A47,VARDATA,Y$4,FALSE)))+IF(ISNA(ABS(VLOOKUP($A47,VARDATA,Y$3,FALSE))),0,ABS(VLOOKUP($A47,VARDATA,Y$3,FALSE)))</f>
        <v>21270544.879999999</v>
      </c>
      <c r="Z47" s="20"/>
      <c r="AA47" s="29">
        <f>IF(ISNA(ABS(VLOOKUP($A47,VARDATA,AA$3,FALSE))),0,ABS(VLOOKUP($A47,VARDATA,AA$3,FALSE)))</f>
        <v>49</v>
      </c>
      <c r="AB47" s="16"/>
    </row>
    <row r="48" spans="1:28" x14ac:dyDescent="0.2">
      <c r="A48" s="16" t="s">
        <v>170</v>
      </c>
      <c r="B48" s="25"/>
      <c r="C48" t="s">
        <v>12</v>
      </c>
      <c r="E48" s="29">
        <f>IF(ISNA(ABS(VLOOKUP($A48,VARDATA,E$3,FALSE))),0,ABS(VLOOKUP($A48,VARDATA,E$3,FALSE)))</f>
        <v>639736.42000000004</v>
      </c>
      <c r="F48" s="37">
        <f>-IF(ISNA(ABS(VLOOKUP($A48,VARDATA,F$3,FALSE))),0,ABS(VLOOKUP($A48,VARDATA,F$3,FALSE)))</f>
        <v>-173721.3</v>
      </c>
      <c r="G48" s="19">
        <f>ABS(F48)+ABS(E48)</f>
        <v>813457.72</v>
      </c>
      <c r="H48" s="20"/>
      <c r="I48" s="46">
        <f>IF(ISNA(ABS(VLOOKUP($A48,VARDATA,I$4,FALSE))),0,ABS(VLOOKUP($A48,VARDATA,I$4,FALSE)))+IF(ISNA(ABS(VLOOKUP($A48,VARDATA,I$3,FALSE))),0,ABS(VLOOKUP($A48,VARDATA,I$3,FALSE)))</f>
        <v>1782469.72</v>
      </c>
      <c r="J48" s="20"/>
      <c r="K48" s="29">
        <f>IF(ISNA(ABS(VLOOKUP($A48,VARDATA,K$3,FALSE))),0,ABS(VLOOKUP($A48,VARDATA,K$3,FALSE)))</f>
        <v>11</v>
      </c>
      <c r="L48" s="13"/>
      <c r="M48" s="29">
        <f>IF(ISNA(ABS(VLOOKUP($A48,VARDATA,M$3,FALSE))),0,ABS(VLOOKUP($A48,VARDATA,M$3,FALSE)))</f>
        <v>20991233.800000001</v>
      </c>
      <c r="N48" s="37">
        <f>-IF(ISNA(ABS(VLOOKUP($A48,VARDATA,N$3,FALSE))),0,ABS(VLOOKUP($A48,VARDATA,N$3,FALSE)))</f>
        <v>-7933735.0199999996</v>
      </c>
      <c r="O48" s="19">
        <f>ABS(N48)+ABS(M48)</f>
        <v>28924968.82</v>
      </c>
      <c r="P48" s="20"/>
      <c r="Q48" s="46">
        <f>IF(ISNA(ABS(VLOOKUP($A48,VARDATA,Q$4,FALSE))),0,ABS(VLOOKUP($A48,VARDATA,Q$4,FALSE)))+IF(ISNA(ABS(VLOOKUP($A48,VARDATA,Q$3,FALSE))),0,ABS(VLOOKUP($A48,VARDATA,Q$3,FALSE)))</f>
        <v>56630786.979999997</v>
      </c>
      <c r="R48" s="20"/>
      <c r="S48" s="29">
        <f>IF(ISNA(ABS(VLOOKUP($A48,VARDATA,S$3,FALSE))),0,ABS(VLOOKUP($A48,VARDATA,S$3,FALSE)))</f>
        <v>190</v>
      </c>
      <c r="U48" s="29">
        <f>IF(ISNA(ABS(VLOOKUP($A48,VARDATA,U$3,FALSE))),0,ABS(VLOOKUP($A48,VARDATA,U$3,FALSE)))</f>
        <v>20991233.800000001</v>
      </c>
      <c r="V48" s="37">
        <f>-IF(ISNA(ABS(VLOOKUP($A48,VARDATA,V$3,FALSE))),0,ABS(VLOOKUP($A48,VARDATA,V$3,FALSE)))</f>
        <v>-7933735.0199999996</v>
      </c>
      <c r="W48" s="19">
        <f>ABS(V48)+ABS(U48)</f>
        <v>28924968.82</v>
      </c>
      <c r="X48" s="20"/>
      <c r="Y48" s="46">
        <f>IF(ISNA(ABS(VLOOKUP($A48,VARDATA,Y$4,FALSE))),0,ABS(VLOOKUP($A48,VARDATA,Y$4,FALSE)))+IF(ISNA(ABS(VLOOKUP($A48,VARDATA,Y$3,FALSE))),0,ABS(VLOOKUP($A48,VARDATA,Y$3,FALSE)))</f>
        <v>56630786.979999997</v>
      </c>
      <c r="Z48" s="20"/>
      <c r="AA48" s="29">
        <f>IF(ISNA(ABS(VLOOKUP($A48,VARDATA,AA$3,FALSE))),0,ABS(VLOOKUP($A48,VARDATA,AA$3,FALSE)))</f>
        <v>190</v>
      </c>
      <c r="AB48" s="16"/>
    </row>
    <row r="49" spans="1:28" x14ac:dyDescent="0.2">
      <c r="B49" s="25"/>
      <c r="C49" t="s">
        <v>10</v>
      </c>
      <c r="E49" s="21">
        <f>SUM(E47:E48)</f>
        <v>639736.42000000004</v>
      </c>
      <c r="F49" s="21">
        <f>SUM(F47:F48)</f>
        <v>-246221.3</v>
      </c>
      <c r="G49" s="21">
        <f>SUM(G47:G48)</f>
        <v>885957.72</v>
      </c>
      <c r="H49" s="22"/>
      <c r="I49" s="21">
        <f>SUM(I47:I48)</f>
        <v>1947620.49</v>
      </c>
      <c r="J49" s="22"/>
      <c r="K49" s="21">
        <f>SUM(K47:K48)</f>
        <v>12</v>
      </c>
      <c r="L49" s="13"/>
      <c r="M49" s="21">
        <f>SUM(M47:M48)</f>
        <v>28116233.800000001</v>
      </c>
      <c r="N49" s="21">
        <f>SUM(N47:N48)</f>
        <v>-11961235.02</v>
      </c>
      <c r="O49" s="21">
        <f>SUM(O47:O48)</f>
        <v>40077468.82</v>
      </c>
      <c r="P49" s="22"/>
      <c r="Q49" s="21">
        <f>SUM(Q47:Q48)</f>
        <v>77901331.859999999</v>
      </c>
      <c r="R49" s="22"/>
      <c r="S49" s="21">
        <f>SUM(S47:S48)</f>
        <v>239</v>
      </c>
      <c r="U49" s="21">
        <f>SUM(U47:U48)</f>
        <v>28116233.800000001</v>
      </c>
      <c r="V49" s="21">
        <f>SUM(V47:V48)</f>
        <v>-11961235.02</v>
      </c>
      <c r="W49" s="21">
        <f>SUM(W47:W48)</f>
        <v>40077468.82</v>
      </c>
      <c r="X49" s="22"/>
      <c r="Y49" s="21">
        <f>SUM(Y47:Y48)</f>
        <v>77901331.859999999</v>
      </c>
      <c r="Z49" s="22"/>
      <c r="AA49" s="21">
        <f>SUM(AA47:AA48)</f>
        <v>239</v>
      </c>
      <c r="AB49" s="16"/>
    </row>
    <row r="50" spans="1:28" x14ac:dyDescent="0.2">
      <c r="C50" t="s">
        <v>13</v>
      </c>
      <c r="E50" s="23">
        <f>IF(E49=0,"",E47/E49)</f>
        <v>0</v>
      </c>
      <c r="F50" s="23">
        <f>IF(F49=0,"",F47/F49)</f>
        <v>0.29445056134461156</v>
      </c>
      <c r="G50" s="23">
        <f>IF(G49=0,"",G47/G49)</f>
        <v>8.1832347484934162E-2</v>
      </c>
      <c r="H50" s="22"/>
      <c r="I50" s="23">
        <f>IF(I49=0,"",I47/I49)</f>
        <v>8.4796176076377169E-2</v>
      </c>
      <c r="J50" s="22"/>
      <c r="K50" s="23">
        <f>IF(K49=0,"",K47/K49)</f>
        <v>8.3333333333333329E-2</v>
      </c>
      <c r="L50" s="18"/>
      <c r="M50" s="23">
        <f>IF(M49=0,"",M47/M49)</f>
        <v>0.25341231868686481</v>
      </c>
      <c r="N50" s="23">
        <f>IF(N49=0,"",N47/N49)</f>
        <v>0.33671272182728168</v>
      </c>
      <c r="O50" s="23">
        <f>IF(O49=0,"",O47/O49)</f>
        <v>0.27827356188808333</v>
      </c>
      <c r="P50" s="22"/>
      <c r="Q50" s="23">
        <f>IF(Q49=0,"",Q47/Q49)</f>
        <v>0.27304468835303425</v>
      </c>
      <c r="R50" s="22"/>
      <c r="S50" s="23">
        <f>IF(S49=0,"",S47/S49)</f>
        <v>0.20502092050209206</v>
      </c>
      <c r="U50" s="23">
        <f>IF(U49=0,"",U47/U49)</f>
        <v>0.25341231868686481</v>
      </c>
      <c r="V50" s="23">
        <f>IF(V49=0,"",V47/V49)</f>
        <v>0.33671272182728168</v>
      </c>
      <c r="W50" s="23">
        <f>IF(W49=0,"",W47/W49)</f>
        <v>0.27827356188808333</v>
      </c>
      <c r="X50" s="22"/>
      <c r="Y50" s="23">
        <f>IF(Y49=0,"",Y47/Y49)</f>
        <v>0.27304468835303425</v>
      </c>
      <c r="Z50" s="22"/>
      <c r="AA50" s="23">
        <f>IF(AA49=0,"",AA47/AA49)</f>
        <v>0.20502092050209206</v>
      </c>
      <c r="AB50" s="16"/>
    </row>
    <row r="51" spans="1:28" x14ac:dyDescent="0.2">
      <c r="AB51" s="16"/>
    </row>
    <row r="52" spans="1:28" x14ac:dyDescent="0.2">
      <c r="B52" s="25" t="s">
        <v>81</v>
      </c>
      <c r="E52" s="3"/>
      <c r="F52" s="3"/>
      <c r="G52" s="3"/>
      <c r="I52" s="14"/>
      <c r="K52" s="3"/>
      <c r="L52" s="3"/>
      <c r="M52" s="3"/>
      <c r="N52" s="3"/>
      <c r="O52" s="3"/>
      <c r="Q52" s="14"/>
      <c r="S52" s="3"/>
      <c r="U52" s="3"/>
      <c r="V52" s="3"/>
      <c r="W52" s="3"/>
      <c r="Y52" s="14"/>
      <c r="AA52" s="3"/>
      <c r="AB52" s="16"/>
    </row>
    <row r="53" spans="1:28" x14ac:dyDescent="0.2">
      <c r="A53" s="16" t="s">
        <v>92</v>
      </c>
      <c r="B53" s="25"/>
      <c r="C53" t="s">
        <v>11</v>
      </c>
      <c r="E53" s="29">
        <f>IF(ISNA(ABS(VLOOKUP($A53,VARDATA,E$3,FALSE))),0,ABS(VLOOKUP($A53,VARDATA,E$3,FALSE)))</f>
        <v>230000</v>
      </c>
      <c r="F53" s="37">
        <f>-IF(ISNA(ABS(VLOOKUP($A53,VARDATA,F$3,FALSE))),0,ABS(VLOOKUP($A53,VARDATA,F$3,FALSE)))</f>
        <v>0</v>
      </c>
      <c r="G53" s="19">
        <f>ABS(F53)+ABS(E53)</f>
        <v>230000</v>
      </c>
      <c r="H53" s="20"/>
      <c r="I53" s="46">
        <f>IF(ISNA(ABS(VLOOKUP($A53,VARDATA,I$4,FALSE))),0,ABS(VLOOKUP($A53,VARDATA,I$4,FALSE)))+IF(ISNA(ABS(VLOOKUP($A53,VARDATA,I$3,FALSE))),0,ABS(VLOOKUP($A53,VARDATA,I$3,FALSE)))</f>
        <v>373156.34</v>
      </c>
      <c r="J53" s="20"/>
      <c r="K53" s="29">
        <f>IF(ISNA(ABS(VLOOKUP($A53,VARDATA,K$3,FALSE))),0,ABS(VLOOKUP($A53,VARDATA,K$3,FALSE)))</f>
        <v>1</v>
      </c>
      <c r="L53" s="13"/>
      <c r="M53" s="29">
        <f>IF(ISNA(ABS(VLOOKUP($A53,VARDATA,M$3,FALSE))),0,ABS(VLOOKUP($A53,VARDATA,M$3,FALSE)))</f>
        <v>9565000</v>
      </c>
      <c r="N53" s="37">
        <f>-IF(ISNA(ABS(VLOOKUP($A53,VARDATA,N$3,FALSE))),0,ABS(VLOOKUP($A53,VARDATA,N$3,FALSE)))</f>
        <v>-912500</v>
      </c>
      <c r="O53" s="19">
        <f>ABS(N53)+ABS(M53)</f>
        <v>10477500</v>
      </c>
      <c r="P53" s="20"/>
      <c r="Q53" s="46">
        <f>IF(ISNA(ABS(VLOOKUP($A53,VARDATA,Q$4,FALSE))),0,ABS(VLOOKUP($A53,VARDATA,Q$4,FALSE)))+IF(ISNA(ABS(VLOOKUP($A53,VARDATA,Q$3,FALSE))),0,ABS(VLOOKUP($A53,VARDATA,Q$3,FALSE)))</f>
        <v>18578322.469999999</v>
      </c>
      <c r="R53" s="20"/>
      <c r="S53" s="29">
        <f>IF(ISNA(ABS(VLOOKUP($A53,VARDATA,S$3,FALSE))),0,ABS(VLOOKUP($A53,VARDATA,S$3,FALSE)))</f>
        <v>44</v>
      </c>
      <c r="U53" s="29">
        <f>IF(ISNA(ABS(VLOOKUP($A53,VARDATA,U$3,FALSE))),0,ABS(VLOOKUP($A53,VARDATA,U$3,FALSE)))</f>
        <v>9565000</v>
      </c>
      <c r="V53" s="37">
        <f>-IF(ISNA(ABS(VLOOKUP($A53,VARDATA,V$3,FALSE))),0,ABS(VLOOKUP($A53,VARDATA,V$3,FALSE)))</f>
        <v>-912500</v>
      </c>
      <c r="W53" s="19">
        <f>ABS(V53)+ABS(U53)</f>
        <v>10477500</v>
      </c>
      <c r="X53" s="20"/>
      <c r="Y53" s="46">
        <f>IF(ISNA(ABS(VLOOKUP($A53,VARDATA,Y$4,FALSE))),0,ABS(VLOOKUP($A53,VARDATA,Y$4,FALSE)))+IF(ISNA(ABS(VLOOKUP($A53,VARDATA,Y$3,FALSE))),0,ABS(VLOOKUP($A53,VARDATA,Y$3,FALSE)))</f>
        <v>18578322.469999999</v>
      </c>
      <c r="Z53" s="20"/>
      <c r="AA53" s="29">
        <f>IF(ISNA(ABS(VLOOKUP($A53,VARDATA,AA$3,FALSE))),0,ABS(VLOOKUP($A53,VARDATA,AA$3,FALSE)))</f>
        <v>44</v>
      </c>
      <c r="AB53" s="16"/>
    </row>
    <row r="54" spans="1:28" x14ac:dyDescent="0.2">
      <c r="A54" s="16" t="s">
        <v>93</v>
      </c>
      <c r="B54" s="25"/>
      <c r="C54" t="s">
        <v>12</v>
      </c>
      <c r="E54" s="29">
        <f>IF(ISNA(ABS(VLOOKUP($A54,VARDATA,E$3,FALSE))),0,ABS(VLOOKUP($A54,VARDATA,E$3,FALSE)))</f>
        <v>2287500</v>
      </c>
      <c r="F54" s="37">
        <f>-IF(ISNA(ABS(VLOOKUP($A54,VARDATA,F$3,FALSE))),0,ABS(VLOOKUP($A54,VARDATA,F$3,FALSE)))</f>
        <v>0</v>
      </c>
      <c r="G54" s="19">
        <f>ABS(F54)+ABS(E54)</f>
        <v>2287500</v>
      </c>
      <c r="H54" s="20"/>
      <c r="I54" s="46">
        <f>IF(ISNA(ABS(VLOOKUP($A54,VARDATA,I$4,FALSE))),0,ABS(VLOOKUP($A54,VARDATA,I$4,FALSE)))+IF(ISNA(ABS(VLOOKUP($A54,VARDATA,I$3,FALSE))),0,ABS(VLOOKUP($A54,VARDATA,I$3,FALSE)))</f>
        <v>3786258.6</v>
      </c>
      <c r="J54" s="20"/>
      <c r="K54" s="29">
        <f>IF(ISNA(ABS(VLOOKUP($A54,VARDATA,K$3,FALSE))),0,ABS(VLOOKUP($A54,VARDATA,K$3,FALSE)))</f>
        <v>5</v>
      </c>
      <c r="L54" s="13"/>
      <c r="M54" s="29">
        <f>IF(ISNA(ABS(VLOOKUP($A54,VARDATA,M$3,FALSE))),0,ABS(VLOOKUP($A54,VARDATA,M$3,FALSE)))</f>
        <v>6912886.0800000001</v>
      </c>
      <c r="N54" s="37">
        <f>-IF(ISNA(ABS(VLOOKUP($A54,VARDATA,N$3,FALSE))),0,ABS(VLOOKUP($A54,VARDATA,N$3,FALSE)))</f>
        <v>-3243295</v>
      </c>
      <c r="O54" s="19">
        <f>ABS(N54)+ABS(M54)</f>
        <v>10156181.08</v>
      </c>
      <c r="P54" s="20"/>
      <c r="Q54" s="46">
        <f>IF(ISNA(ABS(VLOOKUP($A54,VARDATA,Q$4,FALSE))),0,ABS(VLOOKUP($A54,VARDATA,Q$4,FALSE)))+IF(ISNA(ABS(VLOOKUP($A54,VARDATA,Q$3,FALSE))),0,ABS(VLOOKUP($A54,VARDATA,Q$3,FALSE)))</f>
        <v>18567774.879999999</v>
      </c>
      <c r="R54" s="20"/>
      <c r="S54" s="29">
        <f>IF(ISNA(ABS(VLOOKUP($A54,VARDATA,S$3,FALSE))),0,ABS(VLOOKUP($A54,VARDATA,S$3,FALSE)))</f>
        <v>42</v>
      </c>
      <c r="U54" s="29">
        <f>IF(ISNA(ABS(VLOOKUP($A54,VARDATA,U$3,FALSE))),0,ABS(VLOOKUP($A54,VARDATA,U$3,FALSE)))</f>
        <v>6912886.0800000001</v>
      </c>
      <c r="V54" s="37">
        <f>-IF(ISNA(ABS(VLOOKUP($A54,VARDATA,V$3,FALSE))),0,ABS(VLOOKUP($A54,VARDATA,V$3,FALSE)))</f>
        <v>-3243295</v>
      </c>
      <c r="W54" s="19">
        <f>ABS(V54)+ABS(U54)</f>
        <v>10156181.08</v>
      </c>
      <c r="X54" s="20"/>
      <c r="Y54" s="46">
        <f>IF(ISNA(ABS(VLOOKUP($A54,VARDATA,Y$4,FALSE))),0,ABS(VLOOKUP($A54,VARDATA,Y$4,FALSE)))+IF(ISNA(ABS(VLOOKUP($A54,VARDATA,Y$3,FALSE))),0,ABS(VLOOKUP($A54,VARDATA,Y$3,FALSE)))</f>
        <v>18567774.879999999</v>
      </c>
      <c r="Z54" s="20"/>
      <c r="AA54" s="29">
        <f>IF(ISNA(ABS(VLOOKUP($A54,VARDATA,AA$3,FALSE))),0,ABS(VLOOKUP($A54,VARDATA,AA$3,FALSE)))</f>
        <v>42</v>
      </c>
      <c r="AB54" s="16"/>
    </row>
    <row r="55" spans="1:28" x14ac:dyDescent="0.2">
      <c r="B55" s="25"/>
      <c r="C55" t="s">
        <v>10</v>
      </c>
      <c r="E55" s="21">
        <f>SUM(E53:E54)</f>
        <v>2517500</v>
      </c>
      <c r="F55" s="21">
        <f>SUM(F53:F54)</f>
        <v>0</v>
      </c>
      <c r="G55" s="21">
        <f>SUM(G53:G54)</f>
        <v>2517500</v>
      </c>
      <c r="H55" s="22"/>
      <c r="I55" s="21">
        <f>SUM(I53:I54)</f>
        <v>4159414.94</v>
      </c>
      <c r="J55" s="22"/>
      <c r="K55" s="21">
        <f>SUM(K53:K54)</f>
        <v>6</v>
      </c>
      <c r="L55" s="13"/>
      <c r="M55" s="21">
        <f>SUM(M53:M54)</f>
        <v>16477886.08</v>
      </c>
      <c r="N55" s="21">
        <f>SUM(N53:N54)</f>
        <v>-4155795</v>
      </c>
      <c r="O55" s="21">
        <f>SUM(O53:O54)</f>
        <v>20633681.079999998</v>
      </c>
      <c r="P55" s="22"/>
      <c r="Q55" s="21">
        <f>SUM(Q53:Q54)</f>
        <v>37146097.349999994</v>
      </c>
      <c r="R55" s="22"/>
      <c r="S55" s="21">
        <f>SUM(S53:S54)</f>
        <v>86</v>
      </c>
      <c r="U55" s="21">
        <f>SUM(U53:U54)</f>
        <v>16477886.08</v>
      </c>
      <c r="V55" s="21">
        <f>SUM(V53:V54)</f>
        <v>-4155795</v>
      </c>
      <c r="W55" s="21">
        <f>SUM(W53:W54)</f>
        <v>20633681.079999998</v>
      </c>
      <c r="X55" s="22"/>
      <c r="Y55" s="21">
        <f>SUM(Y53:Y54)</f>
        <v>37146097.349999994</v>
      </c>
      <c r="Z55" s="22"/>
      <c r="AA55" s="21">
        <f>SUM(AA53:AA54)</f>
        <v>86</v>
      </c>
      <c r="AB55" s="16"/>
    </row>
    <row r="56" spans="1:28" x14ac:dyDescent="0.2">
      <c r="C56" t="s">
        <v>13</v>
      </c>
      <c r="E56" s="23">
        <f>IF(E55=0,"",E53/E55)</f>
        <v>9.1360476663356505E-2</v>
      </c>
      <c r="F56" s="23" t="str">
        <f>IF(F55=0,"",F53/F55)</f>
        <v/>
      </c>
      <c r="G56" s="23">
        <f>IF(G55=0,"",G53/G55)</f>
        <v>9.1360476663356505E-2</v>
      </c>
      <c r="H56" s="22"/>
      <c r="I56" s="23">
        <f>IF(I55=0,"",I53/I55)</f>
        <v>8.9713660546692178E-2</v>
      </c>
      <c r="J56" s="22"/>
      <c r="K56" s="23">
        <f>IF(K55=0,"",K53/K55)</f>
        <v>0.16666666666666666</v>
      </c>
      <c r="L56" s="18"/>
      <c r="M56" s="23">
        <f>IF(M55=0,"",M53/M55)</f>
        <v>0.58047494402874278</v>
      </c>
      <c r="N56" s="23">
        <f>IF(N55=0,"",N53/N55)</f>
        <v>0.21957290963582179</v>
      </c>
      <c r="O56" s="23">
        <f>IF(O55=0,"",O53/O55)</f>
        <v>0.50778627232712858</v>
      </c>
      <c r="P56" s="22"/>
      <c r="Q56" s="23">
        <f>IF(Q55=0,"",Q53/Q55)</f>
        <v>0.50014197440313346</v>
      </c>
      <c r="R56" s="22"/>
      <c r="S56" s="23">
        <f>IF(S55=0,"",S53/S55)</f>
        <v>0.51162790697674421</v>
      </c>
      <c r="U56" s="23">
        <f>IF(U55=0,"",U53/U55)</f>
        <v>0.58047494402874278</v>
      </c>
      <c r="V56" s="23">
        <f>IF(V55=0,"",V53/V55)</f>
        <v>0.21957290963582179</v>
      </c>
      <c r="W56" s="23">
        <f>IF(W55=0,"",W53/W55)</f>
        <v>0.50778627232712858</v>
      </c>
      <c r="X56" s="22"/>
      <c r="Y56" s="23">
        <f>IF(Y55=0,"",Y53/Y55)</f>
        <v>0.50014197440313346</v>
      </c>
      <c r="Z56" s="22"/>
      <c r="AA56" s="23">
        <f>IF(AA55=0,"",AA53/AA55)</f>
        <v>0.51162790697674421</v>
      </c>
      <c r="AB56" s="16"/>
    </row>
    <row r="57" spans="1:28" x14ac:dyDescent="0.2">
      <c r="AB57" s="16"/>
    </row>
    <row r="58" spans="1:28" x14ac:dyDescent="0.2">
      <c r="B58" s="25" t="s">
        <v>82</v>
      </c>
      <c r="E58" s="3"/>
      <c r="F58" s="3"/>
      <c r="G58" s="3"/>
      <c r="I58" s="14"/>
      <c r="K58" s="3"/>
      <c r="L58" s="3"/>
      <c r="M58" s="3"/>
      <c r="N58" s="3"/>
      <c r="O58" s="3"/>
      <c r="Q58" s="14"/>
      <c r="S58" s="3"/>
      <c r="U58" s="3"/>
      <c r="V58" s="3"/>
      <c r="W58" s="3"/>
      <c r="Y58" s="14"/>
      <c r="AA58" s="3"/>
      <c r="AB58" s="16"/>
    </row>
    <row r="59" spans="1:28" x14ac:dyDescent="0.2">
      <c r="A59" s="16" t="s">
        <v>94</v>
      </c>
      <c r="B59" s="25"/>
      <c r="C59" t="s">
        <v>11</v>
      </c>
      <c r="E59" s="29">
        <f>IF(ISNA(ABS(VLOOKUP($A59,VARDATA,E$3,FALSE))),0,ABS(VLOOKUP($A59,VARDATA,E$3,FALSE)))</f>
        <v>3987500</v>
      </c>
      <c r="F59" s="37">
        <f>-IF(ISNA(ABS(VLOOKUP($A59,VARDATA,F$3,FALSE))),0,ABS(VLOOKUP($A59,VARDATA,F$3,FALSE)))</f>
        <v>-2065000</v>
      </c>
      <c r="G59" s="19">
        <f>ABS(F59)+ABS(E59)</f>
        <v>6052500</v>
      </c>
      <c r="H59" s="20"/>
      <c r="I59" s="46">
        <f>IF(ISNA(ABS(VLOOKUP($A59,VARDATA,I$4,FALSE))),0,ABS(VLOOKUP($A59,VARDATA,I$4,FALSE)))+IF(ISNA(ABS(VLOOKUP($A59,VARDATA,I$3,FALSE))),0,ABS(VLOOKUP($A59,VARDATA,I$3,FALSE)))</f>
        <v>11675721.08</v>
      </c>
      <c r="J59" s="20"/>
      <c r="K59" s="29">
        <f>IF(ISNA(ABS(VLOOKUP($A59,VARDATA,K$3,FALSE))),0,ABS(VLOOKUP($A59,VARDATA,K$3,FALSE)))</f>
        <v>49</v>
      </c>
      <c r="L59" s="13"/>
      <c r="M59" s="29">
        <f>IF(ISNA(ABS(VLOOKUP($A59,VARDATA,M$3,FALSE))),0,ABS(VLOOKUP($A59,VARDATA,M$3,FALSE)))</f>
        <v>25535000</v>
      </c>
      <c r="N59" s="37">
        <f>-IF(ISNA(ABS(VLOOKUP($A59,VARDATA,N$3,FALSE))),0,ABS(VLOOKUP($A59,VARDATA,N$3,FALSE)))</f>
        <v>-43181500</v>
      </c>
      <c r="O59" s="19">
        <f>ABS(N59)+ABS(M59)</f>
        <v>68716500</v>
      </c>
      <c r="P59" s="20"/>
      <c r="Q59" s="46">
        <f>IF(ISNA(ABS(VLOOKUP($A59,VARDATA,Q$4,FALSE))),0,ABS(VLOOKUP($A59,VARDATA,Q$4,FALSE)))+IF(ISNA(ABS(VLOOKUP($A59,VARDATA,Q$3,FALSE))),0,ABS(VLOOKUP($A59,VARDATA,Q$3,FALSE)))</f>
        <v>134696249.25999999</v>
      </c>
      <c r="R59" s="20"/>
      <c r="S59" s="29">
        <f>IF(ISNA(ABS(VLOOKUP($A59,VARDATA,S$3,FALSE))),0,ABS(VLOOKUP($A59,VARDATA,S$3,FALSE)))</f>
        <v>767</v>
      </c>
      <c r="U59" s="29">
        <f>IF(ISNA(ABS(VLOOKUP($A59,VARDATA,U$3,FALSE))),0,ABS(VLOOKUP($A59,VARDATA,U$3,FALSE)))</f>
        <v>25535000</v>
      </c>
      <c r="V59" s="37">
        <f>-IF(ISNA(ABS(VLOOKUP($A59,VARDATA,V$3,FALSE))),0,ABS(VLOOKUP($A59,VARDATA,V$3,FALSE)))</f>
        <v>-43181500</v>
      </c>
      <c r="W59" s="19">
        <f>ABS(V59)+ABS(U59)</f>
        <v>68716500</v>
      </c>
      <c r="X59" s="20"/>
      <c r="Y59" s="46">
        <f>IF(ISNA(ABS(VLOOKUP($A59,VARDATA,Y$4,FALSE))),0,ABS(VLOOKUP($A59,VARDATA,Y$4,FALSE)))+IF(ISNA(ABS(VLOOKUP($A59,VARDATA,Y$3,FALSE))),0,ABS(VLOOKUP($A59,VARDATA,Y$3,FALSE)))</f>
        <v>134696249.25999999</v>
      </c>
      <c r="Z59" s="20"/>
      <c r="AA59" s="29">
        <f>IF(ISNA(ABS(VLOOKUP($A59,VARDATA,AA$3,FALSE))),0,ABS(VLOOKUP($A59,VARDATA,AA$3,FALSE)))</f>
        <v>767</v>
      </c>
      <c r="AB59" s="16"/>
    </row>
    <row r="60" spans="1:28" x14ac:dyDescent="0.2">
      <c r="A60" s="16" t="s">
        <v>95</v>
      </c>
      <c r="B60" s="25"/>
      <c r="C60" t="s">
        <v>12</v>
      </c>
      <c r="E60" s="29">
        <f>IF(ISNA(ABS(VLOOKUP($A60,VARDATA,E$3,FALSE))),0,ABS(VLOOKUP($A60,VARDATA,E$3,FALSE)))</f>
        <v>3498457.72</v>
      </c>
      <c r="F60" s="37">
        <f>-IF(ISNA(ABS(VLOOKUP($A60,VARDATA,F$3,FALSE))),0,ABS(VLOOKUP($A60,VARDATA,F$3,FALSE)))</f>
        <v>-3231162.56</v>
      </c>
      <c r="G60" s="19">
        <f>ABS(F60)+ABS(E60)</f>
        <v>6729620.2800000003</v>
      </c>
      <c r="H60" s="20"/>
      <c r="I60" s="46">
        <f>IF(ISNA(ABS(VLOOKUP($A60,VARDATA,I$4,FALSE))),0,ABS(VLOOKUP($A60,VARDATA,I$4,FALSE)))+IF(ISNA(ABS(VLOOKUP($A60,VARDATA,I$3,FALSE))),0,ABS(VLOOKUP($A60,VARDATA,I$3,FALSE)))</f>
        <v>14041623.869999999</v>
      </c>
      <c r="J60" s="20"/>
      <c r="K60" s="29">
        <f>IF(ISNA(ABS(VLOOKUP($A60,VARDATA,K$3,FALSE))),0,ABS(VLOOKUP($A60,VARDATA,K$3,FALSE)))</f>
        <v>41</v>
      </c>
      <c r="L60" s="13"/>
      <c r="M60" s="29">
        <f>IF(ISNA(ABS(VLOOKUP($A60,VARDATA,M$3,FALSE))),0,ABS(VLOOKUP($A60,VARDATA,M$3,FALSE)))</f>
        <v>63869119.219999999</v>
      </c>
      <c r="N60" s="37">
        <f>-IF(ISNA(ABS(VLOOKUP($A60,VARDATA,N$3,FALSE))),0,ABS(VLOOKUP($A60,VARDATA,N$3,FALSE)))</f>
        <v>-168518500.56</v>
      </c>
      <c r="O60" s="19">
        <f>ABS(N60)+ABS(M60)</f>
        <v>232387619.78</v>
      </c>
      <c r="P60" s="20"/>
      <c r="Q60" s="46">
        <f>IF(ISNA(ABS(VLOOKUP($A60,VARDATA,Q$4,FALSE))),0,ABS(VLOOKUP($A60,VARDATA,Q$4,FALSE)))+IF(ISNA(ABS(VLOOKUP($A60,VARDATA,Q$3,FALSE))),0,ABS(VLOOKUP($A60,VARDATA,Q$3,FALSE)))</f>
        <v>388636317.87</v>
      </c>
      <c r="R60" s="20"/>
      <c r="S60" s="29">
        <f>IF(ISNA(ABS(VLOOKUP($A60,VARDATA,S$3,FALSE))),0,ABS(VLOOKUP($A60,VARDATA,S$3,FALSE)))</f>
        <v>724</v>
      </c>
      <c r="U60" s="29">
        <f>IF(ISNA(ABS(VLOOKUP($A60,VARDATA,U$3,FALSE))),0,ABS(VLOOKUP($A60,VARDATA,U$3,FALSE)))</f>
        <v>63869119.219999999</v>
      </c>
      <c r="V60" s="37">
        <f>-IF(ISNA(ABS(VLOOKUP($A60,VARDATA,V$3,FALSE))),0,ABS(VLOOKUP($A60,VARDATA,V$3,FALSE)))</f>
        <v>-168518500.56</v>
      </c>
      <c r="W60" s="19">
        <f>ABS(V60)+ABS(U60)</f>
        <v>232387619.78</v>
      </c>
      <c r="X60" s="20"/>
      <c r="Y60" s="46">
        <f>IF(ISNA(ABS(VLOOKUP($A60,VARDATA,Y$4,FALSE))),0,ABS(VLOOKUP($A60,VARDATA,Y$4,FALSE)))+IF(ISNA(ABS(VLOOKUP($A60,VARDATA,Y$3,FALSE))),0,ABS(VLOOKUP($A60,VARDATA,Y$3,FALSE)))</f>
        <v>388636317.87</v>
      </c>
      <c r="Z60" s="20"/>
      <c r="AA60" s="29">
        <f>IF(ISNA(ABS(VLOOKUP($A60,VARDATA,AA$3,FALSE))),0,ABS(VLOOKUP($A60,VARDATA,AA$3,FALSE)))</f>
        <v>724</v>
      </c>
      <c r="AB60" s="16"/>
    </row>
    <row r="61" spans="1:28" x14ac:dyDescent="0.2">
      <c r="B61" s="25"/>
      <c r="C61" t="s">
        <v>10</v>
      </c>
      <c r="E61" s="21">
        <f>SUM(E59:E60)</f>
        <v>7485957.7200000007</v>
      </c>
      <c r="F61" s="21">
        <f>SUM(F59:F60)</f>
        <v>-5296162.5600000005</v>
      </c>
      <c r="G61" s="21">
        <f>SUM(G59:G60)</f>
        <v>12782120.280000001</v>
      </c>
      <c r="H61" s="22"/>
      <c r="I61" s="21">
        <f>SUM(I59:I60)</f>
        <v>25717344.949999999</v>
      </c>
      <c r="J61" s="22"/>
      <c r="K61" s="21">
        <f>SUM(K59:K60)</f>
        <v>90</v>
      </c>
      <c r="L61" s="13"/>
      <c r="M61" s="21">
        <f>SUM(M59:M60)</f>
        <v>89404119.219999999</v>
      </c>
      <c r="N61" s="21">
        <f>SUM(N59:N60)</f>
        <v>-211700000.56</v>
      </c>
      <c r="O61" s="21">
        <f>SUM(O59:O60)</f>
        <v>301104119.77999997</v>
      </c>
      <c r="P61" s="22"/>
      <c r="Q61" s="21">
        <f>SUM(Q59:Q60)</f>
        <v>523332567.13</v>
      </c>
      <c r="R61" s="22"/>
      <c r="S61" s="21">
        <f>SUM(S59:S60)</f>
        <v>1491</v>
      </c>
      <c r="U61" s="21">
        <f>SUM(U59:U60)</f>
        <v>89404119.219999999</v>
      </c>
      <c r="V61" s="21">
        <f>SUM(V59:V60)</f>
        <v>-211700000.56</v>
      </c>
      <c r="W61" s="21">
        <f>SUM(W59:W60)</f>
        <v>301104119.77999997</v>
      </c>
      <c r="X61" s="22"/>
      <c r="Y61" s="21">
        <f>SUM(Y59:Y60)</f>
        <v>523332567.13</v>
      </c>
      <c r="Z61" s="22"/>
      <c r="AA61" s="21">
        <f>SUM(AA59:AA60)</f>
        <v>1491</v>
      </c>
      <c r="AB61" s="16"/>
    </row>
    <row r="62" spans="1:28" x14ac:dyDescent="0.2">
      <c r="C62" t="s">
        <v>13</v>
      </c>
      <c r="E62" s="23">
        <f>IF(E61=0,"",E59/E61)</f>
        <v>0.53266397555876122</v>
      </c>
      <c r="F62" s="23">
        <f>IF(F61=0,"",F59/F61)</f>
        <v>0.38990495034956024</v>
      </c>
      <c r="G62" s="23">
        <f>IF(G61=0,"",G59/G61)</f>
        <v>0.47351299060064855</v>
      </c>
      <c r="H62" s="22"/>
      <c r="I62" s="23">
        <f>IF(I61=0,"",I59/I61)</f>
        <v>0.45400180705668064</v>
      </c>
      <c r="J62" s="22"/>
      <c r="K62" s="23">
        <f>IF(K61=0,"",K59/K61)</f>
        <v>0.5444444444444444</v>
      </c>
      <c r="L62" s="18"/>
      <c r="M62" s="23">
        <f>IF(M61=0,"",M59/M61)</f>
        <v>0.2856132382129406</v>
      </c>
      <c r="N62" s="23">
        <f>IF(N61=0,"",N59/N61)</f>
        <v>0.20397496403294293</v>
      </c>
      <c r="O62" s="23">
        <f>IF(O61=0,"",O59/O61)</f>
        <v>0.22821507739650765</v>
      </c>
      <c r="P62" s="22"/>
      <c r="Q62" s="23">
        <f>IF(Q61=0,"",Q59/Q61)</f>
        <v>0.25738174484092513</v>
      </c>
      <c r="R62" s="22"/>
      <c r="S62" s="23">
        <f>IF(S61=0,"",S59/S61)</f>
        <v>0.51441985244802146</v>
      </c>
      <c r="U62" s="23">
        <f>IF(U61=0,"",U59/U61)</f>
        <v>0.2856132382129406</v>
      </c>
      <c r="V62" s="23">
        <f>IF(V61=0,"",V59/V61)</f>
        <v>0.20397496403294293</v>
      </c>
      <c r="W62" s="23">
        <f>IF(W61=0,"",W59/W61)</f>
        <v>0.22821507739650765</v>
      </c>
      <c r="X62" s="22"/>
      <c r="Y62" s="23">
        <f>IF(Y61=0,"",Y59/Y61)</f>
        <v>0.25738174484092513</v>
      </c>
      <c r="Z62" s="22"/>
      <c r="AA62" s="23">
        <f>IF(AA61=0,"",AA59/AA61)</f>
        <v>0.51441985244802146</v>
      </c>
      <c r="AB62" s="16"/>
    </row>
    <row r="63" spans="1:28" x14ac:dyDescent="0.2">
      <c r="AB63" s="16"/>
    </row>
    <row r="64" spans="1:28" x14ac:dyDescent="0.2">
      <c r="AB64" s="16"/>
    </row>
    <row r="65" spans="1:28" x14ac:dyDescent="0.2">
      <c r="AB65" s="16"/>
    </row>
    <row r="66" spans="1:28" x14ac:dyDescent="0.2">
      <c r="B66" s="25" t="s">
        <v>19</v>
      </c>
      <c r="E66" s="3"/>
      <c r="F66" s="3"/>
      <c r="G66" s="3"/>
      <c r="I66" s="14"/>
      <c r="K66" s="3"/>
      <c r="L66" s="3"/>
      <c r="M66" s="3"/>
      <c r="N66" s="3"/>
      <c r="O66" s="3"/>
      <c r="Q66" s="14"/>
      <c r="S66" s="3"/>
      <c r="U66" s="3"/>
      <c r="V66" s="3"/>
      <c r="W66" s="3"/>
      <c r="Y66" s="14"/>
      <c r="AA66" s="3"/>
      <c r="AB66" s="16"/>
    </row>
    <row r="67" spans="1:28" x14ac:dyDescent="0.2">
      <c r="B67" s="25"/>
      <c r="C67" t="s">
        <v>11</v>
      </c>
      <c r="E67" s="28">
        <f t="shared" ref="E67:G68" si="0">E35+E29+E23+E17+E41+E53+E59+E47</f>
        <v>85973595.120000005</v>
      </c>
      <c r="F67" s="28">
        <f t="shared" si="0"/>
        <v>-60709125.600000001</v>
      </c>
      <c r="G67" s="28">
        <f t="shared" si="0"/>
        <v>146682720.72</v>
      </c>
      <c r="H67" s="20"/>
      <c r="I67" s="28">
        <f>I35+I29+I23+I17+I41+I53+I59+I47</f>
        <v>250122955.07000002</v>
      </c>
      <c r="J67" s="20"/>
      <c r="K67" s="28">
        <f>K35+K29+K23+K17+K41+K53+K59+K47</f>
        <v>775</v>
      </c>
      <c r="L67" s="13"/>
      <c r="M67" s="28">
        <f t="shared" ref="M67:O68" si="1">M35+M29+M23+M17+M41+M53+M59+M47</f>
        <v>735952559.03999996</v>
      </c>
      <c r="N67" s="28">
        <f t="shared" si="1"/>
        <v>-726069177.43000007</v>
      </c>
      <c r="O67" s="28">
        <f t="shared" si="1"/>
        <v>1462021736.4699998</v>
      </c>
      <c r="P67" s="20"/>
      <c r="Q67" s="28">
        <f>Q35+Q29+Q23+Q17+Q41+Q53+Q59+Q47</f>
        <v>2330464719.6799994</v>
      </c>
      <c r="R67" s="20"/>
      <c r="S67" s="28">
        <f>S35+S29+S23+S17+S41+S53+S59+S47</f>
        <v>8616</v>
      </c>
      <c r="U67" s="28">
        <f t="shared" ref="U67:W68" si="2">U35+U29+U23+U17+U41+U53+U59+U47</f>
        <v>1190578711.96</v>
      </c>
      <c r="V67" s="28">
        <f t="shared" si="2"/>
        <v>-1169453514.9000001</v>
      </c>
      <c r="W67" s="28">
        <f t="shared" si="2"/>
        <v>2360032226.8599997</v>
      </c>
      <c r="X67" s="20"/>
      <c r="Y67" s="28">
        <f>Y35+Y29+Y23+Y17+Y41+Y53+Y59+Y47</f>
        <v>3466767166.9599991</v>
      </c>
      <c r="Z67" s="20"/>
      <c r="AA67" s="28">
        <f>AA35+AA29+AA23+AA17+AA41+AA53+AA59+AA47</f>
        <v>13441</v>
      </c>
      <c r="AB67" s="16"/>
    </row>
    <row r="68" spans="1:28" x14ac:dyDescent="0.2">
      <c r="B68" s="25"/>
      <c r="C68" t="s">
        <v>12</v>
      </c>
      <c r="E68" s="28">
        <f t="shared" si="0"/>
        <v>125040062.07000001</v>
      </c>
      <c r="F68" s="28">
        <f t="shared" si="0"/>
        <v>-116139906.92999999</v>
      </c>
      <c r="G68" s="28">
        <f t="shared" si="0"/>
        <v>241179969</v>
      </c>
      <c r="H68" s="20"/>
      <c r="I68" s="28">
        <f>I36+I30+I24+I18+I42+I54+I60+I48</f>
        <v>462289304.72000003</v>
      </c>
      <c r="J68" s="20"/>
      <c r="K68" s="28">
        <f>K36+K30+K24+K18+K42+K54+K60+K48</f>
        <v>900</v>
      </c>
      <c r="L68" s="13"/>
      <c r="M68" s="28">
        <f t="shared" si="1"/>
        <v>1682970406.71</v>
      </c>
      <c r="N68" s="28">
        <f t="shared" si="1"/>
        <v>-1762210090.53</v>
      </c>
      <c r="O68" s="28">
        <f t="shared" si="1"/>
        <v>3445180497.2400002</v>
      </c>
      <c r="P68" s="20"/>
      <c r="Q68" s="28">
        <f>Q36+Q30+Q24+Q18+Q42+Q54+Q60+Q48</f>
        <v>5942566818.5099993</v>
      </c>
      <c r="R68" s="20"/>
      <c r="S68" s="28">
        <f>S36+S30+S24+S18+S42+S54+S60+S48</f>
        <v>9583</v>
      </c>
      <c r="U68" s="28">
        <f t="shared" si="2"/>
        <v>3963673243.7049999</v>
      </c>
      <c r="V68" s="28">
        <f t="shared" si="2"/>
        <v>-3881098900.875</v>
      </c>
      <c r="W68" s="28">
        <f t="shared" si="2"/>
        <v>7844772144.579999</v>
      </c>
      <c r="X68" s="20"/>
      <c r="Y68" s="28">
        <f>Y36+Y30+Y24+Y18+Y42+Y54+Y60+Y48</f>
        <v>12848242348.719999</v>
      </c>
      <c r="Z68" s="20"/>
      <c r="AA68" s="28">
        <f>AA36+AA30+AA24+AA18+AA42+AA54+AA60+AA48</f>
        <v>21101</v>
      </c>
      <c r="AB68" s="16"/>
    </row>
    <row r="69" spans="1:28" x14ac:dyDescent="0.2">
      <c r="B69" s="25"/>
      <c r="C69" t="s">
        <v>10</v>
      </c>
      <c r="E69" s="21">
        <f>SUM(E67:E68)</f>
        <v>211013657.19</v>
      </c>
      <c r="F69" s="21">
        <f>SUM(F67:F68)</f>
        <v>-176849032.53</v>
      </c>
      <c r="G69" s="21">
        <f>SUM(G67:G68)</f>
        <v>387862689.72000003</v>
      </c>
      <c r="H69" s="22"/>
      <c r="I69" s="21">
        <f>SUM(I67:I68)</f>
        <v>712412259.79000008</v>
      </c>
      <c r="J69" s="22"/>
      <c r="K69" s="21">
        <f>SUM(K67:K68)</f>
        <v>1675</v>
      </c>
      <c r="L69" s="13"/>
      <c r="M69" s="21">
        <f>SUM(M67:M68)</f>
        <v>2418922965.75</v>
      </c>
      <c r="N69" s="21">
        <f>SUM(N67:N68)</f>
        <v>-2488279267.96</v>
      </c>
      <c r="O69" s="21">
        <f>SUM(O67:O68)</f>
        <v>4907202233.71</v>
      </c>
      <c r="P69" s="22"/>
      <c r="Q69" s="21">
        <f>SUM(Q67:Q68)</f>
        <v>8273031538.1899986</v>
      </c>
      <c r="R69" s="22"/>
      <c r="S69" s="21">
        <f>SUM(S67:S68)</f>
        <v>18199</v>
      </c>
      <c r="U69" s="21">
        <f>SUM(U67:U68)</f>
        <v>5154251955.665</v>
      </c>
      <c r="V69" s="21">
        <f>SUM(V67:V68)</f>
        <v>-5050552415.7749996</v>
      </c>
      <c r="W69" s="21">
        <f>SUM(W67:W68)</f>
        <v>10204804371.439999</v>
      </c>
      <c r="X69" s="22"/>
      <c r="Y69" s="21">
        <f>SUM(Y67:Y68)</f>
        <v>16315009515.679998</v>
      </c>
      <c r="Z69" s="22"/>
      <c r="AA69" s="21">
        <f>SUM(AA67:AA68)</f>
        <v>34542</v>
      </c>
      <c r="AB69" s="16"/>
    </row>
    <row r="70" spans="1:28" x14ac:dyDescent="0.2">
      <c r="C70" t="s">
        <v>13</v>
      </c>
      <c r="E70" s="23">
        <f>IF(E69=0,"",E67/E69)</f>
        <v>0.40743142536308935</v>
      </c>
      <c r="F70" s="23">
        <f>IF(F69=0,"",F67/F69)</f>
        <v>0.34328220364847928</v>
      </c>
      <c r="G70" s="23">
        <f>IF(G69=0,"",G67/G69)</f>
        <v>0.3781820850721449</v>
      </c>
      <c r="H70" s="22"/>
      <c r="I70" s="23">
        <f>IF(I69=0,"",I67/I69)</f>
        <v>0.35109299655192561</v>
      </c>
      <c r="J70" s="22"/>
      <c r="K70" s="23">
        <f>IF(K69=0,"",K67/K69)</f>
        <v>0.46268656716417911</v>
      </c>
      <c r="L70" s="18"/>
      <c r="M70" s="23">
        <f>IF(M69=0,"",M67/M69)</f>
        <v>0.30424803495625746</v>
      </c>
      <c r="N70" s="23">
        <f>IF(N69=0,"",N67/N69)</f>
        <v>0.29179569463087768</v>
      </c>
      <c r="O70" s="23">
        <f>IF(O69=0,"",O67/O69)</f>
        <v>0.29793386676152228</v>
      </c>
      <c r="P70" s="22"/>
      <c r="Q70" s="23">
        <f>IF(Q69=0,"",Q67/Q69)</f>
        <v>0.28169416602875252</v>
      </c>
      <c r="R70" s="22"/>
      <c r="S70" s="23">
        <f>IF(S69=0,"",S67/S69)</f>
        <v>0.47343260618715316</v>
      </c>
      <c r="U70" s="23">
        <f>IF(U69=0,"",U67/U69)</f>
        <v>0.23098962219948208</v>
      </c>
      <c r="V70" s="23">
        <f>IF(V69=0,"",V67/V69)</f>
        <v>0.23154962440292767</v>
      </c>
      <c r="W70" s="23">
        <f>IF(W69=0,"",W67/W69)</f>
        <v>0.23126677797616377</v>
      </c>
      <c r="X70" s="22"/>
      <c r="Y70" s="23">
        <f>IF(Y69=0,"",Y67/Y69)</f>
        <v>0.21248943579396415</v>
      </c>
      <c r="Z70" s="22"/>
      <c r="AA70" s="23">
        <f>IF(AA69=0,"",AA67/AA69)</f>
        <v>0.38912049099646806</v>
      </c>
      <c r="AB70" s="16"/>
    </row>
    <row r="71" spans="1:28" x14ac:dyDescent="0.2">
      <c r="AB71" s="16"/>
    </row>
    <row r="72" spans="1:28" x14ac:dyDescent="0.2">
      <c r="AB72" s="16"/>
    </row>
    <row r="73" spans="1:28" x14ac:dyDescent="0.2">
      <c r="AB73" s="16"/>
    </row>
    <row r="74" spans="1:28" x14ac:dyDescent="0.2">
      <c r="B74" s="25" t="s">
        <v>64</v>
      </c>
      <c r="E74" s="3"/>
      <c r="F74" s="3"/>
      <c r="G74" s="3"/>
      <c r="I74" s="14"/>
      <c r="K74" s="3"/>
      <c r="M74" s="3"/>
      <c r="N74" s="3"/>
      <c r="O74" s="3"/>
      <c r="Q74" s="14"/>
      <c r="S74" s="3"/>
      <c r="U74" s="3"/>
      <c r="V74" s="3"/>
      <c r="W74" s="3"/>
      <c r="Y74" s="14"/>
      <c r="AA74" s="3"/>
      <c r="AB74" s="16"/>
    </row>
    <row r="75" spans="1:28" x14ac:dyDescent="0.2">
      <c r="A75" s="16" t="s">
        <v>37</v>
      </c>
      <c r="B75" s="25"/>
      <c r="C75" t="s">
        <v>11</v>
      </c>
      <c r="E75" s="29">
        <f>IF(ISNA(ABS(VLOOKUP($A75,VARDATA,E$3,FALSE))),0,ABS(VLOOKUP($A75,VARDATA,E$3,FALSE)))</f>
        <v>597600</v>
      </c>
      <c r="F75" s="37">
        <f>-IF(ISNA(ABS(VLOOKUP($A75,VARDATA,F$3,FALSE))),0,ABS(VLOOKUP($A75,VARDATA,F$3,FALSE)))</f>
        <v>-179200</v>
      </c>
      <c r="G75" s="19">
        <f>ABS(F75)+ABS(E75)</f>
        <v>776800</v>
      </c>
      <c r="H75" s="20"/>
      <c r="I75" s="46">
        <f>IF(ISNA(ABS(VLOOKUP($A75,VARDATA,I$4,FALSE))),0,ABS(VLOOKUP($A75,VARDATA,I$4,FALSE)))+IF(ISNA(ABS(VLOOKUP($A75,VARDATA,I$3,FALSE))),0,ABS(VLOOKUP($A75,VARDATA,I$3,FALSE)))</f>
        <v>28878800</v>
      </c>
      <c r="J75" s="20"/>
      <c r="K75" s="29">
        <f>IF(ISNA(ABS(VLOOKUP($A75,VARDATA,K$3,FALSE))),0,ABS(VLOOKUP($A75,VARDATA,K$3,FALSE)))</f>
        <v>72</v>
      </c>
      <c r="M75" s="29">
        <f>IF(ISNA(ABS(VLOOKUP($A75,VARDATA,M$3,FALSE))),0,ABS(VLOOKUP($A75,VARDATA,M$3,FALSE)))</f>
        <v>3201700</v>
      </c>
      <c r="N75" s="37">
        <f>-IF(ISNA(ABS(VLOOKUP($A75,VARDATA,N$3,FALSE))),0,ABS(VLOOKUP($A75,VARDATA,N$3,FALSE)))</f>
        <v>-3501800</v>
      </c>
      <c r="O75" s="19">
        <f>ABS(N75)+ABS(M75)</f>
        <v>6703500</v>
      </c>
      <c r="P75" s="20"/>
      <c r="Q75" s="46">
        <f>IF(ISNA(ABS(VLOOKUP($A75,VARDATA,Q$4,FALSE))),0,ABS(VLOOKUP($A75,VARDATA,Q$4,FALSE)))+IF(ISNA(ABS(VLOOKUP($A75,VARDATA,Q$3,FALSE))),0,ABS(VLOOKUP($A75,VARDATA,Q$3,FALSE)))</f>
        <v>216583528</v>
      </c>
      <c r="R75" s="20"/>
      <c r="S75" s="29">
        <f>IF(ISNA(ABS(VLOOKUP($A75,VARDATA,S$3,FALSE))),0,ABS(VLOOKUP($A75,VARDATA,S$3,FALSE)))</f>
        <v>952</v>
      </c>
      <c r="U75" s="29">
        <f>IF(ISNA(ABS(VLOOKUP($A75,VARDATA,U$3,FALSE))),0,ABS(VLOOKUP($A75,VARDATA,U$3,FALSE)))</f>
        <v>3934100</v>
      </c>
      <c r="V75" s="37">
        <f>-IF(ISNA(ABS(VLOOKUP($A75,VARDATA,V$3,FALSE))),0,ABS(VLOOKUP($A75,VARDATA,V$3,FALSE)))</f>
        <v>-4399000</v>
      </c>
      <c r="W75" s="19">
        <f>ABS(V75)+ABS(U75)</f>
        <v>8333100</v>
      </c>
      <c r="X75" s="20"/>
      <c r="Y75" s="46">
        <f>IF(ISNA(ABS(VLOOKUP($A75,VARDATA,Y$4,FALSE))),0,ABS(VLOOKUP($A75,VARDATA,Y$4,FALSE)))+IF(ISNA(ABS(VLOOKUP($A75,VARDATA,Y$3,FALSE))),0,ABS(VLOOKUP($A75,VARDATA,Y$3,FALSE)))</f>
        <v>264475404</v>
      </c>
      <c r="Z75" s="20"/>
      <c r="AA75" s="29">
        <f>IF(ISNA(ABS(VLOOKUP($A75,VARDATA,AA$3,FALSE))),0,ABS(VLOOKUP($A75,VARDATA,AA$3,FALSE)))</f>
        <v>1094</v>
      </c>
      <c r="AB75" s="16"/>
    </row>
    <row r="76" spans="1:28" x14ac:dyDescent="0.2">
      <c r="A76" s="16" t="s">
        <v>38</v>
      </c>
      <c r="B76" s="25"/>
      <c r="C76" t="s">
        <v>12</v>
      </c>
      <c r="E76" s="29">
        <f>IF(ISNA(ABS(VLOOKUP($A76,VARDATA,E$3,FALSE))),0,ABS(VLOOKUP($A76,VARDATA,E$3,FALSE)))</f>
        <v>5414668</v>
      </c>
      <c r="F76" s="37">
        <f>-IF(ISNA(ABS(VLOOKUP($A76,VARDATA,F$3,FALSE))),0,ABS(VLOOKUP($A76,VARDATA,F$3,FALSE)))</f>
        <v>-3073196.68</v>
      </c>
      <c r="G76" s="19">
        <f>ABS(F76)+ABS(E76)</f>
        <v>8487864.6799999997</v>
      </c>
      <c r="H76" s="20"/>
      <c r="I76" s="46">
        <f>IF(ISNA(ABS(VLOOKUP($A76,VARDATA,I$4,FALSE))),0,ABS(VLOOKUP($A76,VARDATA,I$4,FALSE)))+IF(ISNA(ABS(VLOOKUP($A76,VARDATA,I$3,FALSE))),0,ABS(VLOOKUP($A76,VARDATA,I$3,FALSE)))</f>
        <v>265680896.34999999</v>
      </c>
      <c r="J76" s="20"/>
      <c r="K76" s="29">
        <f>IF(ISNA(ABS(VLOOKUP($A76,VARDATA,K$3,FALSE))),0,ABS(VLOOKUP($A76,VARDATA,K$3,FALSE)))</f>
        <v>575</v>
      </c>
      <c r="M76" s="29">
        <f>IF(ISNA(ABS(VLOOKUP($A76,VARDATA,M$3,FALSE))),0,ABS(VLOOKUP($A76,VARDATA,M$3,FALSE)))</f>
        <v>33933354.200000003</v>
      </c>
      <c r="N76" s="37">
        <f>-IF(ISNA(ABS(VLOOKUP($A76,VARDATA,N$3,FALSE))),0,ABS(VLOOKUP($A76,VARDATA,N$3,FALSE)))</f>
        <v>-35340309.789999999</v>
      </c>
      <c r="O76" s="19">
        <f>ABS(N76)+ABS(M76)</f>
        <v>69273663.99000001</v>
      </c>
      <c r="P76" s="20"/>
      <c r="Q76" s="46">
        <f>IF(ISNA(ABS(VLOOKUP($A76,VARDATA,Q$4,FALSE))),0,ABS(VLOOKUP($A76,VARDATA,Q$4,FALSE)))+IF(ISNA(ABS(VLOOKUP($A76,VARDATA,Q$3,FALSE))),0,ABS(VLOOKUP($A76,VARDATA,Q$3,FALSE)))</f>
        <v>2165490926.4699998</v>
      </c>
      <c r="R76" s="20"/>
      <c r="S76" s="29">
        <f>IF(ISNA(ABS(VLOOKUP($A76,VARDATA,S$3,FALSE))),0,ABS(VLOOKUP($A76,VARDATA,S$3,FALSE)))</f>
        <v>7138</v>
      </c>
      <c r="U76" s="29">
        <f>IF(ISNA(ABS(VLOOKUP($A76,VARDATA,U$3,FALSE))),0,ABS(VLOOKUP($A76,VARDATA,U$3,FALSE)))</f>
        <v>71547918.730000004</v>
      </c>
      <c r="V76" s="37">
        <f>-IF(ISNA(ABS(VLOOKUP($A76,VARDATA,V$3,FALSE))),0,ABS(VLOOKUP($A76,VARDATA,V$3,FALSE)))</f>
        <v>-67098105.210000001</v>
      </c>
      <c r="W76" s="19">
        <f>ABS(V76)+ABS(U76)</f>
        <v>138646023.94</v>
      </c>
      <c r="X76" s="20"/>
      <c r="Y76" s="46">
        <f>IF(ISNA(ABS(VLOOKUP($A76,VARDATA,Y$4,FALSE))),0,ABS(VLOOKUP($A76,VARDATA,Y$4,FALSE)))+IF(ISNA(ABS(VLOOKUP($A76,VARDATA,Y$3,FALSE))),0,ABS(VLOOKUP($A76,VARDATA,Y$3,FALSE)))</f>
        <v>4073929420.98</v>
      </c>
      <c r="Z76" s="20"/>
      <c r="AA76" s="29">
        <f>IF(ISNA(ABS(VLOOKUP($A76,VARDATA,AA$3,FALSE))),0,ABS(VLOOKUP($A76,VARDATA,AA$3,FALSE)))</f>
        <v>10590</v>
      </c>
      <c r="AB76" s="16"/>
    </row>
    <row r="77" spans="1:28" x14ac:dyDescent="0.2">
      <c r="B77" s="25"/>
      <c r="C77" t="s">
        <v>10</v>
      </c>
      <c r="E77" s="21">
        <f>SUM(E75:E76)</f>
        <v>6012268</v>
      </c>
      <c r="F77" s="21">
        <f>SUM(F75:F76)</f>
        <v>-3252396.68</v>
      </c>
      <c r="G77" s="21">
        <f>SUM(G75:G76)</f>
        <v>9264664.6799999997</v>
      </c>
      <c r="H77" s="22"/>
      <c r="I77" s="21">
        <f>SUM(I75:I76)</f>
        <v>294559696.35000002</v>
      </c>
      <c r="J77" s="22"/>
      <c r="K77" s="21">
        <f>SUM(K75:K76)</f>
        <v>647</v>
      </c>
      <c r="M77" s="21">
        <f>SUM(M75:M76)</f>
        <v>37135054.200000003</v>
      </c>
      <c r="N77" s="21">
        <f>SUM(N75:N76)</f>
        <v>-38842109.789999999</v>
      </c>
      <c r="O77" s="21">
        <f>SUM(O75:O76)</f>
        <v>75977163.99000001</v>
      </c>
      <c r="P77" s="22"/>
      <c r="Q77" s="21">
        <f>SUM(Q75:Q76)</f>
        <v>2382074454.4699998</v>
      </c>
      <c r="R77" s="22"/>
      <c r="S77" s="21">
        <f>SUM(S75:S76)</f>
        <v>8090</v>
      </c>
      <c r="U77" s="21">
        <f>SUM(U75:U76)</f>
        <v>75482018.730000004</v>
      </c>
      <c r="V77" s="21">
        <f>SUM(V75:V76)</f>
        <v>-71497105.210000008</v>
      </c>
      <c r="W77" s="21">
        <f>SUM(W75:W76)</f>
        <v>146979123.94</v>
      </c>
      <c r="X77" s="22"/>
      <c r="Y77" s="21">
        <f>SUM(Y75:Y76)</f>
        <v>4338404824.9799995</v>
      </c>
      <c r="Z77" s="22"/>
      <c r="AA77" s="21">
        <f>SUM(AA75:AA76)</f>
        <v>11684</v>
      </c>
      <c r="AB77" s="16"/>
    </row>
    <row r="78" spans="1:28" x14ac:dyDescent="0.2">
      <c r="C78" t="s">
        <v>13</v>
      </c>
      <c r="E78" s="23">
        <f>IF(E77=0,"",E75/E77)</f>
        <v>9.9396766744263565E-2</v>
      </c>
      <c r="F78" s="23">
        <f>IF(F77=0,"",F75/F77)</f>
        <v>5.5097830194562859E-2</v>
      </c>
      <c r="G78" s="23">
        <f>IF(G77=0,"",G75/G77)</f>
        <v>8.3845452245768712E-2</v>
      </c>
      <c r="H78" s="22"/>
      <c r="I78" s="23">
        <f>IF(I77=0,"",I75/I77)</f>
        <v>9.8040568203484973E-2</v>
      </c>
      <c r="J78" s="22"/>
      <c r="K78" s="23">
        <f>IF(K77=0,"",K75/K77)</f>
        <v>0.11128284389489954</v>
      </c>
      <c r="M78" s="23">
        <f>IF(M77=0,"",M75/M77)</f>
        <v>8.6217727938579389E-2</v>
      </c>
      <c r="N78" s="23">
        <f>IF(N77=0,"",N75/N77)</f>
        <v>9.0154732040367891E-2</v>
      </c>
      <c r="O78" s="23">
        <f>IF(O77=0,"",O75/O77)</f>
        <v>8.8230458310898568E-2</v>
      </c>
      <c r="P78" s="22"/>
      <c r="Q78" s="23">
        <f>IF(Q77=0,"",Q75/Q77)</f>
        <v>9.0922232759592228E-2</v>
      </c>
      <c r="R78" s="22"/>
      <c r="S78" s="23">
        <f>IF(S77=0,"",S75/S77)</f>
        <v>0.1176761433868974</v>
      </c>
      <c r="U78" s="23">
        <f>IF(U77=0,"",U75/U77)</f>
        <v>5.2119697726584632E-2</v>
      </c>
      <c r="V78" s="23">
        <f>IF(V77=0,"",V75/V77)</f>
        <v>6.1526966540524072E-2</v>
      </c>
      <c r="W78" s="23">
        <f>IF(W77=0,"",W75/W77)</f>
        <v>5.6695806701105037E-2</v>
      </c>
      <c r="X78" s="22"/>
      <c r="Y78" s="23">
        <f>IF(Y77=0,"",Y75/Y77)</f>
        <v>6.0961439669526288E-2</v>
      </c>
      <c r="Z78" s="22"/>
      <c r="AA78" s="23">
        <f>IF(AA77=0,"",AA75/AA77)</f>
        <v>9.3632317699418002E-2</v>
      </c>
      <c r="AB78" s="16"/>
    </row>
    <row r="79" spans="1:28" x14ac:dyDescent="0.2">
      <c r="E79" s="48"/>
      <c r="F79" s="48"/>
      <c r="G79" s="48"/>
      <c r="H79" s="22"/>
      <c r="I79" s="48"/>
      <c r="J79" s="22"/>
      <c r="K79" s="48"/>
      <c r="M79" s="48"/>
      <c r="N79" s="48"/>
      <c r="O79" s="48"/>
      <c r="P79" s="22"/>
      <c r="Q79" s="48"/>
      <c r="R79" s="22"/>
      <c r="S79" s="48"/>
      <c r="U79" s="48"/>
      <c r="V79" s="48"/>
      <c r="W79" s="48"/>
      <c r="X79" s="22"/>
      <c r="Y79" s="48"/>
      <c r="Z79" s="22"/>
      <c r="AA79" s="48"/>
      <c r="AB79" s="16"/>
    </row>
    <row r="80" spans="1:28" x14ac:dyDescent="0.2">
      <c r="B80" s="25" t="s">
        <v>121</v>
      </c>
      <c r="E80" s="3"/>
      <c r="F80" s="3"/>
      <c r="G80" s="3"/>
      <c r="I80" s="14"/>
      <c r="K80" s="3"/>
      <c r="M80" s="3"/>
      <c r="N80" s="3"/>
      <c r="O80" s="3"/>
      <c r="Q80" s="14"/>
      <c r="S80" s="3"/>
      <c r="U80" s="3"/>
      <c r="V80" s="3"/>
      <c r="W80" s="3"/>
      <c r="Y80" s="14"/>
      <c r="AA80" s="3"/>
      <c r="AB80" s="16"/>
    </row>
    <row r="81" spans="1:28" x14ac:dyDescent="0.2">
      <c r="A81" s="16" t="s">
        <v>122</v>
      </c>
      <c r="B81" s="25"/>
      <c r="C81" t="s">
        <v>11</v>
      </c>
      <c r="E81" s="29">
        <f>IF(ISNA(ABS(VLOOKUP($A81,VARDATA,E$3,FALSE))),0,ABS(VLOOKUP($A81,VARDATA,E$3,FALSE)))</f>
        <v>0</v>
      </c>
      <c r="F81" s="37">
        <f>-IF(ISNA(ABS(VLOOKUP($A81,VARDATA,F$3,FALSE))),0,ABS(VLOOKUP($A81,VARDATA,F$3,FALSE)))</f>
        <v>0</v>
      </c>
      <c r="G81" s="19">
        <f>ABS(F81)+ABS(E81)</f>
        <v>0</v>
      </c>
      <c r="H81" s="20"/>
      <c r="I81" s="46">
        <f>IF(ISNA(ABS(VLOOKUP($A81,VARDATA,I$4,FALSE))),0,ABS(VLOOKUP($A81,VARDATA,I$4,FALSE)))+IF(ISNA(ABS(VLOOKUP($A81,VARDATA,I$3,FALSE))),0,ABS(VLOOKUP($A81,VARDATA,I$3,FALSE)))</f>
        <v>0</v>
      </c>
      <c r="J81" s="20"/>
      <c r="K81" s="29">
        <f>IF(ISNA(ABS(VLOOKUP($A81,VARDATA,K$3,FALSE))),0,ABS(VLOOKUP($A81,VARDATA,K$3,FALSE)))</f>
        <v>0</v>
      </c>
      <c r="M81" s="29">
        <f>IF(ISNA(ABS(VLOOKUP($A81,VARDATA,M$3,FALSE))),0,ABS(VLOOKUP($A81,VARDATA,M$3,FALSE)))</f>
        <v>0</v>
      </c>
      <c r="N81" s="37">
        <f>-IF(ISNA(ABS(VLOOKUP($A81,VARDATA,N$3,FALSE))),0,ABS(VLOOKUP($A81,VARDATA,N$3,FALSE)))</f>
        <v>-13000</v>
      </c>
      <c r="O81" s="19">
        <f>ABS(N81)+ABS(M81)</f>
        <v>13000</v>
      </c>
      <c r="P81" s="20"/>
      <c r="Q81" s="46">
        <f>IF(ISNA(ABS(VLOOKUP($A81,VARDATA,Q$4,FALSE))),0,ABS(VLOOKUP($A81,VARDATA,Q$4,FALSE)))+IF(ISNA(ABS(VLOOKUP($A81,VARDATA,Q$3,FALSE))),0,ABS(VLOOKUP($A81,VARDATA,Q$3,FALSE)))</f>
        <v>328183.74</v>
      </c>
      <c r="R81" s="20"/>
      <c r="S81" s="29">
        <f>IF(ISNA(ABS(VLOOKUP($A81,VARDATA,S$3,FALSE))),0,ABS(VLOOKUP($A81,VARDATA,S$3,FALSE)))</f>
        <v>5</v>
      </c>
      <c r="U81" s="29">
        <f>IF(ISNA(ABS(VLOOKUP($A81,VARDATA,U$3,FALSE))),0,ABS(VLOOKUP($A81,VARDATA,U$3,FALSE)))</f>
        <v>0</v>
      </c>
      <c r="V81" s="37">
        <f>-IF(ISNA(ABS(VLOOKUP($A81,VARDATA,V$3,FALSE))),0,ABS(VLOOKUP($A81,VARDATA,V$3,FALSE)))</f>
        <v>-13000</v>
      </c>
      <c r="W81" s="19">
        <f>ABS(V81)+ABS(U81)</f>
        <v>13000</v>
      </c>
      <c r="X81" s="20"/>
      <c r="Y81" s="46">
        <f>IF(ISNA(ABS(VLOOKUP($A81,VARDATA,Y$4,FALSE))),0,ABS(VLOOKUP($A81,VARDATA,Y$4,FALSE)))+IF(ISNA(ABS(VLOOKUP($A81,VARDATA,Y$3,FALSE))),0,ABS(VLOOKUP($A81,VARDATA,Y$3,FALSE)))</f>
        <v>328183.74</v>
      </c>
      <c r="Z81" s="20"/>
      <c r="AA81" s="29">
        <f>IF(ISNA(ABS(VLOOKUP($A81,VARDATA,AA$3,FALSE))),0,ABS(VLOOKUP($A81,VARDATA,AA$3,FALSE)))</f>
        <v>5</v>
      </c>
      <c r="AB81" s="16"/>
    </row>
    <row r="82" spans="1:28" x14ac:dyDescent="0.2">
      <c r="A82" s="16" t="s">
        <v>108</v>
      </c>
      <c r="B82" s="25"/>
      <c r="C82" t="s">
        <v>12</v>
      </c>
      <c r="E82" s="29">
        <f>IF(ISNA(ABS(VLOOKUP($A82,VARDATA,E$3,FALSE))),0,ABS(VLOOKUP($A82,VARDATA,E$3,FALSE)))</f>
        <v>0</v>
      </c>
      <c r="F82" s="37">
        <f>-IF(ISNA(ABS(VLOOKUP($A82,VARDATA,F$3,FALSE))),0,ABS(VLOOKUP($A82,VARDATA,F$3,FALSE)))</f>
        <v>-2300</v>
      </c>
      <c r="G82" s="19">
        <f>ABS(F82)+ABS(E82)</f>
        <v>2300</v>
      </c>
      <c r="H82" s="20"/>
      <c r="I82" s="46">
        <f>IF(ISNA(ABS(VLOOKUP($A82,VARDATA,I$4,FALSE))),0,ABS(VLOOKUP($A82,VARDATA,I$4,FALSE)))+IF(ISNA(ABS(VLOOKUP($A82,VARDATA,I$3,FALSE))),0,ABS(VLOOKUP($A82,VARDATA,I$3,FALSE)))</f>
        <v>39838.71</v>
      </c>
      <c r="J82" s="20"/>
      <c r="K82" s="29">
        <f>IF(ISNA(ABS(VLOOKUP($A82,VARDATA,K$3,FALSE))),0,ABS(VLOOKUP($A82,VARDATA,K$3,FALSE)))</f>
        <v>1</v>
      </c>
      <c r="M82" s="29">
        <f>IF(ISNA(ABS(VLOOKUP($A82,VARDATA,M$3,FALSE))),0,ABS(VLOOKUP($A82,VARDATA,M$3,FALSE)))</f>
        <v>432366</v>
      </c>
      <c r="N82" s="37">
        <f>-IF(ISNA(ABS(VLOOKUP($A82,VARDATA,N$3,FALSE))),0,ABS(VLOOKUP($A82,VARDATA,N$3,FALSE)))</f>
        <v>-341620</v>
      </c>
      <c r="O82" s="19">
        <f>ABS(N82)+ABS(M82)</f>
        <v>773986</v>
      </c>
      <c r="P82" s="20"/>
      <c r="Q82" s="46">
        <f>IF(ISNA(ABS(VLOOKUP($A82,VARDATA,Q$4,FALSE))),0,ABS(VLOOKUP($A82,VARDATA,Q$4,FALSE)))+IF(ISNA(ABS(VLOOKUP($A82,VARDATA,Q$3,FALSE))),0,ABS(VLOOKUP($A82,VARDATA,Q$3,FALSE)))</f>
        <v>51905100.280000001</v>
      </c>
      <c r="R82" s="20"/>
      <c r="S82" s="29">
        <f>IF(ISNA(ABS(VLOOKUP($A82,VARDATA,S$3,FALSE))),0,ABS(VLOOKUP($A82,VARDATA,S$3,FALSE)))</f>
        <v>36</v>
      </c>
      <c r="U82" s="29">
        <f>IF(ISNA(ABS(VLOOKUP($A82,VARDATA,U$3,FALSE))),0,ABS(VLOOKUP($A82,VARDATA,U$3,FALSE)))</f>
        <v>432366</v>
      </c>
      <c r="V82" s="37">
        <f>-IF(ISNA(ABS(VLOOKUP($A82,VARDATA,V$3,FALSE))),0,ABS(VLOOKUP($A82,VARDATA,V$3,FALSE)))</f>
        <v>-341620</v>
      </c>
      <c r="W82" s="19">
        <f>ABS(V82)+ABS(U82)</f>
        <v>773986</v>
      </c>
      <c r="X82" s="20"/>
      <c r="Y82" s="46">
        <f>IF(ISNA(ABS(VLOOKUP($A82,VARDATA,Y$4,FALSE))),0,ABS(VLOOKUP($A82,VARDATA,Y$4,FALSE)))+IF(ISNA(ABS(VLOOKUP($A82,VARDATA,Y$3,FALSE))),0,ABS(VLOOKUP($A82,VARDATA,Y$3,FALSE)))</f>
        <v>51905100.280000001</v>
      </c>
      <c r="Z82" s="20"/>
      <c r="AA82" s="29">
        <f>IF(ISNA(ABS(VLOOKUP($A82,VARDATA,AA$3,FALSE))),0,ABS(VLOOKUP($A82,VARDATA,AA$3,FALSE)))</f>
        <v>36</v>
      </c>
      <c r="AB82" s="16"/>
    </row>
    <row r="83" spans="1:28" x14ac:dyDescent="0.2">
      <c r="B83" s="25"/>
      <c r="C83" t="s">
        <v>10</v>
      </c>
      <c r="E83" s="21">
        <f>SUM(E81:E82)</f>
        <v>0</v>
      </c>
      <c r="F83" s="21">
        <f>SUM(F81:F82)</f>
        <v>-2300</v>
      </c>
      <c r="G83" s="21">
        <f>SUM(G81:G82)</f>
        <v>2300</v>
      </c>
      <c r="H83" s="22"/>
      <c r="I83" s="21">
        <f>SUM(I81:I82)</f>
        <v>39838.71</v>
      </c>
      <c r="J83" s="22"/>
      <c r="K83" s="21">
        <f>SUM(K81:K82)</f>
        <v>1</v>
      </c>
      <c r="M83" s="21">
        <f>SUM(M81:M82)</f>
        <v>432366</v>
      </c>
      <c r="N83" s="21">
        <f>SUM(N81:N82)</f>
        <v>-354620</v>
      </c>
      <c r="O83" s="21">
        <f>SUM(O81:O82)</f>
        <v>786986</v>
      </c>
      <c r="P83" s="22"/>
      <c r="Q83" s="21">
        <f>SUM(Q81:Q82)</f>
        <v>52233284.020000003</v>
      </c>
      <c r="R83" s="22"/>
      <c r="S83" s="21">
        <f>SUM(S81:S82)</f>
        <v>41</v>
      </c>
      <c r="U83" s="21">
        <f>SUM(U81:U82)</f>
        <v>432366</v>
      </c>
      <c r="V83" s="21">
        <f>SUM(V81:V82)</f>
        <v>-354620</v>
      </c>
      <c r="W83" s="21">
        <f>SUM(W81:W82)</f>
        <v>786986</v>
      </c>
      <c r="X83" s="22"/>
      <c r="Y83" s="21">
        <f>SUM(Y81:Y82)</f>
        <v>52233284.020000003</v>
      </c>
      <c r="Z83" s="22"/>
      <c r="AA83" s="21">
        <f>SUM(AA81:AA82)</f>
        <v>41</v>
      </c>
      <c r="AB83" s="16"/>
    </row>
    <row r="84" spans="1:28" x14ac:dyDescent="0.2">
      <c r="C84" t="s">
        <v>13</v>
      </c>
      <c r="E84" s="23" t="str">
        <f>IF(E83=0,"",E81/E83)</f>
        <v/>
      </c>
      <c r="F84" s="23">
        <f>IF(F83=0,"",F81/F83)</f>
        <v>0</v>
      </c>
      <c r="G84" s="23">
        <f>IF(G83=0,"",G81/G83)</f>
        <v>0</v>
      </c>
      <c r="H84" s="22"/>
      <c r="I84" s="23">
        <f>IF(I83=0,"",I81/I83)</f>
        <v>0</v>
      </c>
      <c r="J84" s="22"/>
      <c r="K84" s="23">
        <f>IF(K83=0,"",K81/K83)</f>
        <v>0</v>
      </c>
      <c r="M84" s="23">
        <f>IF(M83=0,"",M81/M83)</f>
        <v>0</v>
      </c>
      <c r="N84" s="23">
        <f>IF(N83=0,"",N81/N83)</f>
        <v>3.6658958885567652E-2</v>
      </c>
      <c r="O84" s="23">
        <f>IF(O83=0,"",O81/O83)</f>
        <v>1.651871824911752E-2</v>
      </c>
      <c r="P84" s="22"/>
      <c r="Q84" s="23">
        <f>IF(Q83=0,"",Q81/Q83)</f>
        <v>6.2830386056970727E-3</v>
      </c>
      <c r="R84" s="22"/>
      <c r="S84" s="23">
        <f>IF(S83=0,"",S81/S83)</f>
        <v>0.12195121951219512</v>
      </c>
      <c r="U84" s="23">
        <f>IF(U83=0,"",U81/U83)</f>
        <v>0</v>
      </c>
      <c r="V84" s="23">
        <f>IF(V83=0,"",V81/V83)</f>
        <v>3.6658958885567652E-2</v>
      </c>
      <c r="W84" s="23">
        <f>IF(W83=0,"",W81/W83)</f>
        <v>1.651871824911752E-2</v>
      </c>
      <c r="X84" s="22"/>
      <c r="Y84" s="23">
        <f>IF(Y83=0,"",Y81/Y83)</f>
        <v>6.2830386056970727E-3</v>
      </c>
      <c r="Z84" s="22"/>
      <c r="AA84" s="23">
        <f>IF(AA83=0,"",AA81/AA83)</f>
        <v>0.12195121951219512</v>
      </c>
      <c r="AB84" s="16"/>
    </row>
    <row r="85" spans="1:28" x14ac:dyDescent="0.2">
      <c r="E85" s="48"/>
      <c r="F85" s="48"/>
      <c r="G85" s="48"/>
      <c r="H85" s="22"/>
      <c r="I85" s="48"/>
      <c r="J85" s="22"/>
      <c r="K85" s="48"/>
      <c r="M85" s="48"/>
      <c r="N85" s="48"/>
      <c r="O85" s="48"/>
      <c r="P85" s="22"/>
      <c r="Q85" s="48"/>
      <c r="R85" s="22"/>
      <c r="S85" s="48"/>
      <c r="U85" s="48"/>
      <c r="V85" s="48"/>
      <c r="W85" s="48"/>
      <c r="X85" s="22"/>
      <c r="Y85" s="48"/>
      <c r="Z85" s="22"/>
      <c r="AA85" s="48"/>
      <c r="AB85" s="16"/>
    </row>
    <row r="86" spans="1:28" x14ac:dyDescent="0.2">
      <c r="B86" s="25" t="s">
        <v>96</v>
      </c>
      <c r="E86" s="3"/>
      <c r="F86" s="3"/>
      <c r="G86" s="3"/>
      <c r="I86" s="14"/>
      <c r="K86" s="3"/>
      <c r="M86" s="3"/>
      <c r="N86" s="3"/>
      <c r="O86" s="3"/>
      <c r="Q86" s="14"/>
      <c r="S86" s="3"/>
      <c r="U86" s="3"/>
      <c r="V86" s="3"/>
      <c r="W86" s="3"/>
      <c r="Y86" s="14"/>
      <c r="AA86" s="3"/>
      <c r="AB86" s="16"/>
    </row>
    <row r="87" spans="1:28" x14ac:dyDescent="0.2">
      <c r="A87" s="16" t="s">
        <v>90</v>
      </c>
      <c r="B87" s="25"/>
      <c r="C87" t="s">
        <v>11</v>
      </c>
      <c r="E87" s="29">
        <f>IF(ISNA(ABS(VLOOKUP($A87,VARDATA,E$3,FALSE))),0,ABS(VLOOKUP($A87,VARDATA,E$3,FALSE)))</f>
        <v>11220</v>
      </c>
      <c r="F87" s="37">
        <f>-IF(ISNA(ABS(VLOOKUP($A87,VARDATA,F$3,FALSE))),0,ABS(VLOOKUP($A87,VARDATA,F$3,FALSE)))</f>
        <v>0</v>
      </c>
      <c r="G87" s="19">
        <f>ABS(F87)+ABS(E87)</f>
        <v>11220</v>
      </c>
      <c r="H87" s="20"/>
      <c r="I87" s="46">
        <f>IF(ISNA(ABS(VLOOKUP($A87,VARDATA,I$4,FALSE))),0,ABS(VLOOKUP($A87,VARDATA,I$4,FALSE)))+IF(ISNA(ABS(VLOOKUP($A87,VARDATA,I$3,FALSE))),0,ABS(VLOOKUP($A87,VARDATA,I$3,FALSE)))</f>
        <v>231659.39</v>
      </c>
      <c r="J87" s="20"/>
      <c r="K87" s="29">
        <f>IF(ISNA(ABS(VLOOKUP($A87,VARDATA,K$3,FALSE))),0,ABS(VLOOKUP($A87,VARDATA,K$3,FALSE)))</f>
        <v>3</v>
      </c>
      <c r="M87" s="29">
        <f>IF(ISNA(ABS(VLOOKUP($A87,VARDATA,M$3,FALSE))),0,ABS(VLOOKUP($A87,VARDATA,M$3,FALSE)))</f>
        <v>52180</v>
      </c>
      <c r="N87" s="37">
        <f>-IF(ISNA(ABS(VLOOKUP($A87,VARDATA,N$3,FALSE))),0,ABS(VLOOKUP($A87,VARDATA,N$3,FALSE)))</f>
        <v>-32340</v>
      </c>
      <c r="O87" s="19">
        <f>ABS(N87)+ABS(M87)</f>
        <v>84520</v>
      </c>
      <c r="P87" s="20"/>
      <c r="Q87" s="46">
        <f>IF(ISNA(ABS(VLOOKUP($A87,VARDATA,Q$4,FALSE))),0,ABS(VLOOKUP($A87,VARDATA,Q$4,FALSE)))+IF(ISNA(ABS(VLOOKUP($A87,VARDATA,Q$3,FALSE))),0,ABS(VLOOKUP($A87,VARDATA,Q$3,FALSE)))</f>
        <v>1956569.29</v>
      </c>
      <c r="R87" s="20"/>
      <c r="S87" s="29">
        <f>IF(ISNA(ABS(VLOOKUP($A87,VARDATA,S$3,FALSE))),0,ABS(VLOOKUP($A87,VARDATA,S$3,FALSE)))</f>
        <v>25</v>
      </c>
      <c r="U87" s="29">
        <f>IF(ISNA(ABS(VLOOKUP($A87,VARDATA,U$3,FALSE))),0,ABS(VLOOKUP($A87,VARDATA,U$3,FALSE)))</f>
        <v>52180</v>
      </c>
      <c r="V87" s="37">
        <f>-IF(ISNA(ABS(VLOOKUP($A87,VARDATA,V$3,FALSE))),0,ABS(VLOOKUP($A87,VARDATA,V$3,FALSE)))</f>
        <v>-32340</v>
      </c>
      <c r="W87" s="19">
        <f>ABS(V87)+ABS(U87)</f>
        <v>84520</v>
      </c>
      <c r="X87" s="20"/>
      <c r="Y87" s="46">
        <f>IF(ISNA(ABS(VLOOKUP($A87,VARDATA,Y$4,FALSE))),0,ABS(VLOOKUP($A87,VARDATA,Y$4,FALSE)))+IF(ISNA(ABS(VLOOKUP($A87,VARDATA,Y$3,FALSE))),0,ABS(VLOOKUP($A87,VARDATA,Y$3,FALSE)))</f>
        <v>1956569.29</v>
      </c>
      <c r="Z87" s="20"/>
      <c r="AA87" s="29">
        <f>IF(ISNA(ABS(VLOOKUP($A87,VARDATA,AA$3,FALSE))),0,ABS(VLOOKUP($A87,VARDATA,AA$3,FALSE)))</f>
        <v>25</v>
      </c>
      <c r="AB87" s="16"/>
    </row>
    <row r="88" spans="1:28" x14ac:dyDescent="0.2">
      <c r="A88" s="16" t="s">
        <v>91</v>
      </c>
      <c r="B88" s="25"/>
      <c r="C88" t="s">
        <v>12</v>
      </c>
      <c r="E88" s="29">
        <f>IF(ISNA(ABS(VLOOKUP($A88,VARDATA,E$3,FALSE))),0,ABS(VLOOKUP($A88,VARDATA,E$3,FALSE)))</f>
        <v>45243</v>
      </c>
      <c r="F88" s="37">
        <f>-IF(ISNA(ABS(VLOOKUP($A88,VARDATA,F$3,FALSE))),0,ABS(VLOOKUP($A88,VARDATA,F$3,FALSE)))</f>
        <v>-17396.900000000001</v>
      </c>
      <c r="G88" s="19">
        <f>ABS(F88)+ABS(E88)</f>
        <v>62639.9</v>
      </c>
      <c r="H88" s="20"/>
      <c r="I88" s="46">
        <f>IF(ISNA(ABS(VLOOKUP($A88,VARDATA,I$4,FALSE))),0,ABS(VLOOKUP($A88,VARDATA,I$4,FALSE)))+IF(ISNA(ABS(VLOOKUP($A88,VARDATA,I$3,FALSE))),0,ABS(VLOOKUP($A88,VARDATA,I$3,FALSE)))</f>
        <v>1606959.63</v>
      </c>
      <c r="J88" s="20"/>
      <c r="K88" s="29">
        <f>IF(ISNA(ABS(VLOOKUP($A88,VARDATA,K$3,FALSE))),0,ABS(VLOOKUP($A88,VARDATA,K$3,FALSE)))</f>
        <v>61</v>
      </c>
      <c r="M88" s="29">
        <f>IF(ISNA(ABS(VLOOKUP($A88,VARDATA,M$3,FALSE))),0,ABS(VLOOKUP($A88,VARDATA,M$3,FALSE)))</f>
        <v>1890080.4</v>
      </c>
      <c r="N88" s="37">
        <f>-IF(ISNA(ABS(VLOOKUP($A88,VARDATA,N$3,FALSE))),0,ABS(VLOOKUP($A88,VARDATA,N$3,FALSE)))</f>
        <v>-1504388.4</v>
      </c>
      <c r="O88" s="19">
        <f>ABS(N88)+ABS(M88)</f>
        <v>3394468.8</v>
      </c>
      <c r="P88" s="20"/>
      <c r="Q88" s="46">
        <f>IF(ISNA(ABS(VLOOKUP($A88,VARDATA,Q$4,FALSE))),0,ABS(VLOOKUP($A88,VARDATA,Q$4,FALSE)))+IF(ISNA(ABS(VLOOKUP($A88,VARDATA,Q$3,FALSE))),0,ABS(VLOOKUP($A88,VARDATA,Q$3,FALSE)))</f>
        <v>86585253.940000013</v>
      </c>
      <c r="R88" s="20"/>
      <c r="S88" s="29">
        <f>IF(ISNA(ABS(VLOOKUP($A88,VARDATA,S$3,FALSE))),0,ABS(VLOOKUP($A88,VARDATA,S$3,FALSE)))</f>
        <v>1129</v>
      </c>
      <c r="U88" s="29">
        <f>IF(ISNA(ABS(VLOOKUP($A88,VARDATA,U$3,FALSE))),0,ABS(VLOOKUP($A88,VARDATA,U$3,FALSE)))</f>
        <v>1890080.4</v>
      </c>
      <c r="V88" s="37">
        <f>-IF(ISNA(ABS(VLOOKUP($A88,VARDATA,V$3,FALSE))),0,ABS(VLOOKUP($A88,VARDATA,V$3,FALSE)))</f>
        <v>-1504388.4</v>
      </c>
      <c r="W88" s="19">
        <f>ABS(V88)+ABS(U88)</f>
        <v>3394468.8</v>
      </c>
      <c r="X88" s="20"/>
      <c r="Y88" s="46">
        <f>IF(ISNA(ABS(VLOOKUP($A88,VARDATA,Y$4,FALSE))),0,ABS(VLOOKUP($A88,VARDATA,Y$4,FALSE)))+IF(ISNA(ABS(VLOOKUP($A88,VARDATA,Y$3,FALSE))),0,ABS(VLOOKUP($A88,VARDATA,Y$3,FALSE)))</f>
        <v>86585253.940000013</v>
      </c>
      <c r="Z88" s="20"/>
      <c r="AA88" s="29">
        <f>IF(ISNA(ABS(VLOOKUP($A88,VARDATA,AA$3,FALSE))),0,ABS(VLOOKUP($A88,VARDATA,AA$3,FALSE)))</f>
        <v>1129</v>
      </c>
      <c r="AB88" s="16"/>
    </row>
    <row r="89" spans="1:28" x14ac:dyDescent="0.2">
      <c r="B89" s="25"/>
      <c r="C89" t="s">
        <v>10</v>
      </c>
      <c r="E89" s="21">
        <f>SUM(E87:E88)</f>
        <v>56463</v>
      </c>
      <c r="F89" s="21">
        <f>SUM(F87:F88)</f>
        <v>-17396.900000000001</v>
      </c>
      <c r="G89" s="21">
        <f>SUM(G87:G88)</f>
        <v>73859.899999999994</v>
      </c>
      <c r="H89" s="22"/>
      <c r="I89" s="21">
        <f>SUM(I87:I88)</f>
        <v>1838619.02</v>
      </c>
      <c r="J89" s="22"/>
      <c r="K89" s="21">
        <f>SUM(K87:K88)</f>
        <v>64</v>
      </c>
      <c r="M89" s="21">
        <f>SUM(M87:M88)</f>
        <v>1942260.4</v>
      </c>
      <c r="N89" s="21">
        <f>SUM(N87:N88)</f>
        <v>-1536728.4</v>
      </c>
      <c r="O89" s="21">
        <f>SUM(O87:O88)</f>
        <v>3478988.7999999998</v>
      </c>
      <c r="P89" s="22"/>
      <c r="Q89" s="21">
        <f>SUM(Q87:Q88)</f>
        <v>88541823.230000019</v>
      </c>
      <c r="R89" s="22"/>
      <c r="S89" s="21">
        <f>SUM(S87:S88)</f>
        <v>1154</v>
      </c>
      <c r="U89" s="21">
        <f>SUM(U87:U88)</f>
        <v>1942260.4</v>
      </c>
      <c r="V89" s="21">
        <f>SUM(V87:V88)</f>
        <v>-1536728.4</v>
      </c>
      <c r="W89" s="21">
        <f>SUM(W87:W88)</f>
        <v>3478988.7999999998</v>
      </c>
      <c r="X89" s="22"/>
      <c r="Y89" s="21">
        <f>SUM(Y87:Y88)</f>
        <v>88541823.230000019</v>
      </c>
      <c r="Z89" s="22"/>
      <c r="AA89" s="21">
        <f>SUM(AA87:AA88)</f>
        <v>1154</v>
      </c>
      <c r="AB89" s="16"/>
    </row>
    <row r="90" spans="1:28" x14ac:dyDescent="0.2">
      <c r="C90" t="s">
        <v>13</v>
      </c>
      <c r="E90" s="23">
        <f>IF(E89=0,"",E87/E89)</f>
        <v>0.19871420222092342</v>
      </c>
      <c r="F90" s="23">
        <f>IF(F89=0,"",F87/F89)</f>
        <v>0</v>
      </c>
      <c r="G90" s="23">
        <f>IF(G89=0,"",G87/G89)</f>
        <v>0.15190922273114371</v>
      </c>
      <c r="H90" s="22"/>
      <c r="I90" s="23">
        <f>IF(I89=0,"",I87/I89)</f>
        <v>0.12599640680318863</v>
      </c>
      <c r="J90" s="22"/>
      <c r="K90" s="23">
        <f>IF(K89=0,"",K87/K89)</f>
        <v>4.6875E-2</v>
      </c>
      <c r="M90" s="23">
        <f>IF(M89=0,"",M87/M89)</f>
        <v>2.6865604632622896E-2</v>
      </c>
      <c r="N90" s="23">
        <f>IF(N89=0,"",N87/N89)</f>
        <v>2.1044707705018012E-2</v>
      </c>
      <c r="O90" s="23">
        <f>IF(O89=0,"",O87/O89)</f>
        <v>2.4294415664689695E-2</v>
      </c>
      <c r="P90" s="22"/>
      <c r="Q90" s="23">
        <f>IF(Q89=0,"",Q87/Q89)</f>
        <v>2.2097684671768415E-2</v>
      </c>
      <c r="R90" s="22"/>
      <c r="S90" s="23">
        <f>IF(S89=0,"",S87/S89)</f>
        <v>2.1663778162911613E-2</v>
      </c>
      <c r="U90" s="23">
        <f>IF(U89=0,"",U87/U89)</f>
        <v>2.6865604632622896E-2</v>
      </c>
      <c r="V90" s="23">
        <f>IF(V89=0,"",V87/V89)</f>
        <v>2.1044707705018012E-2</v>
      </c>
      <c r="W90" s="23">
        <f>IF(W89=0,"",W87/W89)</f>
        <v>2.4294415664689695E-2</v>
      </c>
      <c r="X90" s="22"/>
      <c r="Y90" s="23">
        <f>IF(Y89=0,"",Y87/Y89)</f>
        <v>2.2097684671768415E-2</v>
      </c>
      <c r="Z90" s="22"/>
      <c r="AA90" s="23">
        <f>IF(AA89=0,"",AA87/AA89)</f>
        <v>2.1663778162911613E-2</v>
      </c>
      <c r="AB90" s="16"/>
    </row>
    <row r="91" spans="1:28" x14ac:dyDescent="0.2">
      <c r="E91" s="48"/>
      <c r="F91" s="48"/>
      <c r="G91" s="48"/>
      <c r="H91" s="22"/>
      <c r="I91" s="48"/>
      <c r="J91" s="22"/>
      <c r="K91" s="48"/>
      <c r="M91" s="48"/>
      <c r="N91" s="48"/>
      <c r="O91" s="48"/>
      <c r="P91" s="22"/>
      <c r="Q91" s="48"/>
      <c r="R91" s="22"/>
      <c r="S91" s="48"/>
      <c r="U91" s="48"/>
      <c r="V91" s="48"/>
      <c r="W91" s="48"/>
      <c r="X91" s="22"/>
      <c r="Y91" s="48"/>
      <c r="Z91" s="22"/>
      <c r="AA91" s="48"/>
      <c r="AB91" s="16"/>
    </row>
    <row r="92" spans="1:28" x14ac:dyDescent="0.2">
      <c r="B92" s="25" t="s">
        <v>160</v>
      </c>
      <c r="E92" s="3"/>
      <c r="F92" s="3"/>
      <c r="G92" s="3"/>
      <c r="I92" s="14"/>
      <c r="K92" s="3"/>
      <c r="M92" s="3"/>
      <c r="N92" s="3"/>
      <c r="O92" s="3"/>
      <c r="Q92" s="14"/>
      <c r="S92" s="3"/>
      <c r="U92" s="3"/>
      <c r="V92" s="3"/>
      <c r="W92" s="3"/>
      <c r="Y92" s="14"/>
      <c r="AA92" s="3"/>
      <c r="AB92" s="16"/>
    </row>
    <row r="93" spans="1:28" x14ac:dyDescent="0.2">
      <c r="A93" s="16" t="s">
        <v>161</v>
      </c>
      <c r="B93" s="25"/>
      <c r="C93" t="s">
        <v>11</v>
      </c>
      <c r="E93" s="29">
        <f>IF(ISNA(ABS(VLOOKUP($A93,VARDATA,E$3,FALSE))),0,ABS(VLOOKUP($A93,VARDATA,E$3,FALSE)))</f>
        <v>0</v>
      </c>
      <c r="F93" s="37">
        <f>-IF(ISNA(ABS(VLOOKUP($A93,VARDATA,F$3,FALSE))),0,ABS(VLOOKUP($A93,VARDATA,F$3,FALSE)))</f>
        <v>0</v>
      </c>
      <c r="G93" s="19">
        <f>ABS(F93)+ABS(E93)</f>
        <v>0</v>
      </c>
      <c r="H93" s="20"/>
      <c r="I93" s="46">
        <f>IF(ISNA(ABS(VLOOKUP($A93,VARDATA,I$4,FALSE))),0,ABS(VLOOKUP($A93,VARDATA,I$4,FALSE)))+IF(ISNA(ABS(VLOOKUP($A93,VARDATA,I$3,FALSE))),0,ABS(VLOOKUP($A93,VARDATA,I$3,FALSE)))</f>
        <v>0</v>
      </c>
      <c r="J93" s="20"/>
      <c r="K93" s="29">
        <f>IF(ISNA(ABS(VLOOKUP($A93,VARDATA,K$3,FALSE))),0,ABS(VLOOKUP($A93,VARDATA,K$3,FALSE)))</f>
        <v>0</v>
      </c>
      <c r="M93" s="29">
        <f>IF(ISNA(ABS(VLOOKUP($A93,VARDATA,M$3,FALSE))),0,ABS(VLOOKUP($A93,VARDATA,M$3,FALSE)))</f>
        <v>282155</v>
      </c>
      <c r="N93" s="37">
        <f>-IF(ISNA(ABS(VLOOKUP($A93,VARDATA,N$3,FALSE))),0,ABS(VLOOKUP($A93,VARDATA,N$3,FALSE)))</f>
        <v>-157690</v>
      </c>
      <c r="O93" s="19">
        <f>ABS(N93)+ABS(M93)</f>
        <v>439845</v>
      </c>
      <c r="P93" s="20"/>
      <c r="Q93" s="46">
        <f>IF(ISNA(ABS(VLOOKUP($A93,VARDATA,Q$4,FALSE))),0,ABS(VLOOKUP($A93,VARDATA,Q$4,FALSE)))+IF(ISNA(ABS(VLOOKUP($A93,VARDATA,Q$3,FALSE))),0,ABS(VLOOKUP($A93,VARDATA,Q$3,FALSE)))</f>
        <v>6770163.6300000008</v>
      </c>
      <c r="R93" s="20"/>
      <c r="S93" s="29">
        <f>IF(ISNA(ABS(VLOOKUP($A93,VARDATA,S$3,FALSE))),0,ABS(VLOOKUP($A93,VARDATA,S$3,FALSE)))</f>
        <v>23</v>
      </c>
      <c r="U93" s="29">
        <f>IF(ISNA(ABS(VLOOKUP($A93,VARDATA,U$3,FALSE))),0,ABS(VLOOKUP($A93,VARDATA,U$3,FALSE)))</f>
        <v>329920</v>
      </c>
      <c r="V93" s="37">
        <f>-IF(ISNA(ABS(VLOOKUP($A93,VARDATA,V$3,FALSE))),0,ABS(VLOOKUP($A93,VARDATA,V$3,FALSE)))</f>
        <v>-172205</v>
      </c>
      <c r="W93" s="19">
        <f>ABS(V93)+ABS(U93)</f>
        <v>502125</v>
      </c>
      <c r="X93" s="20"/>
      <c r="Y93" s="46">
        <f>IF(ISNA(ABS(VLOOKUP($A93,VARDATA,Y$4,FALSE))),0,ABS(VLOOKUP($A93,VARDATA,Y$4,FALSE)))+IF(ISNA(ABS(VLOOKUP($A93,VARDATA,Y$3,FALSE))),0,ABS(VLOOKUP($A93,VARDATA,Y$3,FALSE)))</f>
        <v>7722373.8300000001</v>
      </c>
      <c r="Z93" s="20"/>
      <c r="AA93" s="29">
        <f>IF(ISNA(ABS(VLOOKUP($A93,VARDATA,AA$3,FALSE))),0,ABS(VLOOKUP($A93,VARDATA,AA$3,FALSE)))</f>
        <v>27</v>
      </c>
      <c r="AB93" s="16"/>
    </row>
    <row r="94" spans="1:28" x14ac:dyDescent="0.2">
      <c r="A94" s="16" t="s">
        <v>159</v>
      </c>
      <c r="B94" s="25"/>
      <c r="C94" t="s">
        <v>12</v>
      </c>
      <c r="E94" s="29">
        <f>IF(ISNA(ABS(VLOOKUP($A94,VARDATA,E$3,FALSE))),0,ABS(VLOOKUP($A94,VARDATA,E$3,FALSE)))</f>
        <v>312303</v>
      </c>
      <c r="F94" s="37">
        <f>-IF(ISNA(ABS(VLOOKUP($A94,VARDATA,F$3,FALSE))),0,ABS(VLOOKUP($A94,VARDATA,F$3,FALSE)))</f>
        <v>-175110</v>
      </c>
      <c r="G94" s="19">
        <f>ABS(F94)+ABS(E94)</f>
        <v>487413</v>
      </c>
      <c r="H94" s="20"/>
      <c r="I94" s="46">
        <f>IF(ISNA(ABS(VLOOKUP($A94,VARDATA,I$4,FALSE))),0,ABS(VLOOKUP($A94,VARDATA,I$4,FALSE)))+IF(ISNA(ABS(VLOOKUP($A94,VARDATA,I$3,FALSE))),0,ABS(VLOOKUP($A94,VARDATA,I$3,FALSE)))</f>
        <v>6516558.4399999995</v>
      </c>
      <c r="J94" s="20"/>
      <c r="K94" s="29">
        <f>IF(ISNA(ABS(VLOOKUP($A94,VARDATA,K$3,FALSE))),0,ABS(VLOOKUP($A94,VARDATA,K$3,FALSE)))</f>
        <v>31</v>
      </c>
      <c r="M94" s="29">
        <f>IF(ISNA(ABS(VLOOKUP($A94,VARDATA,M$3,FALSE))),0,ABS(VLOOKUP($A94,VARDATA,M$3,FALSE)))</f>
        <v>8925942</v>
      </c>
      <c r="N94" s="37">
        <f>-IF(ISNA(ABS(VLOOKUP($A94,VARDATA,N$3,FALSE))),0,ABS(VLOOKUP($A94,VARDATA,N$3,FALSE)))</f>
        <v>-5245222.95</v>
      </c>
      <c r="O94" s="19">
        <f>ABS(N94)+ABS(M94)</f>
        <v>14171164.949999999</v>
      </c>
      <c r="P94" s="20"/>
      <c r="Q94" s="46">
        <f>IF(ISNA(ABS(VLOOKUP($A94,VARDATA,Q$4,FALSE))),0,ABS(VLOOKUP($A94,VARDATA,Q$4,FALSE)))+IF(ISNA(ABS(VLOOKUP($A94,VARDATA,Q$3,FALSE))),0,ABS(VLOOKUP($A94,VARDATA,Q$3,FALSE)))</f>
        <v>207974253.32999998</v>
      </c>
      <c r="R94" s="20"/>
      <c r="S94" s="29">
        <f>IF(ISNA(ABS(VLOOKUP($A94,VARDATA,S$3,FALSE))),0,ABS(VLOOKUP($A94,VARDATA,S$3,FALSE)))</f>
        <v>715</v>
      </c>
      <c r="U94" s="29">
        <f>IF(ISNA(ABS(VLOOKUP($A94,VARDATA,U$3,FALSE))),0,ABS(VLOOKUP($A94,VARDATA,U$3,FALSE)))</f>
        <v>12165662</v>
      </c>
      <c r="V94" s="37">
        <f>-IF(ISNA(ABS(VLOOKUP($A94,VARDATA,V$3,FALSE))),0,ABS(VLOOKUP($A94,VARDATA,V$3,FALSE)))</f>
        <v>-10067000.949999999</v>
      </c>
      <c r="W94" s="19">
        <f>ABS(V94)+ABS(U94)</f>
        <v>22232662.949999999</v>
      </c>
      <c r="X94" s="20"/>
      <c r="Y94" s="46">
        <f>IF(ISNA(ABS(VLOOKUP($A94,VARDATA,Y$4,FALSE))),0,ABS(VLOOKUP($A94,VARDATA,Y$4,FALSE)))+IF(ISNA(ABS(VLOOKUP($A94,VARDATA,Y$3,FALSE))),0,ABS(VLOOKUP($A94,VARDATA,Y$3,FALSE)))</f>
        <v>340898419.47000003</v>
      </c>
      <c r="Z94" s="20"/>
      <c r="AA94" s="29">
        <f>IF(ISNA(ABS(VLOOKUP($A94,VARDATA,AA$3,FALSE))),0,ABS(VLOOKUP($A94,VARDATA,AA$3,FALSE)))</f>
        <v>1067</v>
      </c>
      <c r="AB94" s="16"/>
    </row>
    <row r="95" spans="1:28" x14ac:dyDescent="0.2">
      <c r="B95" s="25"/>
      <c r="C95" t="s">
        <v>10</v>
      </c>
      <c r="E95" s="21">
        <f>SUM(E93:E94)</f>
        <v>312303</v>
      </c>
      <c r="F95" s="21">
        <f>SUM(F93:F94)</f>
        <v>-175110</v>
      </c>
      <c r="G95" s="21">
        <f>SUM(G93:G94)</f>
        <v>487413</v>
      </c>
      <c r="H95" s="22"/>
      <c r="I95" s="21">
        <f>SUM(I93:I94)</f>
        <v>6516558.4399999995</v>
      </c>
      <c r="J95" s="22"/>
      <c r="K95" s="21">
        <f>SUM(K93:K94)</f>
        <v>31</v>
      </c>
      <c r="M95" s="21">
        <f>SUM(M93:M94)</f>
        <v>9208097</v>
      </c>
      <c r="N95" s="21">
        <f>SUM(N93:N94)</f>
        <v>-5402912.9500000002</v>
      </c>
      <c r="O95" s="21">
        <f>SUM(O93:O94)</f>
        <v>14611009.949999999</v>
      </c>
      <c r="P95" s="22"/>
      <c r="Q95" s="21">
        <f>SUM(Q93:Q94)</f>
        <v>214744416.95999998</v>
      </c>
      <c r="R95" s="22"/>
      <c r="S95" s="21">
        <f>SUM(S93:S94)</f>
        <v>738</v>
      </c>
      <c r="U95" s="21">
        <f>SUM(U93:U94)</f>
        <v>12495582</v>
      </c>
      <c r="V95" s="21">
        <f>SUM(V93:V94)</f>
        <v>-10239205.949999999</v>
      </c>
      <c r="W95" s="21">
        <f>SUM(W93:W94)</f>
        <v>22734787.949999999</v>
      </c>
      <c r="X95" s="22"/>
      <c r="Y95" s="21">
        <f>SUM(Y93:Y94)</f>
        <v>348620793.30000001</v>
      </c>
      <c r="Z95" s="22"/>
      <c r="AA95" s="21">
        <f>SUM(AA93:AA94)</f>
        <v>1094</v>
      </c>
      <c r="AB95" s="16"/>
    </row>
    <row r="96" spans="1:28" x14ac:dyDescent="0.2">
      <c r="C96" t="s">
        <v>13</v>
      </c>
      <c r="E96" s="23">
        <f>IF(E95=0,"",E93/E95)</f>
        <v>0</v>
      </c>
      <c r="F96" s="23">
        <f>IF(F95=0,"",F93/F95)</f>
        <v>0</v>
      </c>
      <c r="G96" s="23">
        <f>IF(G95=0,"",G93/G95)</f>
        <v>0</v>
      </c>
      <c r="H96" s="22"/>
      <c r="I96" s="23">
        <f>IF(I95=0,"",I93/I95)</f>
        <v>0</v>
      </c>
      <c r="J96" s="22"/>
      <c r="K96" s="23">
        <f>IF(K95=0,"",K93/K95)</f>
        <v>0</v>
      </c>
      <c r="M96" s="23">
        <f>IF(M95=0,"",M93/M95)</f>
        <v>3.0642053401479154E-2</v>
      </c>
      <c r="N96" s="23">
        <f>IF(N95=0,"",N93/N95)</f>
        <v>2.9186107838365227E-2</v>
      </c>
      <c r="O96" s="23">
        <f>IF(O95=0,"",O93/O95)</f>
        <v>3.0103668501026516E-2</v>
      </c>
      <c r="P96" s="22"/>
      <c r="Q96" s="23">
        <f>IF(Q95=0,"",Q93/Q95)</f>
        <v>3.1526610683718335E-2</v>
      </c>
      <c r="R96" s="22"/>
      <c r="S96" s="23">
        <f>IF(S95=0,"",S93/S95)</f>
        <v>3.1165311653116531E-2</v>
      </c>
      <c r="U96" s="23">
        <f>IF(U95=0,"",U93/U95)</f>
        <v>2.6402931852233854E-2</v>
      </c>
      <c r="V96" s="23">
        <f>IF(V95=0,"",V93/V95)</f>
        <v>1.6818198680728754E-2</v>
      </c>
      <c r="W96" s="23">
        <f>IF(W95=0,"",W93/W95)</f>
        <v>2.2086196761734036E-2</v>
      </c>
      <c r="X96" s="22"/>
      <c r="Y96" s="23">
        <f>IF(Y95=0,"",Y93/Y95)</f>
        <v>2.2151214093975843E-2</v>
      </c>
      <c r="Z96" s="22"/>
      <c r="AA96" s="23">
        <f>IF(AA95=0,"",AA93/AA95)</f>
        <v>2.4680073126142597E-2</v>
      </c>
      <c r="AB96" s="16"/>
    </row>
    <row r="97" spans="1:28" x14ac:dyDescent="0.2">
      <c r="AB97" s="16"/>
    </row>
    <row r="98" spans="1:28" x14ac:dyDescent="0.2">
      <c r="AB98" s="16"/>
    </row>
    <row r="99" spans="1:28" x14ac:dyDescent="0.2">
      <c r="B99" s="25" t="s">
        <v>65</v>
      </c>
      <c r="E99" s="3"/>
      <c r="F99" s="3"/>
      <c r="G99" s="3"/>
      <c r="I99" s="14"/>
      <c r="K99" s="3"/>
      <c r="M99" s="3"/>
      <c r="N99" s="3"/>
      <c r="O99" s="3"/>
      <c r="Q99" s="14"/>
      <c r="S99" s="3"/>
      <c r="U99" s="3"/>
      <c r="V99" s="3"/>
      <c r="W99" s="3"/>
      <c r="Y99" s="14"/>
      <c r="AA99" s="3"/>
      <c r="AB99" s="16"/>
    </row>
    <row r="100" spans="1:28" x14ac:dyDescent="0.2">
      <c r="A100" s="16" t="s">
        <v>67</v>
      </c>
      <c r="B100" s="25"/>
      <c r="C100" t="s">
        <v>11</v>
      </c>
      <c r="E100" s="29">
        <f>IF(ISNA(ABS(VLOOKUP($A100,VARDATA,E$3,FALSE))),0,ABS(VLOOKUP($A100,VARDATA,E$3,FALSE)))</f>
        <v>0</v>
      </c>
      <c r="F100" s="37">
        <f>-IF(ISNA(ABS(VLOOKUP($A100,VARDATA,F$3,FALSE))),0,ABS(VLOOKUP($A100,VARDATA,F$3,FALSE)))</f>
        <v>0</v>
      </c>
      <c r="G100" s="19">
        <f>ABS(F100)+ABS(E100)</f>
        <v>0</v>
      </c>
      <c r="H100" s="20"/>
      <c r="I100" s="46">
        <f>IF(ISNA(ABS(VLOOKUP($A100,VARDATA,I$4,FALSE))),0,ABS(VLOOKUP($A100,VARDATA,I$4,FALSE)))+IF(ISNA(ABS(VLOOKUP($A100,VARDATA,I$3,FALSE))),0,ABS(VLOOKUP($A100,VARDATA,I$3,FALSE)))</f>
        <v>0</v>
      </c>
      <c r="J100" s="20"/>
      <c r="K100" s="29">
        <f>IF(ISNA(ABS(VLOOKUP($A100,VARDATA,K$3,FALSE))),0,ABS(VLOOKUP($A100,VARDATA,K$3,FALSE)))</f>
        <v>0</v>
      </c>
      <c r="M100" s="29">
        <f>IF(ISNA(ABS(VLOOKUP($A100,VARDATA,M$3,FALSE))),0,ABS(VLOOKUP($A100,VARDATA,M$3,FALSE)))</f>
        <v>0</v>
      </c>
      <c r="N100" s="37">
        <f>-IF(ISNA(ABS(VLOOKUP($A100,VARDATA,N$3,FALSE))),0,ABS(VLOOKUP($A100,VARDATA,N$3,FALSE)))</f>
        <v>0</v>
      </c>
      <c r="O100" s="19">
        <f>ABS(N100)+ABS(M100)</f>
        <v>0</v>
      </c>
      <c r="P100" s="20"/>
      <c r="Q100" s="46">
        <f>IF(ISNA(ABS(VLOOKUP($A100,VARDATA,Q$4,FALSE))),0,ABS(VLOOKUP($A100,VARDATA,Q$4,FALSE)))+IF(ISNA(ABS(VLOOKUP($A100,VARDATA,Q$3,FALSE))),0,ABS(VLOOKUP($A100,VARDATA,Q$3,FALSE)))</f>
        <v>0</v>
      </c>
      <c r="R100" s="20"/>
      <c r="S100" s="29">
        <f>IF(ISNA(ABS(VLOOKUP($A100,VARDATA,S$3,FALSE))),0,ABS(VLOOKUP($A100,VARDATA,S$3,FALSE)))</f>
        <v>0</v>
      </c>
      <c r="U100" s="29">
        <f>IF(ISNA(ABS(VLOOKUP($A100,VARDATA,U$3,FALSE))),0,ABS(VLOOKUP($A100,VARDATA,U$3,FALSE)))</f>
        <v>0</v>
      </c>
      <c r="V100" s="37">
        <f>-IF(ISNA(ABS(VLOOKUP($A100,VARDATA,V$3,FALSE))),0,ABS(VLOOKUP($A100,VARDATA,V$3,FALSE)))</f>
        <v>0</v>
      </c>
      <c r="W100" s="19">
        <f>ABS(V100)+ABS(U100)</f>
        <v>0</v>
      </c>
      <c r="X100" s="20"/>
      <c r="Y100" s="46">
        <f>IF(ISNA(ABS(VLOOKUP($A100,VARDATA,Y$4,FALSE))),0,ABS(VLOOKUP($A100,VARDATA,Y$4,FALSE)))+IF(ISNA(ABS(VLOOKUP($A100,VARDATA,Y$3,FALSE))),0,ABS(VLOOKUP($A100,VARDATA,Y$3,FALSE)))</f>
        <v>0</v>
      </c>
      <c r="Z100" s="20"/>
      <c r="AA100" s="29">
        <f>IF(ISNA(ABS(VLOOKUP($A100,VARDATA,AA$3,FALSE))),0,ABS(VLOOKUP($A100,VARDATA,AA$3,FALSE)))</f>
        <v>0</v>
      </c>
      <c r="AB100" s="16"/>
    </row>
    <row r="101" spans="1:28" x14ac:dyDescent="0.2">
      <c r="A101" s="16" t="s">
        <v>68</v>
      </c>
      <c r="B101" s="25"/>
      <c r="C101" t="s">
        <v>12</v>
      </c>
      <c r="E101" s="29">
        <f>IF(ISNA(ABS(VLOOKUP($A101,VARDATA,E$3,FALSE))),0,ABS(VLOOKUP($A101,VARDATA,E$3,FALSE)))</f>
        <v>0</v>
      </c>
      <c r="F101" s="37">
        <f>-IF(ISNA(ABS(VLOOKUP($A101,VARDATA,F$3,FALSE))),0,ABS(VLOOKUP($A101,VARDATA,F$3,FALSE)))</f>
        <v>0</v>
      </c>
      <c r="G101" s="19">
        <f>ABS(F101)+ABS(E101)</f>
        <v>0</v>
      </c>
      <c r="H101" s="20"/>
      <c r="I101" s="46">
        <f>IF(ISNA(ABS(VLOOKUP($A101,VARDATA,I$4,FALSE))),0,ABS(VLOOKUP($A101,VARDATA,I$4,FALSE)))+IF(ISNA(ABS(VLOOKUP($A101,VARDATA,I$3,FALSE))),0,ABS(VLOOKUP($A101,VARDATA,I$3,FALSE)))</f>
        <v>0</v>
      </c>
      <c r="J101" s="20"/>
      <c r="K101" s="29">
        <f>IF(ISNA(ABS(VLOOKUP($A101,VARDATA,K$3,FALSE))),0,ABS(VLOOKUP($A101,VARDATA,K$3,FALSE)))</f>
        <v>0</v>
      </c>
      <c r="M101" s="29">
        <f>IF(ISNA(ABS(VLOOKUP($A101,VARDATA,M$3,FALSE))),0,ABS(VLOOKUP($A101,VARDATA,M$3,FALSE)))</f>
        <v>10589.9</v>
      </c>
      <c r="N101" s="37">
        <f>-IF(ISNA(ABS(VLOOKUP($A101,VARDATA,N$3,FALSE))),0,ABS(VLOOKUP($A101,VARDATA,N$3,FALSE)))</f>
        <v>-663849.78</v>
      </c>
      <c r="O101" s="19">
        <f>ABS(N101)+ABS(M101)</f>
        <v>674439.68000000005</v>
      </c>
      <c r="P101" s="20"/>
      <c r="Q101" s="46">
        <f>IF(ISNA(ABS(VLOOKUP($A101,VARDATA,Q$4,FALSE))),0,ABS(VLOOKUP($A101,VARDATA,Q$4,FALSE)))+IF(ISNA(ABS(VLOOKUP($A101,VARDATA,Q$3,FALSE))),0,ABS(VLOOKUP($A101,VARDATA,Q$3,FALSE)))</f>
        <v>13112544.35</v>
      </c>
      <c r="R101" s="20"/>
      <c r="S101" s="29">
        <f>IF(ISNA(ABS(VLOOKUP($A101,VARDATA,S$3,FALSE))),0,ABS(VLOOKUP($A101,VARDATA,S$3,FALSE)))</f>
        <v>93</v>
      </c>
      <c r="U101" s="29">
        <f>IF(ISNA(ABS(VLOOKUP($A101,VARDATA,U$3,FALSE))),0,ABS(VLOOKUP($A101,VARDATA,U$3,FALSE)))</f>
        <v>10988.9</v>
      </c>
      <c r="V101" s="37">
        <f>-IF(ISNA(ABS(VLOOKUP($A101,VARDATA,V$3,FALSE))),0,ABS(VLOOKUP($A101,VARDATA,V$3,FALSE)))</f>
        <v>-850823.5</v>
      </c>
      <c r="W101" s="19">
        <f>ABS(V101)+ABS(U101)</f>
        <v>861812.4</v>
      </c>
      <c r="X101" s="20"/>
      <c r="Y101" s="46">
        <f>IF(ISNA(ABS(VLOOKUP($A101,VARDATA,Y$4,FALSE))),0,ABS(VLOOKUP($A101,VARDATA,Y$4,FALSE)))+IF(ISNA(ABS(VLOOKUP($A101,VARDATA,Y$3,FALSE))),0,ABS(VLOOKUP($A101,VARDATA,Y$3,FALSE)))</f>
        <v>16522902.09</v>
      </c>
      <c r="Z101" s="20"/>
      <c r="AA101" s="29">
        <f>IF(ISNA(ABS(VLOOKUP($A101,VARDATA,AA$3,FALSE))),0,ABS(VLOOKUP($A101,VARDATA,AA$3,FALSE)))</f>
        <v>126</v>
      </c>
      <c r="AB101" s="16"/>
    </row>
    <row r="102" spans="1:28" x14ac:dyDescent="0.2">
      <c r="B102" s="25"/>
      <c r="C102" t="s">
        <v>10</v>
      </c>
      <c r="E102" s="21">
        <f>SUM(E100:E101)</f>
        <v>0</v>
      </c>
      <c r="F102" s="21">
        <f>SUM(F100:F101)</f>
        <v>0</v>
      </c>
      <c r="G102" s="21">
        <f>SUM(G100:G101)</f>
        <v>0</v>
      </c>
      <c r="H102" s="22"/>
      <c r="I102" s="21">
        <f>SUM(I100:I101)</f>
        <v>0</v>
      </c>
      <c r="J102" s="22"/>
      <c r="K102" s="21">
        <f>SUM(K100:K101)</f>
        <v>0</v>
      </c>
      <c r="M102" s="21">
        <f>SUM(M100:M101)</f>
        <v>10589.9</v>
      </c>
      <c r="N102" s="21">
        <f>SUM(N100:N101)</f>
        <v>-663849.78</v>
      </c>
      <c r="O102" s="21">
        <f>SUM(O100:O101)</f>
        <v>674439.68000000005</v>
      </c>
      <c r="P102" s="22"/>
      <c r="Q102" s="21">
        <f>SUM(Q100:Q101)</f>
        <v>13112544.35</v>
      </c>
      <c r="R102" s="22"/>
      <c r="S102" s="21">
        <f>SUM(S100:S101)</f>
        <v>93</v>
      </c>
      <c r="U102" s="21">
        <f>SUM(U100:U101)</f>
        <v>10988.9</v>
      </c>
      <c r="V102" s="21">
        <f>SUM(V100:V101)</f>
        <v>-850823.5</v>
      </c>
      <c r="W102" s="21">
        <f>SUM(W100:W101)</f>
        <v>861812.4</v>
      </c>
      <c r="X102" s="22"/>
      <c r="Y102" s="21">
        <f>SUM(Y100:Y101)</f>
        <v>16522902.09</v>
      </c>
      <c r="Z102" s="22"/>
      <c r="AA102" s="21">
        <f>SUM(AA100:AA101)</f>
        <v>126</v>
      </c>
      <c r="AB102" s="16"/>
    </row>
    <row r="103" spans="1:28" x14ac:dyDescent="0.2">
      <c r="C103" t="s">
        <v>13</v>
      </c>
      <c r="E103" s="23" t="str">
        <f>IF(E102=0,"",E100/E102)</f>
        <v/>
      </c>
      <c r="F103" s="23" t="str">
        <f>IF(F102=0,"",F100/F102)</f>
        <v/>
      </c>
      <c r="G103" s="23" t="str">
        <f>IF(G102=0,"",G100/G102)</f>
        <v/>
      </c>
      <c r="H103" s="22"/>
      <c r="I103" s="23" t="str">
        <f>IF(I102=0,"",I100/I102)</f>
        <v/>
      </c>
      <c r="J103" s="22"/>
      <c r="K103" s="23" t="str">
        <f>IF(K102=0,"",K100/K102)</f>
        <v/>
      </c>
      <c r="M103" s="23">
        <f>IF(M102=0,"",M100/M102)</f>
        <v>0</v>
      </c>
      <c r="N103" s="23">
        <f>IF(N102=0,"",N100/N102)</f>
        <v>0</v>
      </c>
      <c r="O103" s="23">
        <f>IF(O102=0,"",O100/O102)</f>
        <v>0</v>
      </c>
      <c r="P103" s="22"/>
      <c r="Q103" s="23">
        <f>IF(Q102=0,"",Q100/Q102)</f>
        <v>0</v>
      </c>
      <c r="R103" s="22"/>
      <c r="S103" s="23">
        <f>IF(S102=0,"",S100/S102)</f>
        <v>0</v>
      </c>
      <c r="U103" s="23">
        <f>IF(U102=0,"",U100/U102)</f>
        <v>0</v>
      </c>
      <c r="V103" s="23">
        <f>IF(V102=0,"",V100/V102)</f>
        <v>0</v>
      </c>
      <c r="W103" s="23">
        <f>IF(W102=0,"",W100/W102)</f>
        <v>0</v>
      </c>
      <c r="X103" s="22"/>
      <c r="Y103" s="23">
        <f>IF(Y102=0,"",Y100/Y102)</f>
        <v>0</v>
      </c>
      <c r="Z103" s="22"/>
      <c r="AA103" s="23">
        <f>IF(AA102=0,"",AA100/AA102)</f>
        <v>0</v>
      </c>
      <c r="AB103" s="16"/>
    </row>
    <row r="104" spans="1:28" x14ac:dyDescent="0.2">
      <c r="E104" s="48"/>
      <c r="F104" s="48"/>
      <c r="G104" s="48"/>
      <c r="H104" s="22"/>
      <c r="I104" s="48"/>
      <c r="J104" s="22"/>
      <c r="K104" s="48"/>
      <c r="M104" s="48"/>
      <c r="N104" s="48"/>
      <c r="O104" s="48"/>
      <c r="P104" s="22"/>
      <c r="Q104" s="48"/>
      <c r="R104" s="22"/>
      <c r="S104" s="48"/>
      <c r="U104" s="48"/>
      <c r="V104" s="48"/>
      <c r="W104" s="48"/>
      <c r="X104" s="22"/>
      <c r="Y104" s="48"/>
      <c r="Z104" s="22"/>
      <c r="AA104" s="48"/>
      <c r="AB104" s="16"/>
    </row>
    <row r="105" spans="1:28" x14ac:dyDescent="0.2">
      <c r="B105" s="25" t="s">
        <v>163</v>
      </c>
      <c r="E105" s="3"/>
      <c r="F105" s="3"/>
      <c r="G105" s="3"/>
      <c r="I105" s="14"/>
      <c r="K105" s="3"/>
      <c r="M105" s="3"/>
      <c r="N105" s="3"/>
      <c r="O105" s="3"/>
      <c r="Q105" s="14"/>
      <c r="S105" s="3"/>
      <c r="U105" s="3"/>
      <c r="V105" s="3"/>
      <c r="W105" s="3"/>
      <c r="Y105" s="14"/>
      <c r="AA105" s="3"/>
      <c r="AB105" s="16"/>
    </row>
    <row r="106" spans="1:28" x14ac:dyDescent="0.2">
      <c r="A106" s="16" t="s">
        <v>164</v>
      </c>
      <c r="B106" s="25"/>
      <c r="C106" t="s">
        <v>11</v>
      </c>
      <c r="E106" s="29">
        <f>IF(ISNA(ABS(VLOOKUP($A106,VARDATA,E$3,FALSE))),0,ABS(VLOOKUP($A106,VARDATA,E$3,FALSE)))</f>
        <v>30220</v>
      </c>
      <c r="F106" s="37">
        <f>-IF(ISNA(ABS(VLOOKUP($A106,VARDATA,F$3,FALSE))),0,ABS(VLOOKUP($A106,VARDATA,F$3,FALSE)))</f>
        <v>-13440</v>
      </c>
      <c r="G106" s="19">
        <f>ABS(F106)+ABS(E106)</f>
        <v>43660</v>
      </c>
      <c r="H106" s="20"/>
      <c r="I106" s="46">
        <f>IF(ISNA(ABS(VLOOKUP($A106,VARDATA,I$4,FALSE))),0,ABS(VLOOKUP($A106,VARDATA,I$4,FALSE)))+IF(ISNA(ABS(VLOOKUP($A106,VARDATA,I$3,FALSE))),0,ABS(VLOOKUP($A106,VARDATA,I$3,FALSE)))</f>
        <v>1723313.67</v>
      </c>
      <c r="J106" s="20"/>
      <c r="K106" s="29">
        <f>IF(ISNA(ABS(VLOOKUP($A106,VARDATA,K$3,FALSE))),0,ABS(VLOOKUP($A106,VARDATA,K$3,FALSE)))</f>
        <v>3</v>
      </c>
      <c r="M106" s="29">
        <f>IF(ISNA(ABS(VLOOKUP($A106,VARDATA,M$3,FALSE))),0,ABS(VLOOKUP($A106,VARDATA,M$3,FALSE)))</f>
        <v>1184960</v>
      </c>
      <c r="N106" s="37">
        <f>-IF(ISNA(ABS(VLOOKUP($A106,VARDATA,N$3,FALSE))),0,ABS(VLOOKUP($A106,VARDATA,N$3,FALSE)))</f>
        <v>-979340</v>
      </c>
      <c r="O106" s="19">
        <f>ABS(N106)+ABS(M106)</f>
        <v>2164300</v>
      </c>
      <c r="P106" s="20"/>
      <c r="Q106" s="46">
        <f>IF(ISNA(ABS(VLOOKUP($A106,VARDATA,Q$4,FALSE))),0,ABS(VLOOKUP($A106,VARDATA,Q$4,FALSE)))+IF(ISNA(ABS(VLOOKUP($A106,VARDATA,Q$3,FALSE))),0,ABS(VLOOKUP($A106,VARDATA,Q$3,FALSE)))</f>
        <v>88656079.730000004</v>
      </c>
      <c r="R106" s="20"/>
      <c r="S106" s="29">
        <f>IF(ISNA(ABS(VLOOKUP($A106,VARDATA,S$3,FALSE))),0,ABS(VLOOKUP($A106,VARDATA,S$3,FALSE)))</f>
        <v>59</v>
      </c>
      <c r="U106" s="29">
        <f>IF(ISNA(ABS(VLOOKUP($A106,VARDATA,U$3,FALSE))),0,ABS(VLOOKUP($A106,VARDATA,U$3,FALSE)))</f>
        <v>1184960</v>
      </c>
      <c r="V106" s="37">
        <f>-IF(ISNA(ABS(VLOOKUP($A106,VARDATA,V$3,FALSE))),0,ABS(VLOOKUP($A106,VARDATA,V$3,FALSE)))</f>
        <v>-979340</v>
      </c>
      <c r="W106" s="19">
        <f>ABS(V106)+ABS(U106)</f>
        <v>2164300</v>
      </c>
      <c r="X106" s="20"/>
      <c r="Y106" s="46">
        <f>IF(ISNA(ABS(VLOOKUP($A106,VARDATA,Y$4,FALSE))),0,ABS(VLOOKUP($A106,VARDATA,Y$4,FALSE)))+IF(ISNA(ABS(VLOOKUP($A106,VARDATA,Y$3,FALSE))),0,ABS(VLOOKUP($A106,VARDATA,Y$3,FALSE)))</f>
        <v>88656079.730000004</v>
      </c>
      <c r="Z106" s="20"/>
      <c r="AA106" s="29">
        <f>IF(ISNA(ABS(VLOOKUP($A106,VARDATA,AA$3,FALSE))),0,ABS(VLOOKUP($A106,VARDATA,AA$3,FALSE)))</f>
        <v>59</v>
      </c>
      <c r="AB106" s="16"/>
    </row>
    <row r="107" spans="1:28" x14ac:dyDescent="0.2">
      <c r="A107" s="16" t="s">
        <v>165</v>
      </c>
      <c r="B107" s="25"/>
      <c r="C107" t="s">
        <v>12</v>
      </c>
      <c r="E107" s="29">
        <f>IF(ISNA(ABS(VLOOKUP($A107,VARDATA,E$3,FALSE))),0,ABS(VLOOKUP($A107,VARDATA,E$3,FALSE)))</f>
        <v>102920</v>
      </c>
      <c r="F107" s="37">
        <f>-IF(ISNA(ABS(VLOOKUP($A107,VARDATA,F$3,FALSE))),0,ABS(VLOOKUP($A107,VARDATA,F$3,FALSE)))</f>
        <v>-206020</v>
      </c>
      <c r="G107" s="19">
        <f>ABS(F107)+ABS(E107)</f>
        <v>308940</v>
      </c>
      <c r="H107" s="20"/>
      <c r="I107" s="46">
        <f>IF(ISNA(ABS(VLOOKUP($A107,VARDATA,I$4,FALSE))),0,ABS(VLOOKUP($A107,VARDATA,I$4,FALSE)))+IF(ISNA(ABS(VLOOKUP($A107,VARDATA,I$3,FALSE))),0,ABS(VLOOKUP($A107,VARDATA,I$3,FALSE)))</f>
        <v>10319791.869999999</v>
      </c>
      <c r="J107" s="20"/>
      <c r="K107" s="29">
        <f>IF(ISNA(ABS(VLOOKUP($A107,VARDATA,K$3,FALSE))),0,ABS(VLOOKUP($A107,VARDATA,K$3,FALSE)))</f>
        <v>11</v>
      </c>
      <c r="M107" s="29">
        <f>IF(ISNA(ABS(VLOOKUP($A107,VARDATA,M$3,FALSE))),0,ABS(VLOOKUP($A107,VARDATA,M$3,FALSE)))</f>
        <v>5918072.4299999997</v>
      </c>
      <c r="N107" s="37">
        <f>-IF(ISNA(ABS(VLOOKUP($A107,VARDATA,N$3,FALSE))),0,ABS(VLOOKUP($A107,VARDATA,N$3,FALSE)))</f>
        <v>-8503670.2699999996</v>
      </c>
      <c r="O107" s="19">
        <f>ABS(N107)+ABS(M107)</f>
        <v>14421742.699999999</v>
      </c>
      <c r="P107" s="20"/>
      <c r="Q107" s="46">
        <f>IF(ISNA(ABS(VLOOKUP($A107,VARDATA,Q$4,FALSE))),0,ABS(VLOOKUP($A107,VARDATA,Q$4,FALSE)))+IF(ISNA(ABS(VLOOKUP($A107,VARDATA,Q$3,FALSE))),0,ABS(VLOOKUP($A107,VARDATA,Q$3,FALSE)))</f>
        <v>556159285.39999998</v>
      </c>
      <c r="R107" s="20"/>
      <c r="S107" s="29">
        <f>IF(ISNA(ABS(VLOOKUP($A107,VARDATA,S$3,FALSE))),0,ABS(VLOOKUP($A107,VARDATA,S$3,FALSE)))</f>
        <v>281</v>
      </c>
      <c r="U107" s="29">
        <f>IF(ISNA(ABS(VLOOKUP($A107,VARDATA,U$3,FALSE))),0,ABS(VLOOKUP($A107,VARDATA,U$3,FALSE)))</f>
        <v>5918072.4299999997</v>
      </c>
      <c r="V107" s="37">
        <f>-IF(ISNA(ABS(VLOOKUP($A107,VARDATA,V$3,FALSE))),0,ABS(VLOOKUP($A107,VARDATA,V$3,FALSE)))</f>
        <v>-8503670.2699999996</v>
      </c>
      <c r="W107" s="19">
        <f>ABS(V107)+ABS(U107)</f>
        <v>14421742.699999999</v>
      </c>
      <c r="X107" s="20"/>
      <c r="Y107" s="46">
        <f>IF(ISNA(ABS(VLOOKUP($A107,VARDATA,Y$4,FALSE))),0,ABS(VLOOKUP($A107,VARDATA,Y$4,FALSE)))+IF(ISNA(ABS(VLOOKUP($A107,VARDATA,Y$3,FALSE))),0,ABS(VLOOKUP($A107,VARDATA,Y$3,FALSE)))</f>
        <v>556159285.39999998</v>
      </c>
      <c r="Z107" s="20"/>
      <c r="AA107" s="29">
        <f>IF(ISNA(ABS(VLOOKUP($A107,VARDATA,AA$3,FALSE))),0,ABS(VLOOKUP($A107,VARDATA,AA$3,FALSE)))</f>
        <v>281</v>
      </c>
      <c r="AB107" s="16"/>
    </row>
    <row r="108" spans="1:28" x14ac:dyDescent="0.2">
      <c r="B108" s="25"/>
      <c r="C108" t="s">
        <v>10</v>
      </c>
      <c r="E108" s="21">
        <f>SUM(E106:E107)</f>
        <v>133140</v>
      </c>
      <c r="F108" s="21">
        <f>SUM(F106:F107)</f>
        <v>-219460</v>
      </c>
      <c r="G108" s="21">
        <f>SUM(G106:G107)</f>
        <v>352600</v>
      </c>
      <c r="H108" s="22"/>
      <c r="I108" s="21">
        <f>SUM(I106:I107)</f>
        <v>12043105.539999999</v>
      </c>
      <c r="J108" s="22"/>
      <c r="K108" s="21">
        <f>SUM(K106:K107)</f>
        <v>14</v>
      </c>
      <c r="M108" s="21">
        <f>SUM(M106:M107)</f>
        <v>7103032.4299999997</v>
      </c>
      <c r="N108" s="21">
        <f>SUM(N106:N107)</f>
        <v>-9483010.2699999996</v>
      </c>
      <c r="O108" s="21">
        <f>SUM(O106:O107)</f>
        <v>16586042.699999999</v>
      </c>
      <c r="P108" s="22"/>
      <c r="Q108" s="21">
        <f>SUM(Q106:Q107)</f>
        <v>644815365.13</v>
      </c>
      <c r="R108" s="22"/>
      <c r="S108" s="21">
        <f>SUM(S106:S107)</f>
        <v>340</v>
      </c>
      <c r="U108" s="21">
        <f>SUM(U106:U107)</f>
        <v>7103032.4299999997</v>
      </c>
      <c r="V108" s="21">
        <f>SUM(V106:V107)</f>
        <v>-9483010.2699999996</v>
      </c>
      <c r="W108" s="21">
        <f>SUM(W106:W107)</f>
        <v>16586042.699999999</v>
      </c>
      <c r="X108" s="22"/>
      <c r="Y108" s="21">
        <f>SUM(Y106:Y107)</f>
        <v>644815365.13</v>
      </c>
      <c r="Z108" s="22"/>
      <c r="AA108" s="21">
        <f>SUM(AA106:AA107)</f>
        <v>340</v>
      </c>
      <c r="AB108" s="16"/>
    </row>
    <row r="109" spans="1:28" x14ac:dyDescent="0.2">
      <c r="C109" t="s">
        <v>13</v>
      </c>
      <c r="E109" s="23">
        <f>IF(E108=0,"",E106/E108)</f>
        <v>0.22697911972359922</v>
      </c>
      <c r="F109" s="23">
        <f>IF(F108=0,"",F106/F108)</f>
        <v>6.1241228469880615E-2</v>
      </c>
      <c r="G109" s="23">
        <f>IF(G108=0,"",G106/G108)</f>
        <v>0.12382302892796369</v>
      </c>
      <c r="H109" s="22"/>
      <c r="I109" s="23">
        <f>IF(I108=0,"",I106/I108)</f>
        <v>0.14309545526078651</v>
      </c>
      <c r="J109" s="22"/>
      <c r="K109" s="23">
        <f>IF(K108=0,"",K106/K108)</f>
        <v>0.21428571428571427</v>
      </c>
      <c r="M109" s="23">
        <f>IF(M108=0,"",M106/M108)</f>
        <v>0.16682452342400469</v>
      </c>
      <c r="N109" s="23">
        <f>IF(N108=0,"",N106/N108)</f>
        <v>0.10327311392862175</v>
      </c>
      <c r="O109" s="23">
        <f>IF(O108=0,"",O106/O108)</f>
        <v>0.13048923357709674</v>
      </c>
      <c r="P109" s="22"/>
      <c r="Q109" s="23">
        <f>IF(Q108=0,"",Q106/Q108)</f>
        <v>0.13749064387156193</v>
      </c>
      <c r="R109" s="22"/>
      <c r="S109" s="23">
        <f>IF(S108=0,"",S106/S108)</f>
        <v>0.17352941176470588</v>
      </c>
      <c r="U109" s="23">
        <f>IF(U108=0,"",U106/U108)</f>
        <v>0.16682452342400469</v>
      </c>
      <c r="V109" s="23">
        <f>IF(V108=0,"",V106/V108)</f>
        <v>0.10327311392862175</v>
      </c>
      <c r="W109" s="23">
        <f>IF(W108=0,"",W106/W108)</f>
        <v>0.13048923357709674</v>
      </c>
      <c r="X109" s="22"/>
      <c r="Y109" s="23">
        <f>IF(Y108=0,"",Y106/Y108)</f>
        <v>0.13749064387156193</v>
      </c>
      <c r="Z109" s="22"/>
      <c r="AA109" s="23">
        <f>IF(AA108=0,"",AA106/AA108)</f>
        <v>0.17352941176470588</v>
      </c>
      <c r="AB109" s="16"/>
    </row>
    <row r="110" spans="1:28" x14ac:dyDescent="0.2">
      <c r="E110" s="48"/>
      <c r="F110" s="48"/>
      <c r="G110" s="48"/>
      <c r="H110" s="22"/>
      <c r="I110" s="48"/>
      <c r="J110" s="22"/>
      <c r="K110" s="48"/>
      <c r="M110" s="48"/>
      <c r="N110" s="48"/>
      <c r="O110" s="48"/>
      <c r="P110" s="22"/>
      <c r="Q110" s="48"/>
      <c r="R110" s="22"/>
      <c r="S110" s="48"/>
      <c r="U110" s="48"/>
      <c r="V110" s="48"/>
      <c r="W110" s="48"/>
      <c r="X110" s="22"/>
      <c r="Y110" s="48"/>
      <c r="Z110" s="22"/>
      <c r="AA110" s="48"/>
      <c r="AB110" s="16"/>
    </row>
    <row r="111" spans="1:28" x14ac:dyDescent="0.2">
      <c r="A111" s="16" t="s">
        <v>97</v>
      </c>
      <c r="E111" s="48"/>
      <c r="F111" s="48"/>
      <c r="G111" s="48"/>
      <c r="H111" s="22"/>
      <c r="I111" s="48"/>
      <c r="J111" s="22"/>
      <c r="K111" s="48"/>
      <c r="M111" s="48"/>
      <c r="N111" s="48"/>
      <c r="O111" s="48"/>
      <c r="P111" s="22"/>
      <c r="Q111" s="48"/>
      <c r="R111" s="22"/>
      <c r="S111" s="48"/>
      <c r="U111" s="48"/>
      <c r="V111" s="48"/>
      <c r="W111" s="48"/>
      <c r="X111" s="22"/>
      <c r="Y111" s="48"/>
      <c r="Z111" s="22"/>
      <c r="AA111" s="48"/>
      <c r="AB111" s="16"/>
    </row>
    <row r="112" spans="1:28" x14ac:dyDescent="0.2">
      <c r="A112" s="16" t="s">
        <v>97</v>
      </c>
      <c r="E112" s="48"/>
      <c r="F112" s="48"/>
      <c r="G112" s="48"/>
      <c r="H112" s="22"/>
      <c r="I112" s="48"/>
      <c r="J112" s="22"/>
      <c r="K112" s="48"/>
      <c r="M112" s="48"/>
      <c r="N112" s="48"/>
      <c r="O112" s="48"/>
      <c r="P112" s="22"/>
      <c r="Q112" s="48"/>
      <c r="R112" s="22"/>
      <c r="S112" s="48"/>
      <c r="U112" s="48"/>
      <c r="V112" s="48"/>
      <c r="W112" s="48"/>
      <c r="X112" s="22"/>
      <c r="Y112" s="48"/>
      <c r="Z112" s="22"/>
      <c r="AA112" s="48"/>
      <c r="AB112" s="16"/>
    </row>
    <row r="113" spans="1:28" x14ac:dyDescent="0.2">
      <c r="A113" s="16" t="s">
        <v>97</v>
      </c>
      <c r="E113" s="48"/>
      <c r="F113" s="48"/>
      <c r="G113" s="48"/>
      <c r="H113" s="22"/>
      <c r="I113" s="48"/>
      <c r="J113" s="22"/>
      <c r="K113" s="48"/>
      <c r="M113" s="48"/>
      <c r="N113" s="48"/>
      <c r="O113" s="48"/>
      <c r="P113" s="22"/>
      <c r="Q113" s="48"/>
      <c r="R113" s="22"/>
      <c r="S113" s="48"/>
      <c r="U113" s="48"/>
      <c r="V113" s="48"/>
      <c r="W113" s="48"/>
      <c r="X113" s="22"/>
      <c r="Y113" s="48"/>
      <c r="Z113" s="22"/>
      <c r="AA113" s="48"/>
      <c r="AB113" s="16"/>
    </row>
    <row r="114" spans="1:28" x14ac:dyDescent="0.2">
      <c r="B114" s="25" t="s">
        <v>66</v>
      </c>
      <c r="E114" s="3"/>
      <c r="F114" s="3"/>
      <c r="G114" s="3"/>
      <c r="I114" s="14"/>
      <c r="K114" s="3"/>
      <c r="L114" s="3"/>
      <c r="M114" s="3"/>
      <c r="N114" s="3"/>
      <c r="O114" s="3"/>
      <c r="Q114" s="14"/>
      <c r="S114" s="3"/>
      <c r="U114" s="3"/>
      <c r="V114" s="3"/>
      <c r="W114" s="3"/>
      <c r="Y114" s="14"/>
      <c r="AA114" s="3"/>
      <c r="AB114" s="16"/>
    </row>
    <row r="115" spans="1:28" x14ac:dyDescent="0.2">
      <c r="B115" s="25"/>
      <c r="C115" t="s">
        <v>11</v>
      </c>
      <c r="E115" s="28">
        <f t="shared" ref="E115:G116" si="3">E100+E75+E106+E87+E81+E93</f>
        <v>639040</v>
      </c>
      <c r="F115" s="28">
        <f t="shared" si="3"/>
        <v>-192640</v>
      </c>
      <c r="G115" s="28">
        <f t="shared" si="3"/>
        <v>831680</v>
      </c>
      <c r="H115" s="20"/>
      <c r="I115" s="28">
        <f>I100+I75+I106+I87+I81+I93</f>
        <v>30833773.060000002</v>
      </c>
      <c r="J115" s="20"/>
      <c r="K115" s="28">
        <f>K100+K75+K106+K87+K81+K93</f>
        <v>78</v>
      </c>
      <c r="L115" s="13"/>
      <c r="M115" s="28">
        <f t="shared" ref="M115:O116" si="4">M100+M75+M106+M87+M81+M93</f>
        <v>4720995</v>
      </c>
      <c r="N115" s="28">
        <f t="shared" si="4"/>
        <v>-4684170</v>
      </c>
      <c r="O115" s="28">
        <f t="shared" si="4"/>
        <v>9405165</v>
      </c>
      <c r="P115" s="20"/>
      <c r="Q115" s="28">
        <f>Q100+Q75+Q106+Q87+Q81+Q93</f>
        <v>314294524.39000005</v>
      </c>
      <c r="R115" s="20"/>
      <c r="S115" s="28">
        <f>S100+S75+S106+S87+S81+S93</f>
        <v>1064</v>
      </c>
      <c r="U115" s="28">
        <f t="shared" ref="U115:W116" si="5">U100+U75+U106+U87+U81+U93</f>
        <v>5501160</v>
      </c>
      <c r="V115" s="28">
        <f t="shared" si="5"/>
        <v>-5595885</v>
      </c>
      <c r="W115" s="28">
        <f t="shared" si="5"/>
        <v>11097045</v>
      </c>
      <c r="X115" s="20"/>
      <c r="Y115" s="28">
        <f>Y100+Y75+Y106+Y87+Y81+Y93</f>
        <v>363138610.59000003</v>
      </c>
      <c r="Z115" s="20"/>
      <c r="AA115" s="28">
        <f>AA100+AA75+AA106+AA87+AA81+AA93</f>
        <v>1210</v>
      </c>
      <c r="AB115" s="16"/>
    </row>
    <row r="116" spans="1:28" x14ac:dyDescent="0.2">
      <c r="B116" s="25"/>
      <c r="C116" t="s">
        <v>12</v>
      </c>
      <c r="E116" s="28">
        <f t="shared" si="3"/>
        <v>5875134</v>
      </c>
      <c r="F116" s="28">
        <f t="shared" si="3"/>
        <v>-3474023.58</v>
      </c>
      <c r="G116" s="28">
        <f t="shared" si="3"/>
        <v>9349157.5800000001</v>
      </c>
      <c r="H116" s="20"/>
      <c r="I116" s="28">
        <f>I101+I76+I107+I88+I82+I94</f>
        <v>284164044.99999994</v>
      </c>
      <c r="J116" s="20"/>
      <c r="K116" s="28">
        <f>K101+K76+K107+K88+K82+K94</f>
        <v>679</v>
      </c>
      <c r="L116" s="13"/>
      <c r="M116" s="28">
        <f t="shared" si="4"/>
        <v>51110404.93</v>
      </c>
      <c r="N116" s="28">
        <f t="shared" si="4"/>
        <v>-51599061.190000005</v>
      </c>
      <c r="O116" s="28">
        <f t="shared" si="4"/>
        <v>102709466.12000002</v>
      </c>
      <c r="P116" s="20"/>
      <c r="Q116" s="28">
        <f>Q101+Q76+Q107+Q88+Q82+Q94</f>
        <v>3081227363.77</v>
      </c>
      <c r="R116" s="20"/>
      <c r="S116" s="28">
        <f>S101+S76+S107+S88+S82+S94</f>
        <v>9392</v>
      </c>
      <c r="U116" s="28">
        <f t="shared" si="5"/>
        <v>91965088.460000008</v>
      </c>
      <c r="V116" s="28">
        <f t="shared" si="5"/>
        <v>-88365608.330000013</v>
      </c>
      <c r="W116" s="28">
        <f t="shared" si="5"/>
        <v>180330696.78999999</v>
      </c>
      <c r="X116" s="20"/>
      <c r="Y116" s="28">
        <f>Y101+Y76+Y107+Y88+Y82+Y94</f>
        <v>5126000382.1599998</v>
      </c>
      <c r="Z116" s="20"/>
      <c r="AA116" s="28">
        <f>AA101+AA76+AA107+AA88+AA82+AA94</f>
        <v>13229</v>
      </c>
      <c r="AB116" s="16"/>
    </row>
    <row r="117" spans="1:28" x14ac:dyDescent="0.2">
      <c r="B117" s="25"/>
      <c r="C117" t="s">
        <v>10</v>
      </c>
      <c r="E117" s="21">
        <f>SUM(E115:E116)</f>
        <v>6514174</v>
      </c>
      <c r="F117" s="21">
        <f>SUM(F115:F116)</f>
        <v>-3666663.58</v>
      </c>
      <c r="G117" s="21">
        <f>SUM(G115:G116)</f>
        <v>10180837.58</v>
      </c>
      <c r="H117" s="22"/>
      <c r="I117" s="21">
        <f>SUM(I115:I116)</f>
        <v>314997818.05999994</v>
      </c>
      <c r="J117" s="22"/>
      <c r="K117" s="21">
        <f>SUM(K115:K116)</f>
        <v>757</v>
      </c>
      <c r="L117" s="13"/>
      <c r="M117" s="21">
        <f>SUM(M115:M116)</f>
        <v>55831399.93</v>
      </c>
      <c r="N117" s="21">
        <f>SUM(N115:N116)</f>
        <v>-56283231.190000005</v>
      </c>
      <c r="O117" s="21">
        <f>SUM(O115:O116)</f>
        <v>112114631.12000002</v>
      </c>
      <c r="P117" s="22"/>
      <c r="Q117" s="21">
        <f>SUM(Q115:Q116)</f>
        <v>3395521888.1599998</v>
      </c>
      <c r="R117" s="22"/>
      <c r="S117" s="21">
        <f>SUM(S115:S116)</f>
        <v>10456</v>
      </c>
      <c r="U117" s="21">
        <f>SUM(U115:U116)</f>
        <v>97466248.460000008</v>
      </c>
      <c r="V117" s="21">
        <f>SUM(V115:V116)</f>
        <v>-93961493.330000013</v>
      </c>
      <c r="W117" s="21">
        <f>SUM(W115:W116)</f>
        <v>191427741.78999999</v>
      </c>
      <c r="X117" s="22"/>
      <c r="Y117" s="21">
        <f>SUM(Y115:Y116)</f>
        <v>5489138992.75</v>
      </c>
      <c r="Z117" s="22"/>
      <c r="AA117" s="21">
        <f>SUM(AA115:AA116)</f>
        <v>14439</v>
      </c>
      <c r="AB117" s="16"/>
    </row>
    <row r="118" spans="1:28" x14ac:dyDescent="0.2">
      <c r="C118" t="s">
        <v>13</v>
      </c>
      <c r="E118" s="23">
        <f>IF(E117=0,"",E115/E117)</f>
        <v>9.8099927941746726E-2</v>
      </c>
      <c r="F118" s="23">
        <f>IF(F117=0,"",F115/F117)</f>
        <v>5.253822604581574E-2</v>
      </c>
      <c r="G118" s="23">
        <f>IF(G117=0,"",G115/G117)</f>
        <v>8.16907247036152E-2</v>
      </c>
      <c r="H118" s="22"/>
      <c r="I118" s="23">
        <f>IF(I117=0,"",I115/I117)</f>
        <v>9.7885671875120317E-2</v>
      </c>
      <c r="J118" s="22"/>
      <c r="K118" s="23">
        <f>IF(K117=0,"",K115/K117)</f>
        <v>0.10303830911492734</v>
      </c>
      <c r="L118" s="18"/>
      <c r="M118" s="23">
        <f>IF(M117=0,"",M115/M117)</f>
        <v>8.4558062415040006E-2</v>
      </c>
      <c r="N118" s="23">
        <f>IF(N117=0,"",N115/N117)</f>
        <v>8.3224965961660166E-2</v>
      </c>
      <c r="O118" s="23">
        <f>IF(O117=0,"",O115/O117)</f>
        <v>8.3888827943726083E-2</v>
      </c>
      <c r="P118" s="22"/>
      <c r="Q118" s="23">
        <f>IF(Q117=0,"",Q115/Q117)</f>
        <v>9.2561477953043966E-2</v>
      </c>
      <c r="R118" s="22"/>
      <c r="S118" s="23">
        <f>IF(S117=0,"",S115/S117)</f>
        <v>0.10175975516449885</v>
      </c>
      <c r="U118" s="23">
        <f>IF(U117=0,"",U115/U117)</f>
        <v>5.6441692246497692E-2</v>
      </c>
      <c r="V118" s="23">
        <f>IF(V117=0,"",V115/V117)</f>
        <v>5.9555087958711131E-2</v>
      </c>
      <c r="W118" s="23">
        <f>IF(W117=0,"",W115/W117)</f>
        <v>5.7969889297308209E-2</v>
      </c>
      <c r="X118" s="22"/>
      <c r="Y118" s="23">
        <f>IF(Y117=0,"",Y115/Y117)</f>
        <v>6.6155841757628994E-2</v>
      </c>
      <c r="Z118" s="22"/>
      <c r="AA118" s="23">
        <f>IF(AA117=0,"",AA115/AA117)</f>
        <v>8.3800817231110186E-2</v>
      </c>
      <c r="AB118" s="16"/>
    </row>
    <row r="119" spans="1:28" x14ac:dyDescent="0.2">
      <c r="AB119" s="16"/>
    </row>
    <row r="120" spans="1:28" x14ac:dyDescent="0.2">
      <c r="AB120" s="16"/>
    </row>
    <row r="121" spans="1:28" x14ac:dyDescent="0.2">
      <c r="AB121" s="16"/>
    </row>
    <row r="122" spans="1:28" x14ac:dyDescent="0.2">
      <c r="B122" s="25" t="s">
        <v>61</v>
      </c>
      <c r="E122" s="3"/>
      <c r="F122" s="3"/>
      <c r="G122" s="3"/>
      <c r="I122" s="14"/>
      <c r="K122" s="3"/>
      <c r="M122" s="3"/>
      <c r="N122" s="3"/>
      <c r="O122" s="3"/>
      <c r="Q122" s="14"/>
      <c r="S122" s="3"/>
      <c r="U122" s="3"/>
      <c r="V122" s="3"/>
      <c r="W122" s="3"/>
      <c r="Y122" s="14"/>
      <c r="AA122" s="3"/>
      <c r="AB122" s="16"/>
    </row>
    <row r="123" spans="1:28" x14ac:dyDescent="0.2">
      <c r="A123" s="16" t="s">
        <v>63</v>
      </c>
      <c r="B123" s="25"/>
      <c r="C123" t="s">
        <v>11</v>
      </c>
      <c r="E123" s="29">
        <f>IF(ISNA(ABS(VLOOKUP($A123,VARDATA,E$3,FALSE))),0,ABS(VLOOKUP($A123,VARDATA,E$3,FALSE)))</f>
        <v>0</v>
      </c>
      <c r="F123" s="37">
        <f>-IF(ISNA(ABS(VLOOKUP($A123,VARDATA,F$3,FALSE))),0,ABS(VLOOKUP($A123,VARDATA,F$3,FALSE)))</f>
        <v>0</v>
      </c>
      <c r="G123" s="19">
        <f>ABS(F123)+ABS(E123)</f>
        <v>0</v>
      </c>
      <c r="H123" s="20"/>
      <c r="I123" s="46">
        <f>IF(ISNA(ABS(VLOOKUP($A123,VARDATA,I$4,FALSE))),0,ABS(VLOOKUP($A123,VARDATA,I$4,FALSE)))+IF(ISNA(ABS(VLOOKUP($A123,VARDATA,I$3,FALSE))),0,ABS(VLOOKUP($A123,VARDATA,I$3,FALSE)))</f>
        <v>0</v>
      </c>
      <c r="J123" s="20"/>
      <c r="K123" s="29">
        <f>IF(ISNA(ABS(VLOOKUP($A123,VARDATA,K$3,FALSE))),0,ABS(VLOOKUP($A123,VARDATA,K$3,FALSE)))</f>
        <v>0</v>
      </c>
      <c r="M123" s="29">
        <f>IF(ISNA(ABS(VLOOKUP($A123,VARDATA,M$3,FALSE))),0,ABS(VLOOKUP($A123,VARDATA,M$3,FALSE)))</f>
        <v>546750</v>
      </c>
      <c r="N123" s="37">
        <f>-IF(ISNA(ABS(VLOOKUP($A123,VARDATA,N$3,FALSE))),0,ABS(VLOOKUP($A123,VARDATA,N$3,FALSE)))</f>
        <v>-336000</v>
      </c>
      <c r="O123" s="19">
        <f>ABS(N123)+ABS(M123)</f>
        <v>882750</v>
      </c>
      <c r="P123" s="20"/>
      <c r="Q123" s="46">
        <f>IF(ISNA(ABS(VLOOKUP($A123,VARDATA,Q$4,FALSE))),0,ABS(VLOOKUP($A123,VARDATA,Q$4,FALSE)))+IF(ISNA(ABS(VLOOKUP($A123,VARDATA,Q$3,FALSE))),0,ABS(VLOOKUP($A123,VARDATA,Q$3,FALSE)))</f>
        <v>11360913.75</v>
      </c>
      <c r="R123" s="20"/>
      <c r="S123" s="29">
        <f>IF(ISNA(ABS(VLOOKUP($A123,VARDATA,S$3,FALSE))),0,ABS(VLOOKUP($A123,VARDATA,S$3,FALSE)))</f>
        <v>30</v>
      </c>
      <c r="U123" s="29">
        <f>IF(ISNA(ABS(VLOOKUP($A123,VARDATA,U$3,FALSE))),0,ABS(VLOOKUP($A123,VARDATA,U$3,FALSE)))</f>
        <v>827250</v>
      </c>
      <c r="V123" s="37">
        <f>-IF(ISNA(ABS(VLOOKUP($A123,VARDATA,V$3,FALSE))),0,ABS(VLOOKUP($A123,VARDATA,V$3,FALSE)))</f>
        <v>-686250</v>
      </c>
      <c r="W123" s="19">
        <f>ABS(V123)+ABS(U123)</f>
        <v>1513500</v>
      </c>
      <c r="X123" s="20"/>
      <c r="Y123" s="46">
        <f>IF(ISNA(ABS(VLOOKUP($A123,VARDATA,Y$4,FALSE))),0,ABS(VLOOKUP($A123,VARDATA,Y$4,FALSE)))+IF(ISNA(ABS(VLOOKUP($A123,VARDATA,Y$3,FALSE))),0,ABS(VLOOKUP($A123,VARDATA,Y$3,FALSE)))</f>
        <v>18897288.75</v>
      </c>
      <c r="Z123" s="20"/>
      <c r="AA123" s="29">
        <f>IF(ISNA(ABS(VLOOKUP($A123,VARDATA,AA$3,FALSE))),0,ABS(VLOOKUP($A123,VARDATA,AA$3,FALSE)))</f>
        <v>51</v>
      </c>
      <c r="AB123" s="16"/>
    </row>
    <row r="124" spans="1:28" x14ac:dyDescent="0.2">
      <c r="A124" s="16" t="s">
        <v>62</v>
      </c>
      <c r="B124" s="25"/>
      <c r="C124" t="s">
        <v>12</v>
      </c>
      <c r="E124" s="29">
        <f>IF(ISNA(ABS(VLOOKUP($A124,VARDATA,E$3,FALSE))),0,ABS(VLOOKUP($A124,VARDATA,E$3,FALSE)))</f>
        <v>23250</v>
      </c>
      <c r="F124" s="37">
        <f>-IF(ISNA(ABS(VLOOKUP($A124,VARDATA,F$3,FALSE))),0,ABS(VLOOKUP($A124,VARDATA,F$3,FALSE)))</f>
        <v>0</v>
      </c>
      <c r="G124" s="19">
        <f>ABS(F124)+ABS(E124)</f>
        <v>23250</v>
      </c>
      <c r="H124" s="20"/>
      <c r="I124" s="46">
        <f>IF(ISNA(ABS(VLOOKUP($A124,VARDATA,I$4,FALSE))),0,ABS(VLOOKUP($A124,VARDATA,I$4,FALSE)))+IF(ISNA(ABS(VLOOKUP($A124,VARDATA,I$3,FALSE))),0,ABS(VLOOKUP($A124,VARDATA,I$3,FALSE)))</f>
        <v>556837.5</v>
      </c>
      <c r="J124" s="20"/>
      <c r="K124" s="29">
        <f>IF(ISNA(ABS(VLOOKUP($A124,VARDATA,K$3,FALSE))),0,ABS(VLOOKUP($A124,VARDATA,K$3,FALSE)))</f>
        <v>1</v>
      </c>
      <c r="M124" s="29">
        <f>IF(ISNA(ABS(VLOOKUP($A124,VARDATA,M$3,FALSE))),0,ABS(VLOOKUP($A124,VARDATA,M$3,FALSE)))</f>
        <v>1319499</v>
      </c>
      <c r="N124" s="37">
        <f>-IF(ISNA(ABS(VLOOKUP($A124,VARDATA,N$3,FALSE))),0,ABS(VLOOKUP($A124,VARDATA,N$3,FALSE)))</f>
        <v>-1118093</v>
      </c>
      <c r="O124" s="19">
        <f>ABS(N124)+ABS(M124)</f>
        <v>2437592</v>
      </c>
      <c r="P124" s="20"/>
      <c r="Q124" s="46">
        <f>IF(ISNA(ABS(VLOOKUP($A124,VARDATA,Q$4,FALSE))),0,ABS(VLOOKUP($A124,VARDATA,Q$4,FALSE)))+IF(ISNA(ABS(VLOOKUP($A124,VARDATA,Q$3,FALSE))),0,ABS(VLOOKUP($A124,VARDATA,Q$3,FALSE)))</f>
        <v>41116930.880000003</v>
      </c>
      <c r="R124" s="20"/>
      <c r="S124" s="29">
        <f>IF(ISNA(ABS(VLOOKUP($A124,VARDATA,S$3,FALSE))),0,ABS(VLOOKUP($A124,VARDATA,S$3,FALSE)))</f>
        <v>52</v>
      </c>
      <c r="U124" s="29">
        <f>IF(ISNA(ABS(VLOOKUP($A124,VARDATA,U$3,FALSE))),0,ABS(VLOOKUP($A124,VARDATA,U$3,FALSE)))</f>
        <v>2319499.1</v>
      </c>
      <c r="V124" s="37">
        <f>-IF(ISNA(ABS(VLOOKUP($A124,VARDATA,V$3,FALSE))),0,ABS(VLOOKUP($A124,VARDATA,V$3,FALSE)))</f>
        <v>-6103043</v>
      </c>
      <c r="W124" s="19">
        <f>ABS(V124)+ABS(U124)</f>
        <v>8422542.0999999996</v>
      </c>
      <c r="X124" s="20"/>
      <c r="Y124" s="46">
        <f>IF(ISNA(ABS(VLOOKUP($A124,VARDATA,Y$4,FALSE))),0,ABS(VLOOKUP($A124,VARDATA,Y$4,FALSE)))+IF(ISNA(ABS(VLOOKUP($A124,VARDATA,Y$3,FALSE))),0,ABS(VLOOKUP($A124,VARDATA,Y$3,FALSE)))</f>
        <v>80524150.790000007</v>
      </c>
      <c r="Z124" s="20"/>
      <c r="AA124" s="29">
        <f>IF(ISNA(ABS(VLOOKUP($A124,VARDATA,AA$3,FALSE))),0,ABS(VLOOKUP($A124,VARDATA,AA$3,FALSE)))</f>
        <v>100</v>
      </c>
      <c r="AB124" s="16"/>
    </row>
    <row r="125" spans="1:28" x14ac:dyDescent="0.2">
      <c r="B125" s="25"/>
      <c r="C125" t="s">
        <v>10</v>
      </c>
      <c r="E125" s="21">
        <f>SUM(E123:E124)</f>
        <v>23250</v>
      </c>
      <c r="F125" s="21">
        <f>SUM(F123:F124)</f>
        <v>0</v>
      </c>
      <c r="G125" s="21">
        <f>SUM(G123:G124)</f>
        <v>23250</v>
      </c>
      <c r="H125" s="22"/>
      <c r="I125" s="21">
        <f>SUM(I123:I124)</f>
        <v>556837.5</v>
      </c>
      <c r="J125" s="22"/>
      <c r="K125" s="21">
        <f>SUM(K123:K124)</f>
        <v>1</v>
      </c>
      <c r="M125" s="21">
        <f>SUM(M123:M124)</f>
        <v>1866249</v>
      </c>
      <c r="N125" s="21">
        <f>SUM(N123:N124)</f>
        <v>-1454093</v>
      </c>
      <c r="O125" s="21">
        <f>SUM(O123:O124)</f>
        <v>3320342</v>
      </c>
      <c r="P125" s="22"/>
      <c r="Q125" s="21">
        <f>SUM(Q123:Q124)</f>
        <v>52477844.630000003</v>
      </c>
      <c r="R125" s="22"/>
      <c r="S125" s="21">
        <f>SUM(S123:S124)</f>
        <v>82</v>
      </c>
      <c r="U125" s="21">
        <f>SUM(U123:U124)</f>
        <v>3146749.1</v>
      </c>
      <c r="V125" s="21">
        <f>SUM(V123:V124)</f>
        <v>-6789293</v>
      </c>
      <c r="W125" s="21">
        <f>SUM(W123:W124)</f>
        <v>9936042.0999999996</v>
      </c>
      <c r="X125" s="22"/>
      <c r="Y125" s="21">
        <f>SUM(Y123:Y124)</f>
        <v>99421439.540000007</v>
      </c>
      <c r="Z125" s="22"/>
      <c r="AA125" s="21">
        <f>SUM(AA123:AA124)</f>
        <v>151</v>
      </c>
      <c r="AB125" s="16"/>
    </row>
    <row r="126" spans="1:28" x14ac:dyDescent="0.2">
      <c r="C126" t="s">
        <v>13</v>
      </c>
      <c r="E126" s="23">
        <f>IF(E125=0,"",E123/E125)</f>
        <v>0</v>
      </c>
      <c r="F126" s="23" t="str">
        <f>IF(F125=0,"",F123/F125)</f>
        <v/>
      </c>
      <c r="G126" s="23">
        <f>IF(G125=0,"",G123/G125)</f>
        <v>0</v>
      </c>
      <c r="H126" s="22"/>
      <c r="I126" s="23">
        <f>IF(I125=0,"",I123/I125)</f>
        <v>0</v>
      </c>
      <c r="J126" s="22"/>
      <c r="K126" s="23">
        <f>IF(K125=0,"",K123/K125)</f>
        <v>0</v>
      </c>
      <c r="M126" s="23">
        <f>IF(M125=0,"",M123/M125)</f>
        <v>0.29296733715597434</v>
      </c>
      <c r="N126" s="23">
        <f>IF(N125=0,"",N123/N125)</f>
        <v>0.23107187779598692</v>
      </c>
      <c r="O126" s="23">
        <f>IF(O125=0,"",O123/O125)</f>
        <v>0.26586116731348758</v>
      </c>
      <c r="P126" s="22"/>
      <c r="Q126" s="23">
        <f>IF(Q125=0,"",Q123/Q125)</f>
        <v>0.21648971732930716</v>
      </c>
      <c r="R126" s="22"/>
      <c r="S126" s="23">
        <f>IF(S125=0,"",S123/S125)</f>
        <v>0.36585365853658536</v>
      </c>
      <c r="U126" s="23">
        <f>IF(U125=0,"",U123/U125)</f>
        <v>0.26289035881507045</v>
      </c>
      <c r="V126" s="23">
        <f>IF(V125=0,"",V123/V125)</f>
        <v>0.10107827133105023</v>
      </c>
      <c r="W126" s="23">
        <f>IF(W125=0,"",W123/W125)</f>
        <v>0.15232423381136842</v>
      </c>
      <c r="X126" s="22"/>
      <c r="Y126" s="23">
        <f>IF(Y125=0,"",Y123/Y125)</f>
        <v>0.19007257224833379</v>
      </c>
      <c r="Z126" s="22"/>
      <c r="AA126" s="23">
        <f>IF(AA125=0,"",AA123/AA125)</f>
        <v>0.33774834437086093</v>
      </c>
      <c r="AB126" s="16"/>
    </row>
    <row r="127" spans="1:28" x14ac:dyDescent="0.2">
      <c r="E127" s="48"/>
      <c r="F127" s="48"/>
      <c r="G127" s="48"/>
      <c r="H127" s="22"/>
      <c r="I127" s="48"/>
      <c r="J127" s="22"/>
      <c r="K127" s="48"/>
      <c r="M127" s="48"/>
      <c r="N127" s="48"/>
      <c r="O127" s="48"/>
      <c r="P127" s="22"/>
      <c r="Q127" s="48"/>
      <c r="R127" s="22"/>
      <c r="S127" s="48"/>
      <c r="U127" s="48"/>
      <c r="V127" s="48"/>
      <c r="W127" s="48"/>
      <c r="X127" s="22"/>
      <c r="Y127" s="48"/>
      <c r="Z127" s="22"/>
      <c r="AA127" s="48"/>
      <c r="AB127" s="16"/>
    </row>
    <row r="128" spans="1:28" x14ac:dyDescent="0.2">
      <c r="E128" s="48"/>
      <c r="F128" s="48"/>
      <c r="G128" s="48"/>
      <c r="H128" s="22"/>
      <c r="I128" s="48"/>
      <c r="J128" s="22"/>
      <c r="K128" s="48"/>
      <c r="M128" s="48"/>
      <c r="N128" s="48"/>
      <c r="O128" s="48"/>
      <c r="P128" s="22"/>
      <c r="Q128" s="48"/>
      <c r="R128" s="22"/>
      <c r="S128" s="48"/>
      <c r="U128" s="48"/>
      <c r="V128" s="48"/>
      <c r="W128" s="48"/>
      <c r="X128" s="22"/>
      <c r="Y128" s="48"/>
      <c r="Z128" s="22"/>
      <c r="AA128" s="48"/>
      <c r="AB128" s="16"/>
    </row>
    <row r="129" spans="1:28" x14ac:dyDescent="0.2">
      <c r="AB129" s="16"/>
    </row>
    <row r="130" spans="1:28" x14ac:dyDescent="0.2">
      <c r="B130" s="25" t="s">
        <v>105</v>
      </c>
      <c r="E130" s="3"/>
      <c r="F130" s="3"/>
      <c r="G130" s="3"/>
      <c r="I130" s="14"/>
      <c r="K130" s="3"/>
      <c r="M130" s="3"/>
      <c r="N130" s="3"/>
      <c r="O130" s="3"/>
      <c r="Q130" s="14"/>
      <c r="S130" s="3"/>
      <c r="U130" s="3"/>
      <c r="V130" s="3"/>
      <c r="W130" s="3"/>
      <c r="Y130" s="14"/>
      <c r="AA130" s="3"/>
      <c r="AB130" s="16"/>
    </row>
    <row r="131" spans="1:28" x14ac:dyDescent="0.2">
      <c r="A131" s="16" t="s">
        <v>136</v>
      </c>
      <c r="B131" s="25"/>
      <c r="C131" t="s">
        <v>11</v>
      </c>
      <c r="E131" s="29">
        <f>IF(ISNA(ABS(VLOOKUP($A131,VARDATA,E$3,FALSE))),0,ABS(VLOOKUP($A131,VARDATA,E$3,FALSE)))</f>
        <v>10000</v>
      </c>
      <c r="F131" s="37">
        <f>-IF(ISNA(ABS(VLOOKUP($A131,VARDATA,F$3,FALSE))),0,ABS(VLOOKUP($A131,VARDATA,F$3,FALSE)))</f>
        <v>-2500</v>
      </c>
      <c r="G131" s="19">
        <f>ABS(F131)+ABS(E131)</f>
        <v>12500</v>
      </c>
      <c r="H131" s="20"/>
      <c r="I131" s="46">
        <f>IF(ISNA(ABS(VLOOKUP($A131,VARDATA,I$4,FALSE))),0,ABS(VLOOKUP($A131,VARDATA,I$4,FALSE)))+IF(ISNA(ABS(VLOOKUP($A131,VARDATA,I$3,FALSE))),0,ABS(VLOOKUP($A131,VARDATA,I$3,FALSE)))</f>
        <v>1496875</v>
      </c>
      <c r="J131" s="20"/>
      <c r="K131" s="29">
        <f>IF(ISNA(ABS(VLOOKUP($A131,VARDATA,K$3,FALSE))),0,ABS(VLOOKUP($A131,VARDATA,K$3,FALSE)))</f>
        <v>5</v>
      </c>
      <c r="M131" s="29">
        <f>IF(ISNA(ABS(VLOOKUP($A131,VARDATA,M$3,FALSE))),0,ABS(VLOOKUP($A131,VARDATA,M$3,FALSE)))</f>
        <v>52500</v>
      </c>
      <c r="N131" s="37">
        <f>-IF(ISNA(ABS(VLOOKUP($A131,VARDATA,N$3,FALSE))),0,ABS(VLOOKUP($A131,VARDATA,N$3,FALSE)))</f>
        <v>-27500</v>
      </c>
      <c r="O131" s="19">
        <f>ABS(N131)+ABS(M131)</f>
        <v>80000</v>
      </c>
      <c r="P131" s="20"/>
      <c r="Q131" s="46">
        <f>IF(ISNA(ABS(VLOOKUP($A131,VARDATA,Q$4,FALSE))),0,ABS(VLOOKUP($A131,VARDATA,Q$4,FALSE)))+IF(ISNA(ABS(VLOOKUP($A131,VARDATA,Q$3,FALSE))),0,ABS(VLOOKUP($A131,VARDATA,Q$3,FALSE)))</f>
        <v>10379925</v>
      </c>
      <c r="R131" s="20"/>
      <c r="S131" s="29">
        <f>IF(ISNA(ABS(VLOOKUP($A131,VARDATA,S$3,FALSE))),0,ABS(VLOOKUP($A131,VARDATA,S$3,FALSE)))</f>
        <v>32</v>
      </c>
      <c r="U131" s="29">
        <f>IF(ISNA(ABS(VLOOKUP($A131,VARDATA,U$3,FALSE))),0,ABS(VLOOKUP($A131,VARDATA,U$3,FALSE)))</f>
        <v>52500</v>
      </c>
      <c r="V131" s="37">
        <f>-IF(ISNA(ABS(VLOOKUP($A131,VARDATA,V$3,FALSE))),0,ABS(VLOOKUP($A131,VARDATA,V$3,FALSE)))</f>
        <v>-27500</v>
      </c>
      <c r="W131" s="19">
        <f>ABS(V131)+ABS(U131)</f>
        <v>80000</v>
      </c>
      <c r="X131" s="20"/>
      <c r="Y131" s="46">
        <f>IF(ISNA(ABS(VLOOKUP($A131,VARDATA,Y$4,FALSE))),0,ABS(VLOOKUP($A131,VARDATA,Y$4,FALSE)))+IF(ISNA(ABS(VLOOKUP($A131,VARDATA,Y$3,FALSE))),0,ABS(VLOOKUP($A131,VARDATA,Y$3,FALSE)))</f>
        <v>10379925</v>
      </c>
      <c r="Z131" s="20"/>
      <c r="AA131" s="29">
        <f>IF(ISNA(ABS(VLOOKUP($A131,VARDATA,AA$3,FALSE))),0,ABS(VLOOKUP($A131,VARDATA,AA$3,FALSE)))</f>
        <v>32</v>
      </c>
      <c r="AB131" s="16"/>
    </row>
    <row r="132" spans="1:28" x14ac:dyDescent="0.2">
      <c r="A132" s="16" t="s">
        <v>137</v>
      </c>
      <c r="B132" s="25"/>
      <c r="C132" t="s">
        <v>12</v>
      </c>
      <c r="E132" s="29">
        <f>IF(ISNA(ABS(VLOOKUP($A132,VARDATA,E$3,FALSE))),0,ABS(VLOOKUP($A132,VARDATA,E$3,FALSE)))</f>
        <v>52500</v>
      </c>
      <c r="F132" s="37">
        <f>-IF(ISNA(ABS(VLOOKUP($A132,VARDATA,F$3,FALSE))),0,ABS(VLOOKUP($A132,VARDATA,F$3,FALSE)))</f>
        <v>-50000</v>
      </c>
      <c r="G132" s="19">
        <f>ABS(F132)+ABS(E132)</f>
        <v>102500</v>
      </c>
      <c r="H132" s="20"/>
      <c r="I132" s="46">
        <f>IF(ISNA(ABS(VLOOKUP($A132,VARDATA,I$4,FALSE))),0,ABS(VLOOKUP($A132,VARDATA,I$4,FALSE)))+IF(ISNA(ABS(VLOOKUP($A132,VARDATA,I$3,FALSE))),0,ABS(VLOOKUP($A132,VARDATA,I$3,FALSE)))</f>
        <v>12250650</v>
      </c>
      <c r="J132" s="20"/>
      <c r="K132" s="29">
        <f>IF(ISNA(ABS(VLOOKUP($A132,VARDATA,K$3,FALSE))),0,ABS(VLOOKUP($A132,VARDATA,K$3,FALSE)))</f>
        <v>25</v>
      </c>
      <c r="M132" s="29">
        <f>IF(ISNA(ABS(VLOOKUP($A132,VARDATA,M$3,FALSE))),0,ABS(VLOOKUP($A132,VARDATA,M$3,FALSE)))</f>
        <v>320924</v>
      </c>
      <c r="N132" s="37">
        <f>-IF(ISNA(ABS(VLOOKUP($A132,VARDATA,N$3,FALSE))),0,ABS(VLOOKUP($A132,VARDATA,N$3,FALSE)))</f>
        <v>-360500</v>
      </c>
      <c r="O132" s="19">
        <f>ABS(N132)+ABS(M132)</f>
        <v>681424</v>
      </c>
      <c r="P132" s="20"/>
      <c r="Q132" s="46">
        <f>IF(ISNA(ABS(VLOOKUP($A132,VARDATA,Q$4,FALSE))),0,ABS(VLOOKUP($A132,VARDATA,Q$4,FALSE)))+IF(ISNA(ABS(VLOOKUP($A132,VARDATA,Q$3,FALSE))),0,ABS(VLOOKUP($A132,VARDATA,Q$3,FALSE)))</f>
        <v>88718697.5</v>
      </c>
      <c r="R132" s="20"/>
      <c r="S132" s="29">
        <f>IF(ISNA(ABS(VLOOKUP($A132,VARDATA,S$3,FALSE))),0,ABS(VLOOKUP($A132,VARDATA,S$3,FALSE)))</f>
        <v>195</v>
      </c>
      <c r="U132" s="29">
        <f>IF(ISNA(ABS(VLOOKUP($A132,VARDATA,U$3,FALSE))),0,ABS(VLOOKUP($A132,VARDATA,U$3,FALSE)))</f>
        <v>320924</v>
      </c>
      <c r="V132" s="37">
        <f>-IF(ISNA(ABS(VLOOKUP($A132,VARDATA,V$3,FALSE))),0,ABS(VLOOKUP($A132,VARDATA,V$3,FALSE)))</f>
        <v>-360500</v>
      </c>
      <c r="W132" s="19">
        <f>ABS(V132)+ABS(U132)</f>
        <v>681424</v>
      </c>
      <c r="X132" s="20"/>
      <c r="Y132" s="46">
        <f>IF(ISNA(ABS(VLOOKUP($A132,VARDATA,Y$4,FALSE))),0,ABS(VLOOKUP($A132,VARDATA,Y$4,FALSE)))+IF(ISNA(ABS(VLOOKUP($A132,VARDATA,Y$3,FALSE))),0,ABS(VLOOKUP($A132,VARDATA,Y$3,FALSE)))</f>
        <v>88718697.5</v>
      </c>
      <c r="Z132" s="20"/>
      <c r="AA132" s="29">
        <f>IF(ISNA(ABS(VLOOKUP($A132,VARDATA,AA$3,FALSE))),0,ABS(VLOOKUP($A132,VARDATA,AA$3,FALSE)))</f>
        <v>195</v>
      </c>
      <c r="AB132" s="16"/>
    </row>
    <row r="133" spans="1:28" x14ac:dyDescent="0.2">
      <c r="B133" s="25"/>
      <c r="C133" t="s">
        <v>10</v>
      </c>
      <c r="E133" s="21">
        <f>SUM(E131:E132)</f>
        <v>62500</v>
      </c>
      <c r="F133" s="21">
        <f>SUM(F131:F132)</f>
        <v>-52500</v>
      </c>
      <c r="G133" s="21">
        <f>SUM(G131:G132)</f>
        <v>115000</v>
      </c>
      <c r="H133" s="22"/>
      <c r="I133" s="21">
        <f>SUM(I131:I132)</f>
        <v>13747525</v>
      </c>
      <c r="J133" s="22"/>
      <c r="K133" s="21">
        <f>SUM(K131:K132)</f>
        <v>30</v>
      </c>
      <c r="M133" s="21">
        <f>SUM(M131:M132)</f>
        <v>373424</v>
      </c>
      <c r="N133" s="21">
        <f>SUM(N131:N132)</f>
        <v>-388000</v>
      </c>
      <c r="O133" s="21">
        <f>SUM(O131:O132)</f>
        <v>761424</v>
      </c>
      <c r="P133" s="22"/>
      <c r="Q133" s="21">
        <f>SUM(Q131:Q132)</f>
        <v>99098622.5</v>
      </c>
      <c r="R133" s="22"/>
      <c r="S133" s="21">
        <f>SUM(S131:S132)</f>
        <v>227</v>
      </c>
      <c r="U133" s="21">
        <f>SUM(U131:U132)</f>
        <v>373424</v>
      </c>
      <c r="V133" s="21">
        <f>SUM(V131:V132)</f>
        <v>-388000</v>
      </c>
      <c r="W133" s="21">
        <f>SUM(W131:W132)</f>
        <v>761424</v>
      </c>
      <c r="X133" s="22"/>
      <c r="Y133" s="21">
        <f>SUM(Y131:Y132)</f>
        <v>99098622.5</v>
      </c>
      <c r="Z133" s="22"/>
      <c r="AA133" s="21">
        <f>SUM(AA131:AA132)</f>
        <v>227</v>
      </c>
      <c r="AB133" s="16"/>
    </row>
    <row r="134" spans="1:28" x14ac:dyDescent="0.2">
      <c r="C134" t="s">
        <v>13</v>
      </c>
      <c r="E134" s="23">
        <f>IF(E133=0,"",E131/E133)</f>
        <v>0.16</v>
      </c>
      <c r="F134" s="23">
        <f>IF(F133=0,"",F131/F133)</f>
        <v>4.7619047619047616E-2</v>
      </c>
      <c r="G134" s="23">
        <f>IF(G133=0,"",G131/G133)</f>
        <v>0.10869565217391304</v>
      </c>
      <c r="H134" s="22"/>
      <c r="I134" s="23">
        <f>IF(I133=0,"",I131/I133)</f>
        <v>0.10888323534599864</v>
      </c>
      <c r="J134" s="22"/>
      <c r="K134" s="23">
        <f>IF(K133=0,"",K131/K133)</f>
        <v>0.16666666666666666</v>
      </c>
      <c r="M134" s="23">
        <f>IF(M133=0,"",M131/M133)</f>
        <v>0.14059085650627703</v>
      </c>
      <c r="N134" s="23">
        <f>IF(N133=0,"",N131/N133)</f>
        <v>7.0876288659793812E-2</v>
      </c>
      <c r="O134" s="23">
        <f>IF(O133=0,"",O131/O133)</f>
        <v>0.10506629683330182</v>
      </c>
      <c r="P134" s="22"/>
      <c r="Q134" s="23">
        <f>IF(Q133=0,"",Q131/Q133)</f>
        <v>0.10474338328971222</v>
      </c>
      <c r="R134" s="22"/>
      <c r="S134" s="23">
        <f>IF(S133=0,"",S131/S133)</f>
        <v>0.14096916299559473</v>
      </c>
      <c r="U134" s="23">
        <f>IF(U133=0,"",U131/U133)</f>
        <v>0.14059085650627703</v>
      </c>
      <c r="V134" s="23">
        <f>IF(V133=0,"",V131/V133)</f>
        <v>7.0876288659793812E-2</v>
      </c>
      <c r="W134" s="23">
        <f>IF(W133=0,"",W131/W133)</f>
        <v>0.10506629683330182</v>
      </c>
      <c r="X134" s="22"/>
      <c r="Y134" s="23">
        <f>IF(Y133=0,"",Y131/Y133)</f>
        <v>0.10474338328971222</v>
      </c>
      <c r="Z134" s="22"/>
      <c r="AA134" s="23">
        <f>IF(AA133=0,"",AA131/AA133)</f>
        <v>0.14096916299559473</v>
      </c>
      <c r="AB134" s="16"/>
    </row>
    <row r="135" spans="1:28" x14ac:dyDescent="0.2">
      <c r="E135" s="48"/>
      <c r="F135" s="48"/>
      <c r="G135" s="48"/>
      <c r="H135" s="22"/>
      <c r="I135" s="48"/>
      <c r="J135" s="22"/>
      <c r="K135" s="48"/>
      <c r="M135" s="48"/>
      <c r="N135" s="48"/>
      <c r="O135" s="48"/>
      <c r="P135" s="22"/>
      <c r="Q135" s="48"/>
      <c r="R135" s="22"/>
      <c r="S135" s="48"/>
      <c r="U135" s="48"/>
      <c r="V135" s="48"/>
      <c r="W135" s="48"/>
      <c r="X135" s="22"/>
      <c r="Y135" s="48"/>
      <c r="Z135" s="22"/>
      <c r="AA135" s="48"/>
      <c r="AB135" s="16"/>
    </row>
    <row r="136" spans="1:28" x14ac:dyDescent="0.2">
      <c r="E136" s="48"/>
      <c r="F136" s="48"/>
      <c r="G136" s="48"/>
      <c r="H136" s="22"/>
      <c r="I136" s="48"/>
      <c r="J136" s="22"/>
      <c r="K136" s="48"/>
      <c r="M136" s="48"/>
      <c r="N136" s="48"/>
      <c r="O136" s="48"/>
      <c r="P136" s="22"/>
      <c r="Q136" s="48"/>
      <c r="R136" s="22"/>
      <c r="S136" s="48"/>
      <c r="U136" s="48"/>
      <c r="V136" s="48"/>
      <c r="W136" s="48"/>
      <c r="X136" s="22"/>
      <c r="Y136" s="48"/>
      <c r="Z136" s="22"/>
      <c r="AA136" s="48"/>
      <c r="AB136" s="16"/>
    </row>
    <row r="137" spans="1:28" x14ac:dyDescent="0.2">
      <c r="AB137" s="16"/>
    </row>
    <row r="138" spans="1:28" x14ac:dyDescent="0.2">
      <c r="B138" s="25" t="s">
        <v>129</v>
      </c>
      <c r="E138" s="29"/>
      <c r="F138" s="29"/>
      <c r="G138" s="3"/>
      <c r="I138" s="14"/>
      <c r="K138" s="3"/>
      <c r="M138" s="29"/>
      <c r="N138" s="29"/>
      <c r="O138" s="3"/>
      <c r="Q138" s="14"/>
      <c r="S138" s="3"/>
      <c r="U138" s="29"/>
      <c r="V138" s="29"/>
      <c r="W138" s="3"/>
      <c r="Y138" s="14"/>
      <c r="AA138" s="3"/>
      <c r="AB138" s="16"/>
    </row>
    <row r="139" spans="1:28" x14ac:dyDescent="0.2">
      <c r="A139" s="16" t="s">
        <v>117</v>
      </c>
      <c r="B139" s="25"/>
      <c r="C139" t="s">
        <v>11</v>
      </c>
      <c r="E139" s="29">
        <f>IF(ISNA(ABS(VLOOKUP($A139,VARDATA,E$3,FALSE))),0,ABS(VLOOKUP($A139,VARDATA,E$3,FALSE)))</f>
        <v>0</v>
      </c>
      <c r="F139" s="37">
        <f>-IF(ISNA(ABS(VLOOKUP($A139,VARDATA,F$3,FALSE))),0,ABS(VLOOKUP($A139,VARDATA,F$3,FALSE)))</f>
        <v>0</v>
      </c>
      <c r="G139" s="19">
        <f>ABS(F139)+ABS(E139)</f>
        <v>0</v>
      </c>
      <c r="H139" s="20"/>
      <c r="I139" s="46">
        <f>IF(ISNA(ABS(VLOOKUP($A139,VARDATA,I$4,FALSE))),0,ABS(VLOOKUP($A139,VARDATA,I$4,FALSE)))+IF(ISNA(ABS(VLOOKUP($A139,VARDATA,I$3,FALSE))),0,ABS(VLOOKUP($A139,VARDATA,I$3,FALSE)))</f>
        <v>0</v>
      </c>
      <c r="J139" s="20"/>
      <c r="K139" s="29">
        <f>IF(ISNA(ABS(VLOOKUP($A139,VARDATA,K$3,FALSE))),0,ABS(VLOOKUP($A139,VARDATA,K$3,FALSE)))</f>
        <v>0</v>
      </c>
      <c r="M139" s="29">
        <f>IF(ISNA(ABS(VLOOKUP($A139,VARDATA,M$3,FALSE))),0,ABS(VLOOKUP($A139,VARDATA,M$3,FALSE)))</f>
        <v>24000</v>
      </c>
      <c r="N139" s="37">
        <f>-IF(ISNA(ABS(VLOOKUP($A139,VARDATA,N$3,FALSE))),0,ABS(VLOOKUP($A139,VARDATA,N$3,FALSE)))</f>
        <v>-40000</v>
      </c>
      <c r="O139" s="19">
        <f>ABS(N139)+ABS(M139)</f>
        <v>64000</v>
      </c>
      <c r="P139" s="20"/>
      <c r="Q139" s="46">
        <f>IF(ISNA(ABS(VLOOKUP($A139,VARDATA,Q$4,FALSE))),0,ABS(VLOOKUP($A139,VARDATA,Q$4,FALSE)))+IF(ISNA(ABS(VLOOKUP($A139,VARDATA,Q$3,FALSE))),0,ABS(VLOOKUP($A139,VARDATA,Q$3,FALSE)))</f>
        <v>26114850.75</v>
      </c>
      <c r="R139" s="20"/>
      <c r="S139" s="29">
        <f>IF(ISNA(ABS(VLOOKUP($A139,VARDATA,S$3,FALSE))),0,ABS(VLOOKUP($A139,VARDATA,S$3,FALSE)))</f>
        <v>8</v>
      </c>
      <c r="U139" s="29">
        <f>IF(ISNA(ABS(VLOOKUP($A139,VARDATA,U$3,FALSE))),0,ABS(VLOOKUP($A139,VARDATA,U$3,FALSE)))</f>
        <v>24000</v>
      </c>
      <c r="V139" s="37">
        <f>-IF(ISNA(ABS(VLOOKUP($A139,VARDATA,V$3,FALSE))),0,ABS(VLOOKUP($A139,VARDATA,V$3,FALSE)))</f>
        <v>-40000</v>
      </c>
      <c r="W139" s="19">
        <f>ABS(V139)+ABS(U139)</f>
        <v>64000</v>
      </c>
      <c r="X139" s="20"/>
      <c r="Y139" s="46">
        <f>IF(ISNA(ABS(VLOOKUP($A139,VARDATA,Y$4,FALSE))),0,ABS(VLOOKUP($A139,VARDATA,Y$4,FALSE)))+IF(ISNA(ABS(VLOOKUP($A139,VARDATA,Y$3,FALSE))),0,ABS(VLOOKUP($A139,VARDATA,Y$3,FALSE)))</f>
        <v>26114850.75</v>
      </c>
      <c r="Z139" s="20"/>
      <c r="AA139" s="29">
        <f>IF(ISNA(ABS(VLOOKUP($A139,VARDATA,AA$3,FALSE))),0,ABS(VLOOKUP($A139,VARDATA,AA$3,FALSE)))</f>
        <v>8</v>
      </c>
      <c r="AB139" s="16"/>
    </row>
    <row r="140" spans="1:28" x14ac:dyDescent="0.2">
      <c r="A140" s="16" t="s">
        <v>118</v>
      </c>
      <c r="B140" s="25"/>
      <c r="C140" t="s">
        <v>12</v>
      </c>
      <c r="E140" s="29">
        <f>IF(ISNA(ABS(VLOOKUP($A140,VARDATA,E$3,FALSE))),0,ABS(VLOOKUP($A140,VARDATA,E$3,FALSE)))</f>
        <v>41200</v>
      </c>
      <c r="F140" s="37">
        <f>-IF(ISNA(ABS(VLOOKUP($A140,VARDATA,F$3,FALSE))),0,ABS(VLOOKUP($A140,VARDATA,F$3,FALSE)))</f>
        <v>-40000</v>
      </c>
      <c r="G140" s="19">
        <f>ABS(F140)+ABS(E140)</f>
        <v>81200</v>
      </c>
      <c r="H140" s="20"/>
      <c r="I140" s="46">
        <f>IF(ISNA(ABS(VLOOKUP($A140,VARDATA,I$4,FALSE))),0,ABS(VLOOKUP($A140,VARDATA,I$4,FALSE)))+IF(ISNA(ABS(VLOOKUP($A140,VARDATA,I$3,FALSE))),0,ABS(VLOOKUP($A140,VARDATA,I$3,FALSE)))</f>
        <v>61857795.100000001</v>
      </c>
      <c r="J140" s="20"/>
      <c r="K140" s="29">
        <f>IF(ISNA(ABS(VLOOKUP($A140,VARDATA,K$3,FALSE))),0,ABS(VLOOKUP($A140,VARDATA,K$3,FALSE)))</f>
        <v>12</v>
      </c>
      <c r="M140" s="29">
        <f>IF(ISNA(ABS(VLOOKUP($A140,VARDATA,M$3,FALSE))),0,ABS(VLOOKUP($A140,VARDATA,M$3,FALSE)))</f>
        <v>247342.07999999999</v>
      </c>
      <c r="N140" s="37">
        <f>-IF(ISNA(ABS(VLOOKUP($A140,VARDATA,N$3,FALSE))),0,ABS(VLOOKUP($A140,VARDATA,N$3,FALSE)))</f>
        <v>-292644.15999999997</v>
      </c>
      <c r="O140" s="19">
        <f>ABS(N140)+ABS(M140)</f>
        <v>539986.24</v>
      </c>
      <c r="P140" s="20"/>
      <c r="Q140" s="46">
        <f>IF(ISNA(ABS(VLOOKUP($A140,VARDATA,Q$4,FALSE))),0,ABS(VLOOKUP($A140,VARDATA,Q$4,FALSE)))+IF(ISNA(ABS(VLOOKUP($A140,VARDATA,Q$3,FALSE))),0,ABS(VLOOKUP($A140,VARDATA,Q$3,FALSE)))</f>
        <v>265577502.81</v>
      </c>
      <c r="R140" s="20"/>
      <c r="S140" s="29">
        <f>IF(ISNA(ABS(VLOOKUP($A140,VARDATA,S$3,FALSE))),0,ABS(VLOOKUP($A140,VARDATA,S$3,FALSE)))</f>
        <v>63</v>
      </c>
      <c r="U140" s="29">
        <f>IF(ISNA(ABS(VLOOKUP($A140,VARDATA,U$3,FALSE))),0,ABS(VLOOKUP($A140,VARDATA,U$3,FALSE)))</f>
        <v>247342.07999999999</v>
      </c>
      <c r="V140" s="37">
        <f>-IF(ISNA(ABS(VLOOKUP($A140,VARDATA,V$3,FALSE))),0,ABS(VLOOKUP($A140,VARDATA,V$3,FALSE)))</f>
        <v>-292644.15999999997</v>
      </c>
      <c r="W140" s="19">
        <f>ABS(V140)+ABS(U140)</f>
        <v>539986.24</v>
      </c>
      <c r="X140" s="20"/>
      <c r="Y140" s="46">
        <f>IF(ISNA(ABS(VLOOKUP($A140,VARDATA,Y$4,FALSE))),0,ABS(VLOOKUP($A140,VARDATA,Y$4,FALSE)))+IF(ISNA(ABS(VLOOKUP($A140,VARDATA,Y$3,FALSE))),0,ABS(VLOOKUP($A140,VARDATA,Y$3,FALSE)))</f>
        <v>265577502.81</v>
      </c>
      <c r="Z140" s="20"/>
      <c r="AA140" s="29">
        <f>IF(ISNA(ABS(VLOOKUP($A140,VARDATA,AA$3,FALSE))),0,ABS(VLOOKUP($A140,VARDATA,AA$3,FALSE)))</f>
        <v>63</v>
      </c>
      <c r="AB140" s="16"/>
    </row>
    <row r="141" spans="1:28" x14ac:dyDescent="0.2">
      <c r="B141" s="25"/>
      <c r="C141" t="s">
        <v>10</v>
      </c>
      <c r="E141" s="21">
        <f>SUM(E139:E140)</f>
        <v>41200</v>
      </c>
      <c r="F141" s="21">
        <f>SUM(F139:F140)</f>
        <v>-40000</v>
      </c>
      <c r="G141" s="21">
        <f>SUM(G139:G140)</f>
        <v>81200</v>
      </c>
      <c r="H141" s="22"/>
      <c r="I141" s="21">
        <f>SUM(I139:I140)</f>
        <v>61857795.100000001</v>
      </c>
      <c r="J141" s="22"/>
      <c r="K141" s="21">
        <f>SUM(K139:K140)</f>
        <v>12</v>
      </c>
      <c r="M141" s="21">
        <f>SUM(M139:M140)</f>
        <v>271342.07999999996</v>
      </c>
      <c r="N141" s="21">
        <f>SUM(N139:N140)</f>
        <v>-332644.15999999997</v>
      </c>
      <c r="O141" s="21">
        <f>SUM(O139:O140)</f>
        <v>603986.24</v>
      </c>
      <c r="P141" s="22"/>
      <c r="Q141" s="21">
        <f>SUM(Q139:Q140)</f>
        <v>291692353.56</v>
      </c>
      <c r="R141" s="22"/>
      <c r="S141" s="21">
        <f>SUM(S139:S140)</f>
        <v>71</v>
      </c>
      <c r="U141" s="21">
        <f>SUM(U139:U140)</f>
        <v>271342.07999999996</v>
      </c>
      <c r="V141" s="21">
        <f>SUM(V139:V140)</f>
        <v>-332644.15999999997</v>
      </c>
      <c r="W141" s="21">
        <f>SUM(W139:W140)</f>
        <v>603986.24</v>
      </c>
      <c r="X141" s="22"/>
      <c r="Y141" s="21">
        <f>SUM(Y139:Y140)</f>
        <v>291692353.56</v>
      </c>
      <c r="Z141" s="22"/>
      <c r="AA141" s="21">
        <f>SUM(AA139:AA140)</f>
        <v>71</v>
      </c>
      <c r="AB141" s="16"/>
    </row>
    <row r="142" spans="1:28" x14ac:dyDescent="0.2">
      <c r="C142" t="s">
        <v>13</v>
      </c>
      <c r="E142" s="23">
        <f>IF(E141=0,"",E139/E141)</f>
        <v>0</v>
      </c>
      <c r="F142" s="23">
        <f>IF(F141=0,"",F139/F141)</f>
        <v>0</v>
      </c>
      <c r="G142" s="23">
        <f>IF(G141=0,"",G139/G141)</f>
        <v>0</v>
      </c>
      <c r="H142" s="22"/>
      <c r="I142" s="23">
        <f>IF(I141=0,"",I139/I141)</f>
        <v>0</v>
      </c>
      <c r="J142" s="22"/>
      <c r="K142" s="23">
        <f>IF(K141=0,"",K139/K141)</f>
        <v>0</v>
      </c>
      <c r="M142" s="23">
        <f>IF(M141=0,"",M139/M141)</f>
        <v>8.8449237213778287E-2</v>
      </c>
      <c r="N142" s="23">
        <f>IF(N141=0,"",N139/N141)</f>
        <v>0.12024861641941949</v>
      </c>
      <c r="O142" s="23">
        <f>IF(O141=0,"",O139/O141)</f>
        <v>0.10596267888486996</v>
      </c>
      <c r="P142" s="22"/>
      <c r="Q142" s="23">
        <f>IF(Q141=0,"",Q139/Q141)</f>
        <v>8.9528746404482884E-2</v>
      </c>
      <c r="R142" s="22"/>
      <c r="S142" s="23">
        <f>IF(S141=0,"",S139/S141)</f>
        <v>0.11267605633802817</v>
      </c>
      <c r="U142" s="23">
        <f>IF(U141=0,"",U139/U141)</f>
        <v>8.8449237213778287E-2</v>
      </c>
      <c r="V142" s="23">
        <f>IF(V141=0,"",V139/V141)</f>
        <v>0.12024861641941949</v>
      </c>
      <c r="W142" s="23">
        <f>IF(W141=0,"",W139/W141)</f>
        <v>0.10596267888486996</v>
      </c>
      <c r="X142" s="22"/>
      <c r="Y142" s="23">
        <f>IF(Y141=0,"",Y139/Y141)</f>
        <v>8.9528746404482884E-2</v>
      </c>
      <c r="Z142" s="22"/>
      <c r="AA142" s="23">
        <f>IF(AA141=0,"",AA139/AA141)</f>
        <v>0.11267605633802817</v>
      </c>
      <c r="AB142" s="16"/>
    </row>
    <row r="143" spans="1:28" x14ac:dyDescent="0.2">
      <c r="E143" s="48"/>
      <c r="F143" s="48"/>
      <c r="G143" s="48"/>
      <c r="H143" s="22"/>
      <c r="I143" s="48"/>
      <c r="J143" s="22"/>
      <c r="K143" s="48"/>
      <c r="M143" s="48"/>
      <c r="N143" s="48"/>
      <c r="O143" s="48"/>
      <c r="P143" s="22"/>
      <c r="Q143" s="48"/>
      <c r="R143" s="22"/>
      <c r="S143" s="48"/>
      <c r="U143" s="48"/>
      <c r="V143" s="48"/>
      <c r="W143" s="48"/>
      <c r="X143" s="22"/>
      <c r="Y143" s="48"/>
      <c r="Z143" s="22"/>
      <c r="AA143" s="48"/>
      <c r="AB143" s="16"/>
    </row>
    <row r="144" spans="1:28" x14ac:dyDescent="0.2">
      <c r="B144" s="25" t="s">
        <v>131</v>
      </c>
      <c r="E144" s="29"/>
      <c r="F144" s="29"/>
      <c r="G144" s="3"/>
      <c r="I144" s="14"/>
      <c r="K144" s="3"/>
      <c r="M144" s="29"/>
      <c r="N144" s="29"/>
      <c r="O144" s="3"/>
      <c r="Q144" s="14"/>
      <c r="S144" s="3"/>
      <c r="U144" s="29"/>
      <c r="V144" s="29"/>
      <c r="W144" s="3"/>
      <c r="Y144" s="14"/>
      <c r="AA144" s="3"/>
      <c r="AB144" s="16"/>
    </row>
    <row r="145" spans="1:28" x14ac:dyDescent="0.2">
      <c r="A145" s="16" t="s">
        <v>130</v>
      </c>
      <c r="B145" s="25"/>
      <c r="C145" t="s">
        <v>11</v>
      </c>
      <c r="E145" s="29">
        <f>IF(ISNA(ABS(VLOOKUP($A145,VARDATA,E$3,FALSE))),0,ABS(VLOOKUP($A145,VARDATA,E$3,FALSE)))</f>
        <v>0</v>
      </c>
      <c r="F145" s="37">
        <f>-IF(ISNA(ABS(VLOOKUP($A145,VARDATA,F$3,FALSE))),0,ABS(VLOOKUP($A145,VARDATA,F$3,FALSE)))</f>
        <v>0</v>
      </c>
      <c r="G145" s="19">
        <f>ABS(F145)+ABS(E145)</f>
        <v>0</v>
      </c>
      <c r="H145" s="20"/>
      <c r="I145" s="46">
        <f>IF(ISNA(ABS(VLOOKUP($A145,VARDATA,I$4,FALSE))),0,ABS(VLOOKUP($A145,VARDATA,I$4,FALSE)))+IF(ISNA(ABS(VLOOKUP($A145,VARDATA,I$3,FALSE))),0,ABS(VLOOKUP($A145,VARDATA,I$3,FALSE)))</f>
        <v>0</v>
      </c>
      <c r="J145" s="20"/>
      <c r="K145" s="29">
        <f>IF(ISNA(ABS(VLOOKUP($A145,VARDATA,K$3,FALSE))),0,ABS(VLOOKUP($A145,VARDATA,K$3,FALSE)))</f>
        <v>0</v>
      </c>
      <c r="M145" s="29">
        <f>IF(ISNA(ABS(VLOOKUP($A145,VARDATA,M$3,FALSE))),0,ABS(VLOOKUP($A145,VARDATA,M$3,FALSE)))</f>
        <v>0</v>
      </c>
      <c r="N145" s="37">
        <f>-IF(ISNA(ABS(VLOOKUP($A145,VARDATA,N$3,FALSE))),0,ABS(VLOOKUP($A145,VARDATA,N$3,FALSE)))</f>
        <v>0</v>
      </c>
      <c r="O145" s="19">
        <f>ABS(N145)+ABS(M145)</f>
        <v>0</v>
      </c>
      <c r="P145" s="20"/>
      <c r="Q145" s="46">
        <f>IF(ISNA(ABS(VLOOKUP($A145,VARDATA,Q$4,FALSE))),0,ABS(VLOOKUP($A145,VARDATA,Q$4,FALSE)))+IF(ISNA(ABS(VLOOKUP($A145,VARDATA,Q$3,FALSE))),0,ABS(VLOOKUP($A145,VARDATA,Q$3,FALSE)))</f>
        <v>0</v>
      </c>
      <c r="R145" s="20"/>
      <c r="S145" s="29">
        <f>IF(ISNA(ABS(VLOOKUP($A145,VARDATA,S$3,FALSE))),0,ABS(VLOOKUP($A145,VARDATA,S$3,FALSE)))</f>
        <v>0</v>
      </c>
      <c r="U145" s="29">
        <f>IF(ISNA(ABS(VLOOKUP($A145,VARDATA,U$3,FALSE))),0,ABS(VLOOKUP($A145,VARDATA,U$3,FALSE)))</f>
        <v>0</v>
      </c>
      <c r="V145" s="37">
        <f>-IF(ISNA(ABS(VLOOKUP($A145,VARDATA,V$3,FALSE))),0,ABS(VLOOKUP($A145,VARDATA,V$3,FALSE)))</f>
        <v>0</v>
      </c>
      <c r="W145" s="19">
        <f>ABS(V145)+ABS(U145)</f>
        <v>0</v>
      </c>
      <c r="X145" s="20"/>
      <c r="Y145" s="46">
        <f>IF(ISNA(ABS(VLOOKUP($A145,VARDATA,Y$4,FALSE))),0,ABS(VLOOKUP($A145,VARDATA,Y$4,FALSE)))+IF(ISNA(ABS(VLOOKUP($A145,VARDATA,Y$3,FALSE))),0,ABS(VLOOKUP($A145,VARDATA,Y$3,FALSE)))</f>
        <v>0</v>
      </c>
      <c r="Z145" s="20"/>
      <c r="AA145" s="29">
        <f>IF(ISNA(ABS(VLOOKUP($A145,VARDATA,AA$3,FALSE))),0,ABS(VLOOKUP($A145,VARDATA,AA$3,FALSE)))</f>
        <v>0</v>
      </c>
      <c r="AB145" s="16"/>
    </row>
    <row r="146" spans="1:28" x14ac:dyDescent="0.2">
      <c r="A146" s="16" t="s">
        <v>119</v>
      </c>
      <c r="B146" s="25"/>
      <c r="C146" t="s">
        <v>12</v>
      </c>
      <c r="E146" s="29">
        <f>IF(ISNA(ABS(VLOOKUP($A146,VARDATA,E$3,FALSE))),0,ABS(VLOOKUP($A146,VARDATA,E$3,FALSE)))</f>
        <v>0</v>
      </c>
      <c r="F146" s="37">
        <f>-IF(ISNA(ABS(VLOOKUP($A146,VARDATA,F$3,FALSE))),0,ABS(VLOOKUP($A146,VARDATA,F$3,FALSE)))</f>
        <v>0</v>
      </c>
      <c r="G146" s="19">
        <f>ABS(F146)+ABS(E146)</f>
        <v>0</v>
      </c>
      <c r="H146" s="20"/>
      <c r="I146" s="46">
        <f>IF(ISNA(ABS(VLOOKUP($A146,VARDATA,I$4,FALSE))),0,ABS(VLOOKUP($A146,VARDATA,I$4,FALSE)))+IF(ISNA(ABS(VLOOKUP($A146,VARDATA,I$3,FALSE))),0,ABS(VLOOKUP($A146,VARDATA,I$3,FALSE)))</f>
        <v>0</v>
      </c>
      <c r="J146" s="20"/>
      <c r="K146" s="29">
        <f>IF(ISNA(ABS(VLOOKUP($A146,VARDATA,K$3,FALSE))),0,ABS(VLOOKUP($A146,VARDATA,K$3,FALSE)))</f>
        <v>0</v>
      </c>
      <c r="M146" s="29">
        <f>IF(ISNA(ABS(VLOOKUP($A146,VARDATA,M$3,FALSE))),0,ABS(VLOOKUP($A146,VARDATA,M$3,FALSE)))</f>
        <v>200000</v>
      </c>
      <c r="N146" s="37">
        <f>-IF(ISNA(ABS(VLOOKUP($A146,VARDATA,N$3,FALSE))),0,ABS(VLOOKUP($A146,VARDATA,N$3,FALSE)))</f>
        <v>-480000</v>
      </c>
      <c r="O146" s="19">
        <f>ABS(N146)+ABS(M146)</f>
        <v>680000</v>
      </c>
      <c r="P146" s="20"/>
      <c r="Q146" s="46">
        <f>IF(ISNA(ABS(VLOOKUP($A146,VARDATA,Q$4,FALSE))),0,ABS(VLOOKUP($A146,VARDATA,Q$4,FALSE)))+IF(ISNA(ABS(VLOOKUP($A146,VARDATA,Q$3,FALSE))),0,ABS(VLOOKUP($A146,VARDATA,Q$3,FALSE)))</f>
        <v>146180000</v>
      </c>
      <c r="R146" s="20"/>
      <c r="S146" s="29">
        <f>IF(ISNA(ABS(VLOOKUP($A146,VARDATA,S$3,FALSE))),0,ABS(VLOOKUP($A146,VARDATA,S$3,FALSE)))</f>
        <v>10</v>
      </c>
      <c r="U146" s="29">
        <f>IF(ISNA(ABS(VLOOKUP($A146,VARDATA,U$3,FALSE))),0,ABS(VLOOKUP($A146,VARDATA,U$3,FALSE)))</f>
        <v>200000</v>
      </c>
      <c r="V146" s="37">
        <f>-IF(ISNA(ABS(VLOOKUP($A146,VARDATA,V$3,FALSE))),0,ABS(VLOOKUP($A146,VARDATA,V$3,FALSE)))</f>
        <v>-480000</v>
      </c>
      <c r="W146" s="19">
        <f>ABS(V146)+ABS(U146)</f>
        <v>680000</v>
      </c>
      <c r="X146" s="20"/>
      <c r="Y146" s="46">
        <f>IF(ISNA(ABS(VLOOKUP($A146,VARDATA,Y$4,FALSE))),0,ABS(VLOOKUP($A146,VARDATA,Y$4,FALSE)))+IF(ISNA(ABS(VLOOKUP($A146,VARDATA,Y$3,FALSE))),0,ABS(VLOOKUP($A146,VARDATA,Y$3,FALSE)))</f>
        <v>146180000</v>
      </c>
      <c r="Z146" s="20"/>
      <c r="AA146" s="29">
        <f>IF(ISNA(ABS(VLOOKUP($A146,VARDATA,AA$3,FALSE))),0,ABS(VLOOKUP($A146,VARDATA,AA$3,FALSE)))</f>
        <v>10</v>
      </c>
      <c r="AB146" s="16"/>
    </row>
    <row r="147" spans="1:28" x14ac:dyDescent="0.2">
      <c r="B147" s="25"/>
      <c r="C147" t="s">
        <v>10</v>
      </c>
      <c r="E147" s="21">
        <f>SUM(E145:E146)</f>
        <v>0</v>
      </c>
      <c r="F147" s="21">
        <f>SUM(F145:F146)</f>
        <v>0</v>
      </c>
      <c r="G147" s="21">
        <f>SUM(G145:G146)</f>
        <v>0</v>
      </c>
      <c r="H147" s="22"/>
      <c r="I147" s="21">
        <f>SUM(I145:I146)</f>
        <v>0</v>
      </c>
      <c r="J147" s="22"/>
      <c r="K147" s="21">
        <f>SUM(K145:K146)</f>
        <v>0</v>
      </c>
      <c r="M147" s="21">
        <f>SUM(M145:M146)</f>
        <v>200000</v>
      </c>
      <c r="N147" s="21">
        <f>SUM(N145:N146)</f>
        <v>-480000</v>
      </c>
      <c r="O147" s="21">
        <f>SUM(O145:O146)</f>
        <v>680000</v>
      </c>
      <c r="P147" s="22"/>
      <c r="Q147" s="21">
        <f>SUM(Q145:Q146)</f>
        <v>146180000</v>
      </c>
      <c r="R147" s="22"/>
      <c r="S147" s="21">
        <f>SUM(S145:S146)</f>
        <v>10</v>
      </c>
      <c r="U147" s="21">
        <f>SUM(U145:U146)</f>
        <v>200000</v>
      </c>
      <c r="V147" s="21">
        <f>SUM(V145:V146)</f>
        <v>-480000</v>
      </c>
      <c r="W147" s="21">
        <f>SUM(W145:W146)</f>
        <v>680000</v>
      </c>
      <c r="X147" s="22"/>
      <c r="Y147" s="21">
        <f>SUM(Y145:Y146)</f>
        <v>146180000</v>
      </c>
      <c r="Z147" s="22"/>
      <c r="AA147" s="21">
        <f>SUM(AA145:AA146)</f>
        <v>10</v>
      </c>
      <c r="AB147" s="16"/>
    </row>
    <row r="148" spans="1:28" x14ac:dyDescent="0.2">
      <c r="C148" t="s">
        <v>13</v>
      </c>
      <c r="E148" s="23" t="str">
        <f>IF(E147=0,"",E145/E147)</f>
        <v/>
      </c>
      <c r="F148" s="23" t="str">
        <f>IF(F147=0,"",F145/F147)</f>
        <v/>
      </c>
      <c r="G148" s="23" t="str">
        <f>IF(G147=0,"",G145/G147)</f>
        <v/>
      </c>
      <c r="H148" s="22"/>
      <c r="I148" s="23" t="str">
        <f>IF(I147=0,"",I145/I147)</f>
        <v/>
      </c>
      <c r="J148" s="22"/>
      <c r="K148" s="23" t="str">
        <f>IF(K147=0,"",K145/K147)</f>
        <v/>
      </c>
      <c r="M148" s="23">
        <f>IF(M147=0,"",M145/M147)</f>
        <v>0</v>
      </c>
      <c r="N148" s="23">
        <f>IF(N147=0,"",N145/N147)</f>
        <v>0</v>
      </c>
      <c r="O148" s="23">
        <f>IF(O147=0,"",O145/O147)</f>
        <v>0</v>
      </c>
      <c r="P148" s="22"/>
      <c r="Q148" s="23">
        <f>IF(Q147=0,"",Q145/Q147)</f>
        <v>0</v>
      </c>
      <c r="R148" s="22"/>
      <c r="S148" s="23">
        <f>IF(S147=0,"",S145/S147)</f>
        <v>0</v>
      </c>
      <c r="U148" s="23">
        <f>IF(U147=0,"",U145/U147)</f>
        <v>0</v>
      </c>
      <c r="V148" s="23">
        <f>IF(V147=0,"",V145/V147)</f>
        <v>0</v>
      </c>
      <c r="W148" s="23">
        <f>IF(W147=0,"",W145/W147)</f>
        <v>0</v>
      </c>
      <c r="X148" s="22"/>
      <c r="Y148" s="23">
        <f>IF(Y147=0,"",Y145/Y147)</f>
        <v>0</v>
      </c>
      <c r="Z148" s="22"/>
      <c r="AA148" s="23">
        <f>IF(AA147=0,"",AA145/AA147)</f>
        <v>0</v>
      </c>
      <c r="AB148" s="16"/>
    </row>
    <row r="149" spans="1:28" x14ac:dyDescent="0.2">
      <c r="AB149" s="16"/>
    </row>
    <row r="150" spans="1:28" x14ac:dyDescent="0.2">
      <c r="B150" s="25" t="s">
        <v>126</v>
      </c>
      <c r="E150" s="29"/>
      <c r="F150" s="29"/>
      <c r="G150" s="3"/>
      <c r="I150" s="14"/>
      <c r="K150" s="3"/>
      <c r="M150" s="29"/>
      <c r="N150" s="29"/>
      <c r="O150" s="3"/>
      <c r="Q150" s="14"/>
      <c r="S150" s="3"/>
      <c r="U150" s="29"/>
      <c r="V150" s="29"/>
      <c r="W150" s="3"/>
      <c r="Y150" s="14"/>
      <c r="AA150" s="3"/>
      <c r="AB150" s="16"/>
    </row>
    <row r="151" spans="1:28" x14ac:dyDescent="0.2">
      <c r="A151" s="16" t="s">
        <v>128</v>
      </c>
      <c r="B151" s="25"/>
      <c r="C151" t="s">
        <v>11</v>
      </c>
      <c r="E151" s="29">
        <f>IF(ISNA(ABS(VLOOKUP($A151,VARDATA,E$3,FALSE))),0,ABS(VLOOKUP($A151,VARDATA,E$3,FALSE)))</f>
        <v>0</v>
      </c>
      <c r="F151" s="37">
        <f>-IF(ISNA(ABS(VLOOKUP($A151,VARDATA,F$3,FALSE))),0,ABS(VLOOKUP($A151,VARDATA,F$3,FALSE)))</f>
        <v>0</v>
      </c>
      <c r="G151" s="19">
        <f>ABS(F151)+ABS(E151)</f>
        <v>0</v>
      </c>
      <c r="H151" s="20"/>
      <c r="I151" s="46">
        <f>IF(ISNA(ABS(VLOOKUP($A151,VARDATA,I$4,FALSE))),0,ABS(VLOOKUP($A151,VARDATA,I$4,FALSE)))+IF(ISNA(ABS(VLOOKUP($A151,VARDATA,I$3,FALSE))),0,ABS(VLOOKUP($A151,VARDATA,I$3,FALSE)))</f>
        <v>0</v>
      </c>
      <c r="J151" s="20"/>
      <c r="K151" s="29">
        <f>IF(ISNA(ABS(VLOOKUP($A151,VARDATA,K$3,FALSE))),0,ABS(VLOOKUP($A151,VARDATA,K$3,FALSE)))</f>
        <v>0</v>
      </c>
      <c r="M151" s="29">
        <f>IF(ISNA(ABS(VLOOKUP($A151,VARDATA,M$3,FALSE))),0,ABS(VLOOKUP($A151,VARDATA,M$3,FALSE)))</f>
        <v>0</v>
      </c>
      <c r="N151" s="37">
        <f>-IF(ISNA(ABS(VLOOKUP($A151,VARDATA,N$3,FALSE))),0,ABS(VLOOKUP($A151,VARDATA,N$3,FALSE)))</f>
        <v>0</v>
      </c>
      <c r="O151" s="19">
        <f>ABS(N151)+ABS(M151)</f>
        <v>0</v>
      </c>
      <c r="P151" s="20"/>
      <c r="Q151" s="46">
        <f>IF(ISNA(ABS(VLOOKUP($A151,VARDATA,Q$4,FALSE))),0,ABS(VLOOKUP($A151,VARDATA,Q$4,FALSE)))+IF(ISNA(ABS(VLOOKUP($A151,VARDATA,Q$3,FALSE))),0,ABS(VLOOKUP($A151,VARDATA,Q$3,FALSE)))</f>
        <v>0</v>
      </c>
      <c r="R151" s="20"/>
      <c r="S151" s="29">
        <f>IF(ISNA(ABS(VLOOKUP($A151,VARDATA,S$3,FALSE))),0,ABS(VLOOKUP($A151,VARDATA,S$3,FALSE)))</f>
        <v>0</v>
      </c>
      <c r="U151" s="29">
        <f>IF(ISNA(ABS(VLOOKUP($A151,VARDATA,U$3,FALSE))),0,ABS(VLOOKUP($A151,VARDATA,U$3,FALSE)))</f>
        <v>0</v>
      </c>
      <c r="V151" s="37">
        <f>-IF(ISNA(ABS(VLOOKUP($A151,VARDATA,V$3,FALSE))),0,ABS(VLOOKUP($A151,VARDATA,V$3,FALSE)))</f>
        <v>0</v>
      </c>
      <c r="W151" s="19">
        <f>ABS(V151)+ABS(U151)</f>
        <v>0</v>
      </c>
      <c r="X151" s="20"/>
      <c r="Y151" s="46">
        <f>IF(ISNA(ABS(VLOOKUP($A151,VARDATA,Y$4,FALSE))),0,ABS(VLOOKUP($A151,VARDATA,Y$4,FALSE)))+IF(ISNA(ABS(VLOOKUP($A151,VARDATA,Y$3,FALSE))),0,ABS(VLOOKUP($A151,VARDATA,Y$3,FALSE)))</f>
        <v>0</v>
      </c>
      <c r="Z151" s="20"/>
      <c r="AA151" s="29">
        <f>IF(ISNA(ABS(VLOOKUP($A151,VARDATA,AA$3,FALSE))),0,ABS(VLOOKUP($A151,VARDATA,AA$3,FALSE)))</f>
        <v>0</v>
      </c>
      <c r="AB151" s="16"/>
    </row>
    <row r="152" spans="1:28" x14ac:dyDescent="0.2">
      <c r="A152" s="16" t="s">
        <v>114</v>
      </c>
      <c r="B152" s="25"/>
      <c r="C152" t="s">
        <v>12</v>
      </c>
      <c r="E152" s="29">
        <f>IF(ISNA(ABS(VLOOKUP($A152,VARDATA,E$3,FALSE))),0,ABS(VLOOKUP($A152,VARDATA,E$3,FALSE)))</f>
        <v>96883</v>
      </c>
      <c r="F152" s="37">
        <f>-IF(ISNA(ABS(VLOOKUP($A152,VARDATA,F$3,FALSE))),0,ABS(VLOOKUP($A152,VARDATA,F$3,FALSE)))</f>
        <v>-12500</v>
      </c>
      <c r="G152" s="19">
        <f>ABS(F152)+ABS(E152)</f>
        <v>109383</v>
      </c>
      <c r="H152" s="20"/>
      <c r="I152" s="46">
        <f>IF(ISNA(ABS(VLOOKUP($A152,VARDATA,I$4,FALSE))),0,ABS(VLOOKUP($A152,VARDATA,I$4,FALSE)))+IF(ISNA(ABS(VLOOKUP($A152,VARDATA,I$3,FALSE))),0,ABS(VLOOKUP($A152,VARDATA,I$3,FALSE)))</f>
        <v>2283669.1399999997</v>
      </c>
      <c r="J152" s="20"/>
      <c r="K152" s="29">
        <f>IF(ISNA(ABS(VLOOKUP($A152,VARDATA,K$3,FALSE))),0,ABS(VLOOKUP($A152,VARDATA,K$3,FALSE)))</f>
        <v>6</v>
      </c>
      <c r="M152" s="29">
        <f>IF(ISNA(ABS(VLOOKUP($A152,VARDATA,M$3,FALSE))),0,ABS(VLOOKUP($A152,VARDATA,M$3,FALSE)))</f>
        <v>1426750</v>
      </c>
      <c r="N152" s="37">
        <f>-IF(ISNA(ABS(VLOOKUP($A152,VARDATA,N$3,FALSE))),0,ABS(VLOOKUP($A152,VARDATA,N$3,FALSE)))</f>
        <v>-1025150</v>
      </c>
      <c r="O152" s="19">
        <f>ABS(N152)+ABS(M152)</f>
        <v>2451900</v>
      </c>
      <c r="P152" s="20"/>
      <c r="Q152" s="46">
        <f>IF(ISNA(ABS(VLOOKUP($A152,VARDATA,Q$4,FALSE))),0,ABS(VLOOKUP($A152,VARDATA,Q$4,FALSE)))+IF(ISNA(ABS(VLOOKUP($A152,VARDATA,Q$3,FALSE))),0,ABS(VLOOKUP($A152,VARDATA,Q$3,FALSE)))</f>
        <v>202773659.42000002</v>
      </c>
      <c r="R152" s="20"/>
      <c r="S152" s="29">
        <f>IF(ISNA(ABS(VLOOKUP($A152,VARDATA,S$3,FALSE))),0,ABS(VLOOKUP($A152,VARDATA,S$3,FALSE)))</f>
        <v>103</v>
      </c>
      <c r="U152" s="29">
        <f>IF(ISNA(ABS(VLOOKUP($A152,VARDATA,U$3,FALSE))),0,ABS(VLOOKUP($A152,VARDATA,U$3,FALSE)))</f>
        <v>1426750</v>
      </c>
      <c r="V152" s="37">
        <f>-IF(ISNA(ABS(VLOOKUP($A152,VARDATA,V$3,FALSE))),0,ABS(VLOOKUP($A152,VARDATA,V$3,FALSE)))</f>
        <v>-1025150</v>
      </c>
      <c r="W152" s="19">
        <f>ABS(V152)+ABS(U152)</f>
        <v>2451900</v>
      </c>
      <c r="X152" s="20"/>
      <c r="Y152" s="46">
        <f>IF(ISNA(ABS(VLOOKUP($A152,VARDATA,Y$4,FALSE))),0,ABS(VLOOKUP($A152,VARDATA,Y$4,FALSE)))+IF(ISNA(ABS(VLOOKUP($A152,VARDATA,Y$3,FALSE))),0,ABS(VLOOKUP($A152,VARDATA,Y$3,FALSE)))</f>
        <v>202773659.42000002</v>
      </c>
      <c r="Z152" s="20"/>
      <c r="AA152" s="29">
        <f>IF(ISNA(ABS(VLOOKUP($A152,VARDATA,AA$3,FALSE))),0,ABS(VLOOKUP($A152,VARDATA,AA$3,FALSE)))</f>
        <v>103</v>
      </c>
      <c r="AB152" s="16"/>
    </row>
    <row r="153" spans="1:28" x14ac:dyDescent="0.2">
      <c r="B153" s="25"/>
      <c r="C153" t="s">
        <v>10</v>
      </c>
      <c r="E153" s="21">
        <f>SUM(E151:E152)</f>
        <v>96883</v>
      </c>
      <c r="F153" s="21">
        <f>SUM(F151:F152)</f>
        <v>-12500</v>
      </c>
      <c r="G153" s="21">
        <f>SUM(G151:G152)</f>
        <v>109383</v>
      </c>
      <c r="H153" s="22"/>
      <c r="I153" s="21">
        <f>SUM(I151:I152)</f>
        <v>2283669.1399999997</v>
      </c>
      <c r="J153" s="22"/>
      <c r="K153" s="21">
        <f>SUM(K151:K152)</f>
        <v>6</v>
      </c>
      <c r="M153" s="21">
        <f>SUM(M151:M152)</f>
        <v>1426750</v>
      </c>
      <c r="N153" s="21">
        <f>SUM(N151:N152)</f>
        <v>-1025150</v>
      </c>
      <c r="O153" s="21">
        <f>SUM(O151:O152)</f>
        <v>2451900</v>
      </c>
      <c r="P153" s="22"/>
      <c r="Q153" s="21">
        <f>SUM(Q151:Q152)</f>
        <v>202773659.42000002</v>
      </c>
      <c r="R153" s="22"/>
      <c r="S153" s="21">
        <f>SUM(S151:S152)</f>
        <v>103</v>
      </c>
      <c r="U153" s="21">
        <f>SUM(U151:U152)</f>
        <v>1426750</v>
      </c>
      <c r="V153" s="21">
        <f>SUM(V151:V152)</f>
        <v>-1025150</v>
      </c>
      <c r="W153" s="21">
        <f>SUM(W151:W152)</f>
        <v>2451900</v>
      </c>
      <c r="X153" s="22"/>
      <c r="Y153" s="21">
        <f>SUM(Y151:Y152)</f>
        <v>202773659.42000002</v>
      </c>
      <c r="Z153" s="22"/>
      <c r="AA153" s="21">
        <f>SUM(AA151:AA152)</f>
        <v>103</v>
      </c>
      <c r="AB153" s="16"/>
    </row>
    <row r="154" spans="1:28" x14ac:dyDescent="0.2">
      <c r="C154" t="s">
        <v>13</v>
      </c>
      <c r="E154" s="23">
        <f>IF(E153=0,"",E151/E153)</f>
        <v>0</v>
      </c>
      <c r="F154" s="23">
        <f>IF(F153=0,"",F151/F153)</f>
        <v>0</v>
      </c>
      <c r="G154" s="23">
        <f>IF(G153=0,"",G151/G153)</f>
        <v>0</v>
      </c>
      <c r="H154" s="22"/>
      <c r="I154" s="23">
        <f>IF(I153=0,"",I151/I153)</f>
        <v>0</v>
      </c>
      <c r="J154" s="22"/>
      <c r="K154" s="23">
        <f>IF(K153=0,"",K151/K153)</f>
        <v>0</v>
      </c>
      <c r="M154" s="23">
        <f>IF(M153=0,"",M151/M153)</f>
        <v>0</v>
      </c>
      <c r="N154" s="23">
        <f>IF(N153=0,"",N151/N153)</f>
        <v>0</v>
      </c>
      <c r="O154" s="23">
        <f>IF(O153=0,"",O151/O153)</f>
        <v>0</v>
      </c>
      <c r="P154" s="22"/>
      <c r="Q154" s="23">
        <f>IF(Q153=0,"",Q151/Q153)</f>
        <v>0</v>
      </c>
      <c r="R154" s="22"/>
      <c r="S154" s="23">
        <f>IF(S153=0,"",S151/S153)</f>
        <v>0</v>
      </c>
      <c r="U154" s="23">
        <f>IF(U153=0,"",U151/U153)</f>
        <v>0</v>
      </c>
      <c r="V154" s="23">
        <f>IF(V153=0,"",V151/V153)</f>
        <v>0</v>
      </c>
      <c r="W154" s="23">
        <f>IF(W153=0,"",W151/W153)</f>
        <v>0</v>
      </c>
      <c r="X154" s="22"/>
      <c r="Y154" s="23">
        <f>IF(Y153=0,"",Y151/Y153)</f>
        <v>0</v>
      </c>
      <c r="Z154" s="22"/>
      <c r="AA154" s="23">
        <f>IF(AA153=0,"",AA151/AA153)</f>
        <v>0</v>
      </c>
      <c r="AB154" s="16"/>
    </row>
    <row r="155" spans="1:28" x14ac:dyDescent="0.2">
      <c r="AB155" s="16"/>
    </row>
    <row r="156" spans="1:28" x14ac:dyDescent="0.2">
      <c r="B156" s="25" t="s">
        <v>127</v>
      </c>
      <c r="E156" s="29"/>
      <c r="F156" s="29"/>
      <c r="G156" s="3"/>
      <c r="I156" s="14"/>
      <c r="K156" s="3"/>
      <c r="M156" s="29"/>
      <c r="N156" s="29"/>
      <c r="O156" s="3"/>
      <c r="Q156" s="14"/>
      <c r="S156" s="3"/>
      <c r="U156" s="29"/>
      <c r="V156" s="29"/>
      <c r="W156" s="3"/>
      <c r="Y156" s="14"/>
      <c r="AA156" s="3"/>
      <c r="AB156" s="16"/>
    </row>
    <row r="157" spans="1:28" x14ac:dyDescent="0.2">
      <c r="A157" s="16" t="s">
        <v>115</v>
      </c>
      <c r="B157" s="25"/>
      <c r="C157" t="s">
        <v>11</v>
      </c>
      <c r="E157" s="29">
        <f>IF(ISNA(ABS(VLOOKUP($A157,VARDATA,E$3,FALSE))),0,ABS(VLOOKUP($A157,VARDATA,E$3,FALSE)))</f>
        <v>32000</v>
      </c>
      <c r="F157" s="37">
        <f>-IF(ISNA(ABS(VLOOKUP($A157,VARDATA,F$3,FALSE))),0,ABS(VLOOKUP($A157,VARDATA,F$3,FALSE)))</f>
        <v>-24000</v>
      </c>
      <c r="G157" s="19">
        <f>ABS(F157)+ABS(E157)</f>
        <v>56000</v>
      </c>
      <c r="H157" s="20"/>
      <c r="I157" s="46">
        <f>IF(ISNA(ABS(VLOOKUP($A157,VARDATA,I$4,FALSE))),0,ABS(VLOOKUP($A157,VARDATA,I$4,FALSE)))+IF(ISNA(ABS(VLOOKUP($A157,VARDATA,I$3,FALSE))),0,ABS(VLOOKUP($A157,VARDATA,I$3,FALSE)))</f>
        <v>16280000</v>
      </c>
      <c r="J157" s="20"/>
      <c r="K157" s="29">
        <f>IF(ISNA(ABS(VLOOKUP($A157,VARDATA,K$3,FALSE))),0,ABS(VLOOKUP($A157,VARDATA,K$3,FALSE)))</f>
        <v>5</v>
      </c>
      <c r="M157" s="29">
        <f>IF(ISNA(ABS(VLOOKUP($A157,VARDATA,M$3,FALSE))),0,ABS(VLOOKUP($A157,VARDATA,M$3,FALSE)))</f>
        <v>32000</v>
      </c>
      <c r="N157" s="37">
        <f>-IF(ISNA(ABS(VLOOKUP($A157,VARDATA,N$3,FALSE))),0,ABS(VLOOKUP($A157,VARDATA,N$3,FALSE)))</f>
        <v>-184000</v>
      </c>
      <c r="O157" s="19">
        <f>ABS(N157)+ABS(M157)</f>
        <v>216000</v>
      </c>
      <c r="P157" s="20"/>
      <c r="Q157" s="46">
        <f>IF(ISNA(ABS(VLOOKUP($A157,VARDATA,Q$4,FALSE))),0,ABS(VLOOKUP($A157,VARDATA,Q$4,FALSE)))+IF(ISNA(ABS(VLOOKUP($A157,VARDATA,Q$3,FALSE))),0,ABS(VLOOKUP($A157,VARDATA,Q$3,FALSE)))</f>
        <v>55700000</v>
      </c>
      <c r="R157" s="20"/>
      <c r="S157" s="29">
        <f>IF(ISNA(ABS(VLOOKUP($A157,VARDATA,S$3,FALSE))),0,ABS(VLOOKUP($A157,VARDATA,S$3,FALSE)))</f>
        <v>16</v>
      </c>
      <c r="U157" s="29">
        <f>IF(ISNA(ABS(VLOOKUP($A157,VARDATA,U$3,FALSE))),0,ABS(VLOOKUP($A157,VARDATA,U$3,FALSE)))</f>
        <v>32000</v>
      </c>
      <c r="V157" s="37">
        <f>-IF(ISNA(ABS(VLOOKUP($A157,VARDATA,V$3,FALSE))),0,ABS(VLOOKUP($A157,VARDATA,V$3,FALSE)))</f>
        <v>-184000</v>
      </c>
      <c r="W157" s="19">
        <f>ABS(V157)+ABS(U157)</f>
        <v>216000</v>
      </c>
      <c r="X157" s="20"/>
      <c r="Y157" s="46">
        <f>IF(ISNA(ABS(VLOOKUP($A157,VARDATA,Y$4,FALSE))),0,ABS(VLOOKUP($A157,VARDATA,Y$4,FALSE)))+IF(ISNA(ABS(VLOOKUP($A157,VARDATA,Y$3,FALSE))),0,ABS(VLOOKUP($A157,VARDATA,Y$3,FALSE)))</f>
        <v>55700000</v>
      </c>
      <c r="Z157" s="20"/>
      <c r="AA157" s="29">
        <f>IF(ISNA(ABS(VLOOKUP($A157,VARDATA,AA$3,FALSE))),0,ABS(VLOOKUP($A157,VARDATA,AA$3,FALSE)))</f>
        <v>16</v>
      </c>
      <c r="AB157" s="16"/>
    </row>
    <row r="158" spans="1:28" x14ac:dyDescent="0.2">
      <c r="A158" s="16" t="s">
        <v>116</v>
      </c>
      <c r="B158" s="25"/>
      <c r="C158" t="s">
        <v>12</v>
      </c>
      <c r="E158" s="29">
        <f>IF(ISNA(ABS(VLOOKUP($A158,VARDATA,E$3,FALSE))),0,ABS(VLOOKUP($A158,VARDATA,E$3,FALSE)))</f>
        <v>24000</v>
      </c>
      <c r="F158" s="37">
        <f>-IF(ISNA(ABS(VLOOKUP($A158,VARDATA,F$3,FALSE))),0,ABS(VLOOKUP($A158,VARDATA,F$3,FALSE)))</f>
        <v>-56000</v>
      </c>
      <c r="G158" s="19">
        <f>ABS(F158)+ABS(E158)</f>
        <v>80000</v>
      </c>
      <c r="H158" s="20"/>
      <c r="I158" s="46">
        <f>IF(ISNA(ABS(VLOOKUP($A158,VARDATA,I$4,FALSE))),0,ABS(VLOOKUP($A158,VARDATA,I$4,FALSE)))+IF(ISNA(ABS(VLOOKUP($A158,VARDATA,I$3,FALSE))),0,ABS(VLOOKUP($A158,VARDATA,I$3,FALSE)))</f>
        <v>20072727.18</v>
      </c>
      <c r="J158" s="20"/>
      <c r="K158" s="29">
        <f>IF(ISNA(ABS(VLOOKUP($A158,VARDATA,K$3,FALSE))),0,ABS(VLOOKUP($A158,VARDATA,K$3,FALSE)))</f>
        <v>5</v>
      </c>
      <c r="M158" s="29">
        <f>IF(ISNA(ABS(VLOOKUP($A158,VARDATA,M$3,FALSE))),0,ABS(VLOOKUP($A158,VARDATA,M$3,FALSE)))</f>
        <v>1921500</v>
      </c>
      <c r="N158" s="37">
        <f>-IF(ISNA(ABS(VLOOKUP($A158,VARDATA,N$3,FALSE))),0,ABS(VLOOKUP($A158,VARDATA,N$3,FALSE)))</f>
        <v>-1484952.37</v>
      </c>
      <c r="O158" s="19">
        <f>ABS(N158)+ABS(M158)</f>
        <v>3406452.37</v>
      </c>
      <c r="P158" s="20"/>
      <c r="Q158" s="46">
        <f>IF(ISNA(ABS(VLOOKUP($A158,VARDATA,Q$4,FALSE))),0,ABS(VLOOKUP($A158,VARDATA,Q$4,FALSE)))+IF(ISNA(ABS(VLOOKUP($A158,VARDATA,Q$3,FALSE))),0,ABS(VLOOKUP($A158,VARDATA,Q$3,FALSE)))</f>
        <v>488573078.13</v>
      </c>
      <c r="R158" s="20"/>
      <c r="S158" s="29">
        <f>IF(ISNA(ABS(VLOOKUP($A158,VARDATA,S$3,FALSE))),0,ABS(VLOOKUP($A158,VARDATA,S$3,FALSE)))</f>
        <v>133</v>
      </c>
      <c r="U158" s="29">
        <f>IF(ISNA(ABS(VLOOKUP($A158,VARDATA,U$3,FALSE))),0,ABS(VLOOKUP($A158,VARDATA,U$3,FALSE)))</f>
        <v>1921500</v>
      </c>
      <c r="V158" s="37">
        <f>-IF(ISNA(ABS(VLOOKUP($A158,VARDATA,V$3,FALSE))),0,ABS(VLOOKUP($A158,VARDATA,V$3,FALSE)))</f>
        <v>-1484952.37</v>
      </c>
      <c r="W158" s="19">
        <f>ABS(V158)+ABS(U158)</f>
        <v>3406452.37</v>
      </c>
      <c r="X158" s="20"/>
      <c r="Y158" s="46">
        <f>IF(ISNA(ABS(VLOOKUP($A158,VARDATA,Y$4,FALSE))),0,ABS(VLOOKUP($A158,VARDATA,Y$4,FALSE)))+IF(ISNA(ABS(VLOOKUP($A158,VARDATA,Y$3,FALSE))),0,ABS(VLOOKUP($A158,VARDATA,Y$3,FALSE)))</f>
        <v>488573078.13</v>
      </c>
      <c r="Z158" s="20"/>
      <c r="AA158" s="29">
        <f>IF(ISNA(ABS(VLOOKUP($A158,VARDATA,AA$3,FALSE))),0,ABS(VLOOKUP($A158,VARDATA,AA$3,FALSE)))</f>
        <v>133</v>
      </c>
      <c r="AB158" s="16"/>
    </row>
    <row r="159" spans="1:28" x14ac:dyDescent="0.2">
      <c r="B159" s="25"/>
      <c r="C159" t="s">
        <v>10</v>
      </c>
      <c r="E159" s="21">
        <f>SUM(E157:E158)</f>
        <v>56000</v>
      </c>
      <c r="F159" s="21">
        <f>SUM(F157:F158)</f>
        <v>-80000</v>
      </c>
      <c r="G159" s="21">
        <f>SUM(G157:G158)</f>
        <v>136000</v>
      </c>
      <c r="H159" s="22"/>
      <c r="I159" s="21">
        <f>SUM(I157:I158)</f>
        <v>36352727.18</v>
      </c>
      <c r="J159" s="22"/>
      <c r="K159" s="21">
        <f>SUM(K157:K158)</f>
        <v>10</v>
      </c>
      <c r="M159" s="21">
        <f>SUM(M157:M158)</f>
        <v>1953500</v>
      </c>
      <c r="N159" s="21">
        <f>SUM(N157:N158)</f>
        <v>-1668952.37</v>
      </c>
      <c r="O159" s="21">
        <f>SUM(O157:O158)</f>
        <v>3622452.37</v>
      </c>
      <c r="P159" s="22"/>
      <c r="Q159" s="21">
        <f>SUM(Q157:Q158)</f>
        <v>544273078.13</v>
      </c>
      <c r="R159" s="22"/>
      <c r="S159" s="21">
        <f>SUM(S157:S158)</f>
        <v>149</v>
      </c>
      <c r="U159" s="21">
        <f>SUM(U157:U158)</f>
        <v>1953500</v>
      </c>
      <c r="V159" s="21">
        <f>SUM(V157:V158)</f>
        <v>-1668952.37</v>
      </c>
      <c r="W159" s="21">
        <f>SUM(W157:W158)</f>
        <v>3622452.37</v>
      </c>
      <c r="X159" s="22"/>
      <c r="Y159" s="21">
        <f>SUM(Y157:Y158)</f>
        <v>544273078.13</v>
      </c>
      <c r="Z159" s="22"/>
      <c r="AA159" s="21">
        <f>SUM(AA157:AA158)</f>
        <v>149</v>
      </c>
      <c r="AB159" s="16"/>
    </row>
    <row r="160" spans="1:28" x14ac:dyDescent="0.2">
      <c r="C160" t="s">
        <v>13</v>
      </c>
      <c r="E160" s="23">
        <f>IF(E159=0,"",E157/E159)</f>
        <v>0.5714285714285714</v>
      </c>
      <c r="F160" s="23">
        <f>IF(F159=0,"",F157/F159)</f>
        <v>0.3</v>
      </c>
      <c r="G160" s="23">
        <f>IF(G159=0,"",G157/G159)</f>
        <v>0.41176470588235292</v>
      </c>
      <c r="H160" s="22"/>
      <c r="I160" s="23">
        <f>IF(I159=0,"",I157/I159)</f>
        <v>0.44783435144741185</v>
      </c>
      <c r="J160" s="22"/>
      <c r="K160" s="23">
        <f>IF(K159=0,"",K157/K159)</f>
        <v>0.5</v>
      </c>
      <c r="M160" s="23">
        <f>IF(M159=0,"",M157/M159)</f>
        <v>1.6380854875863833E-2</v>
      </c>
      <c r="N160" s="23">
        <f>IF(N159=0,"",N157/N159)</f>
        <v>0.11024880236696029</v>
      </c>
      <c r="O160" s="23">
        <f>IF(O159=0,"",O157/O159)</f>
        <v>5.9628113205529874E-2</v>
      </c>
      <c r="P160" s="22"/>
      <c r="Q160" s="23">
        <f>IF(Q159=0,"",Q157/Q159)</f>
        <v>0.10233833389550093</v>
      </c>
      <c r="R160" s="22"/>
      <c r="S160" s="23">
        <f>IF(S159=0,"",S157/S159)</f>
        <v>0.10738255033557047</v>
      </c>
      <c r="U160" s="23">
        <f>IF(U159=0,"",U157/U159)</f>
        <v>1.6380854875863833E-2</v>
      </c>
      <c r="V160" s="23">
        <f>IF(V159=0,"",V157/V159)</f>
        <v>0.11024880236696029</v>
      </c>
      <c r="W160" s="23">
        <f>IF(W159=0,"",W157/W159)</f>
        <v>5.9628113205529874E-2</v>
      </c>
      <c r="X160" s="22"/>
      <c r="Y160" s="23">
        <f>IF(Y159=0,"",Y157/Y159)</f>
        <v>0.10233833389550093</v>
      </c>
      <c r="Z160" s="22"/>
      <c r="AA160" s="23">
        <f>IF(AA159=0,"",AA157/AA159)</f>
        <v>0.10738255033557047</v>
      </c>
      <c r="AB160" s="16"/>
    </row>
    <row r="161" spans="1:28" x14ac:dyDescent="0.2">
      <c r="AB161" s="16"/>
    </row>
    <row r="162" spans="1:28" x14ac:dyDescent="0.2">
      <c r="B162" s="25" t="s">
        <v>175</v>
      </c>
      <c r="E162" s="29"/>
      <c r="F162" s="29"/>
      <c r="G162" s="3"/>
      <c r="I162" s="14"/>
      <c r="K162" s="3"/>
      <c r="M162" s="29"/>
      <c r="N162" s="29"/>
      <c r="O162" s="3"/>
      <c r="Q162" s="14"/>
      <c r="S162" s="3"/>
      <c r="U162" s="29"/>
      <c r="V162" s="29"/>
      <c r="W162" s="3"/>
      <c r="Y162" s="14"/>
      <c r="AA162" s="3"/>
      <c r="AB162" s="16"/>
    </row>
    <row r="163" spans="1:28" x14ac:dyDescent="0.2">
      <c r="A163" s="16" t="s">
        <v>176</v>
      </c>
      <c r="B163" s="25"/>
      <c r="C163" t="s">
        <v>11</v>
      </c>
      <c r="E163" s="29">
        <f>IF(ISNA(ABS(VLOOKUP($A163,VARDATA,E$3,FALSE))),0,ABS(VLOOKUP($A163,VARDATA,E$3,FALSE)))</f>
        <v>0</v>
      </c>
      <c r="F163" s="37">
        <f>-IF(ISNA(ABS(VLOOKUP($A163,VARDATA,F$3,FALSE))),0,ABS(VLOOKUP($A163,VARDATA,F$3,FALSE)))</f>
        <v>0</v>
      </c>
      <c r="G163" s="19">
        <f>ABS(F163)+ABS(E163)</f>
        <v>0</v>
      </c>
      <c r="H163" s="20"/>
      <c r="I163" s="46">
        <f>IF(ISNA(ABS(VLOOKUP($A163,VARDATA,I$4,FALSE))),0,ABS(VLOOKUP($A163,VARDATA,I$4,FALSE)))+IF(ISNA(ABS(VLOOKUP($A163,VARDATA,I$3,FALSE))),0,ABS(VLOOKUP($A163,VARDATA,I$3,FALSE)))</f>
        <v>0</v>
      </c>
      <c r="J163" s="20"/>
      <c r="K163" s="29">
        <f>IF(ISNA(ABS(VLOOKUP($A163,VARDATA,K$3,FALSE))),0,ABS(VLOOKUP($A163,VARDATA,K$3,FALSE)))</f>
        <v>0</v>
      </c>
      <c r="M163" s="29">
        <f>IF(ISNA(ABS(VLOOKUP($A163,VARDATA,M$3,FALSE))),0,ABS(VLOOKUP($A163,VARDATA,M$3,FALSE)))</f>
        <v>539999.99</v>
      </c>
      <c r="N163" s="37">
        <f>-IF(ISNA(ABS(VLOOKUP($A163,VARDATA,N$3,FALSE))),0,ABS(VLOOKUP($A163,VARDATA,N$3,FALSE)))</f>
        <v>-1170000</v>
      </c>
      <c r="O163" s="19">
        <f>ABS(N163)+ABS(M163)</f>
        <v>1709999.99</v>
      </c>
      <c r="P163" s="20"/>
      <c r="Q163" s="46">
        <f>IF(ISNA(ABS(VLOOKUP($A163,VARDATA,Q$4,FALSE))),0,ABS(VLOOKUP($A163,VARDATA,Q$4,FALSE)))+IF(ISNA(ABS(VLOOKUP($A163,VARDATA,Q$3,FALSE))),0,ABS(VLOOKUP($A163,VARDATA,Q$3,FALSE)))</f>
        <v>30171909.450000003</v>
      </c>
      <c r="R163" s="20"/>
      <c r="S163" s="29">
        <f>IF(ISNA(ABS(VLOOKUP($A163,VARDATA,S$3,FALSE))),0,ABS(VLOOKUP($A163,VARDATA,S$3,FALSE)))</f>
        <v>14</v>
      </c>
      <c r="U163" s="29">
        <f>IF(ISNA(ABS(VLOOKUP($A163,VARDATA,U$3,FALSE))),0,ABS(VLOOKUP($A163,VARDATA,U$3,FALSE)))</f>
        <v>539999.99</v>
      </c>
      <c r="V163" s="37">
        <f>-IF(ISNA(ABS(VLOOKUP($A163,VARDATA,V$3,FALSE))),0,ABS(VLOOKUP($A163,VARDATA,V$3,FALSE)))</f>
        <v>-1170000</v>
      </c>
      <c r="W163" s="19">
        <f>ABS(V163)+ABS(U163)</f>
        <v>1709999.99</v>
      </c>
      <c r="X163" s="20"/>
      <c r="Y163" s="46">
        <f>IF(ISNA(ABS(VLOOKUP($A163,VARDATA,Y$4,FALSE))),0,ABS(VLOOKUP($A163,VARDATA,Y$4,FALSE)))+IF(ISNA(ABS(VLOOKUP($A163,VARDATA,Y$3,FALSE))),0,ABS(VLOOKUP($A163,VARDATA,Y$3,FALSE)))</f>
        <v>30171909.450000003</v>
      </c>
      <c r="Z163" s="20"/>
      <c r="AA163" s="29">
        <f>IF(ISNA(ABS(VLOOKUP($A163,VARDATA,AA$3,FALSE))),0,ABS(VLOOKUP($A163,VARDATA,AA$3,FALSE)))</f>
        <v>14</v>
      </c>
      <c r="AB163" s="16"/>
    </row>
    <row r="164" spans="1:28" x14ac:dyDescent="0.2">
      <c r="A164" s="16" t="s">
        <v>174</v>
      </c>
      <c r="B164" s="25"/>
      <c r="C164" t="s">
        <v>12</v>
      </c>
      <c r="E164" s="29">
        <f>IF(ISNA(ABS(VLOOKUP($A164,VARDATA,E$3,FALSE))),0,ABS(VLOOKUP($A164,VARDATA,E$3,FALSE)))</f>
        <v>0</v>
      </c>
      <c r="F164" s="37">
        <f>-IF(ISNA(ABS(VLOOKUP($A164,VARDATA,F$3,FALSE))),0,ABS(VLOOKUP($A164,VARDATA,F$3,FALSE)))</f>
        <v>0</v>
      </c>
      <c r="G164" s="19">
        <f>ABS(F164)+ABS(E164)</f>
        <v>0</v>
      </c>
      <c r="H164" s="20"/>
      <c r="I164" s="46">
        <f>IF(ISNA(ABS(VLOOKUP($A164,VARDATA,I$4,FALSE))),0,ABS(VLOOKUP($A164,VARDATA,I$4,FALSE)))+IF(ISNA(ABS(VLOOKUP($A164,VARDATA,I$3,FALSE))),0,ABS(VLOOKUP($A164,VARDATA,I$3,FALSE)))</f>
        <v>0</v>
      </c>
      <c r="J164" s="20"/>
      <c r="K164" s="29">
        <f>IF(ISNA(ABS(VLOOKUP($A164,VARDATA,K$3,FALSE))),0,ABS(VLOOKUP($A164,VARDATA,K$3,FALSE)))</f>
        <v>0</v>
      </c>
      <c r="M164" s="29">
        <f>IF(ISNA(ABS(VLOOKUP($A164,VARDATA,M$3,FALSE))),0,ABS(VLOOKUP($A164,VARDATA,M$3,FALSE)))</f>
        <v>1991499.99</v>
      </c>
      <c r="N164" s="37">
        <f>-IF(ISNA(ABS(VLOOKUP($A164,VARDATA,N$3,FALSE))),0,ABS(VLOOKUP($A164,VARDATA,N$3,FALSE)))</f>
        <v>-1041000.01</v>
      </c>
      <c r="O164" s="19">
        <f>ABS(N164)+ABS(M164)</f>
        <v>3032500</v>
      </c>
      <c r="P164" s="20"/>
      <c r="Q164" s="46">
        <f>IF(ISNA(ABS(VLOOKUP($A164,VARDATA,Q$4,FALSE))),0,ABS(VLOOKUP($A164,VARDATA,Q$4,FALSE)))+IF(ISNA(ABS(VLOOKUP($A164,VARDATA,Q$3,FALSE))),0,ABS(VLOOKUP($A164,VARDATA,Q$3,FALSE)))</f>
        <v>56522937.560000002</v>
      </c>
      <c r="R164" s="20"/>
      <c r="S164" s="29">
        <f>IF(ISNA(ABS(VLOOKUP($A164,VARDATA,S$3,FALSE))),0,ABS(VLOOKUP($A164,VARDATA,S$3,FALSE)))</f>
        <v>29</v>
      </c>
      <c r="U164" s="29">
        <f>IF(ISNA(ABS(VLOOKUP($A164,VARDATA,U$3,FALSE))),0,ABS(VLOOKUP($A164,VARDATA,U$3,FALSE)))</f>
        <v>1991499.99</v>
      </c>
      <c r="V164" s="37">
        <f>-IF(ISNA(ABS(VLOOKUP($A164,VARDATA,V$3,FALSE))),0,ABS(VLOOKUP($A164,VARDATA,V$3,FALSE)))</f>
        <v>-1041000.01</v>
      </c>
      <c r="W164" s="19">
        <f>ABS(V164)+ABS(U164)</f>
        <v>3032500</v>
      </c>
      <c r="X164" s="20"/>
      <c r="Y164" s="46">
        <f>IF(ISNA(ABS(VLOOKUP($A164,VARDATA,Y$4,FALSE))),0,ABS(VLOOKUP($A164,VARDATA,Y$4,FALSE)))+IF(ISNA(ABS(VLOOKUP($A164,VARDATA,Y$3,FALSE))),0,ABS(VLOOKUP($A164,VARDATA,Y$3,FALSE)))</f>
        <v>56522937.560000002</v>
      </c>
      <c r="Z164" s="20"/>
      <c r="AA164" s="29">
        <f>IF(ISNA(ABS(VLOOKUP($A164,VARDATA,AA$3,FALSE))),0,ABS(VLOOKUP($A164,VARDATA,AA$3,FALSE)))</f>
        <v>29</v>
      </c>
      <c r="AB164" s="16"/>
    </row>
    <row r="165" spans="1:28" x14ac:dyDescent="0.2">
      <c r="B165" s="25"/>
      <c r="C165" t="s">
        <v>10</v>
      </c>
      <c r="E165" s="21">
        <f>SUM(E163:E164)</f>
        <v>0</v>
      </c>
      <c r="F165" s="21">
        <f>SUM(F163:F164)</f>
        <v>0</v>
      </c>
      <c r="G165" s="21">
        <f>SUM(G163:G164)</f>
        <v>0</v>
      </c>
      <c r="H165" s="22"/>
      <c r="I165" s="21">
        <f>SUM(I163:I164)</f>
        <v>0</v>
      </c>
      <c r="J165" s="22"/>
      <c r="K165" s="21">
        <f>SUM(K163:K164)</f>
        <v>0</v>
      </c>
      <c r="M165" s="21">
        <f>SUM(M163:M164)</f>
        <v>2531499.98</v>
      </c>
      <c r="N165" s="21">
        <f>SUM(N163:N164)</f>
        <v>-2211000.0099999998</v>
      </c>
      <c r="O165" s="21">
        <f>SUM(O163:O164)</f>
        <v>4742499.99</v>
      </c>
      <c r="P165" s="22"/>
      <c r="Q165" s="21">
        <f>SUM(Q163:Q164)</f>
        <v>86694847.010000005</v>
      </c>
      <c r="R165" s="22"/>
      <c r="S165" s="21">
        <f>SUM(S163:S164)</f>
        <v>43</v>
      </c>
      <c r="U165" s="21">
        <f>SUM(U163:U164)</f>
        <v>2531499.98</v>
      </c>
      <c r="V165" s="21">
        <f>SUM(V163:V164)</f>
        <v>-2211000.0099999998</v>
      </c>
      <c r="W165" s="21">
        <f>SUM(W163:W164)</f>
        <v>4742499.99</v>
      </c>
      <c r="X165" s="22"/>
      <c r="Y165" s="21">
        <f>SUM(Y163:Y164)</f>
        <v>86694847.010000005</v>
      </c>
      <c r="Z165" s="22"/>
      <c r="AA165" s="21">
        <f>SUM(AA163:AA164)</f>
        <v>43</v>
      </c>
      <c r="AB165" s="16"/>
    </row>
    <row r="166" spans="1:28" x14ac:dyDescent="0.2">
      <c r="C166" t="s">
        <v>13</v>
      </c>
      <c r="E166" s="23" t="str">
        <f>IF(E165=0,"",E163/E165)</f>
        <v/>
      </c>
      <c r="F166" s="23" t="str">
        <f>IF(F165=0,"",F163/F165)</f>
        <v/>
      </c>
      <c r="G166" s="23" t="str">
        <f>IF(G165=0,"",G163/G165)</f>
        <v/>
      </c>
      <c r="H166" s="22"/>
      <c r="I166" s="23" t="str">
        <f>IF(I165=0,"",I163/I165)</f>
        <v/>
      </c>
      <c r="J166" s="22"/>
      <c r="K166" s="23" t="str">
        <f>IF(K165=0,"",K163/K165)</f>
        <v/>
      </c>
      <c r="M166" s="23">
        <f>IF(M165=0,"",M163/M165)</f>
        <v>0.21331226319030033</v>
      </c>
      <c r="N166" s="23">
        <f>IF(N165=0,"",N163/N165)</f>
        <v>0.52917231782373453</v>
      </c>
      <c r="O166" s="23">
        <f>IF(O165=0,"",O163/O165)</f>
        <v>0.36056931863061531</v>
      </c>
      <c r="P166" s="22"/>
      <c r="Q166" s="23">
        <f>IF(Q165=0,"",Q163/Q165)</f>
        <v>0.34802425392733849</v>
      </c>
      <c r="R166" s="22"/>
      <c r="S166" s="23">
        <f>IF(S165=0,"",S163/S165)</f>
        <v>0.32558139534883723</v>
      </c>
      <c r="U166" s="23">
        <f>IF(U165=0,"",U163/U165)</f>
        <v>0.21331226319030033</v>
      </c>
      <c r="V166" s="23">
        <f>IF(V165=0,"",V163/V165)</f>
        <v>0.52917231782373453</v>
      </c>
      <c r="W166" s="23">
        <f>IF(W165=0,"",W163/W165)</f>
        <v>0.36056931863061531</v>
      </c>
      <c r="X166" s="22"/>
      <c r="Y166" s="23">
        <f>IF(Y165=0,"",Y163/Y165)</f>
        <v>0.34802425392733849</v>
      </c>
      <c r="Z166" s="22"/>
      <c r="AA166" s="23">
        <f>IF(AA165=0,"",AA163/AA165)</f>
        <v>0.32558139534883723</v>
      </c>
      <c r="AB166" s="16"/>
    </row>
    <row r="167" spans="1:28" x14ac:dyDescent="0.2">
      <c r="AB167" s="16"/>
    </row>
    <row r="168" spans="1:28" x14ac:dyDescent="0.2">
      <c r="B168" s="25" t="s">
        <v>123</v>
      </c>
      <c r="E168" s="29"/>
      <c r="F168" s="29"/>
      <c r="G168" s="3"/>
      <c r="I168" s="14"/>
      <c r="K168" s="3"/>
      <c r="M168" s="29"/>
      <c r="N168" s="29"/>
      <c r="O168" s="3"/>
      <c r="Q168" s="14"/>
      <c r="S168" s="3"/>
      <c r="U168" s="29"/>
      <c r="V168" s="29"/>
      <c r="W168" s="3"/>
      <c r="Y168" s="14"/>
      <c r="AA168" s="3"/>
      <c r="AB168" s="16"/>
    </row>
    <row r="169" spans="1:28" x14ac:dyDescent="0.2">
      <c r="A169" s="16" t="s">
        <v>125</v>
      </c>
      <c r="B169" s="25"/>
      <c r="C169" t="s">
        <v>11</v>
      </c>
      <c r="E169" s="29">
        <f>IF(ISNA(ABS(VLOOKUP($A169,VARDATA,E$3,FALSE))),0,ABS(VLOOKUP($A169,VARDATA,E$3,FALSE)))</f>
        <v>62000</v>
      </c>
      <c r="F169" s="37">
        <f>-IF(ISNA(ABS(VLOOKUP($A169,VARDATA,F$3,FALSE))),0,ABS(VLOOKUP($A169,VARDATA,F$3,FALSE)))</f>
        <v>0</v>
      </c>
      <c r="G169" s="19">
        <f>ABS(F169)+ABS(E169)</f>
        <v>62000</v>
      </c>
      <c r="H169" s="20"/>
      <c r="I169" s="46">
        <f>IF(ISNA(ABS(VLOOKUP($A169,VARDATA,I$4,FALSE))),0,ABS(VLOOKUP($A169,VARDATA,I$4,FALSE)))+IF(ISNA(ABS(VLOOKUP($A169,VARDATA,I$3,FALSE))),0,ABS(VLOOKUP($A169,VARDATA,I$3,FALSE)))</f>
        <v>251720</v>
      </c>
      <c r="J169" s="20"/>
      <c r="K169" s="29">
        <f>IF(ISNA(ABS(VLOOKUP($A169,VARDATA,K$3,FALSE))),0,ABS(VLOOKUP($A169,VARDATA,K$3,FALSE)))</f>
        <v>1</v>
      </c>
      <c r="M169" s="29">
        <f>IF(ISNA(ABS(VLOOKUP($A169,VARDATA,M$3,FALSE))),0,ABS(VLOOKUP($A169,VARDATA,M$3,FALSE)))</f>
        <v>93000</v>
      </c>
      <c r="N169" s="37">
        <f>-IF(ISNA(ABS(VLOOKUP($A169,VARDATA,N$3,FALSE))),0,ABS(VLOOKUP($A169,VARDATA,N$3,FALSE)))</f>
        <v>0</v>
      </c>
      <c r="O169" s="19">
        <f>ABS(N169)+ABS(M169)</f>
        <v>93000</v>
      </c>
      <c r="P169" s="20"/>
      <c r="Q169" s="46">
        <f>IF(ISNA(ABS(VLOOKUP($A169,VARDATA,Q$4,FALSE))),0,ABS(VLOOKUP($A169,VARDATA,Q$4,FALSE)))+IF(ISNA(ABS(VLOOKUP($A169,VARDATA,Q$3,FALSE))),0,ABS(VLOOKUP($A169,VARDATA,Q$3,FALSE)))</f>
        <v>377890</v>
      </c>
      <c r="R169" s="20"/>
      <c r="S169" s="29">
        <f>IF(ISNA(ABS(VLOOKUP($A169,VARDATA,S$3,FALSE))),0,ABS(VLOOKUP($A169,VARDATA,S$3,FALSE)))</f>
        <v>2</v>
      </c>
      <c r="U169" s="29">
        <f>IF(ISNA(ABS(VLOOKUP($A169,VARDATA,U$3,FALSE))),0,ABS(VLOOKUP($A169,VARDATA,U$3,FALSE)))</f>
        <v>93000</v>
      </c>
      <c r="V169" s="37">
        <f>-IF(ISNA(ABS(VLOOKUP($A169,VARDATA,V$3,FALSE))),0,ABS(VLOOKUP($A169,VARDATA,V$3,FALSE)))</f>
        <v>0</v>
      </c>
      <c r="W169" s="19">
        <f>ABS(V169)+ABS(U169)</f>
        <v>93000</v>
      </c>
      <c r="X169" s="20"/>
      <c r="Y169" s="46">
        <f>IF(ISNA(ABS(VLOOKUP($A169,VARDATA,Y$4,FALSE))),0,ABS(VLOOKUP($A169,VARDATA,Y$4,FALSE)))+IF(ISNA(ABS(VLOOKUP($A169,VARDATA,Y$3,FALSE))),0,ABS(VLOOKUP($A169,VARDATA,Y$3,FALSE)))</f>
        <v>377890</v>
      </c>
      <c r="Z169" s="20"/>
      <c r="AA169" s="29">
        <f>IF(ISNA(ABS(VLOOKUP($A169,VARDATA,AA$3,FALSE))),0,ABS(VLOOKUP($A169,VARDATA,AA$3,FALSE)))</f>
        <v>2</v>
      </c>
      <c r="AB169" s="16"/>
    </row>
    <row r="170" spans="1:28" x14ac:dyDescent="0.2">
      <c r="A170" s="16" t="s">
        <v>109</v>
      </c>
      <c r="B170" s="25"/>
      <c r="C170" t="s">
        <v>12</v>
      </c>
      <c r="E170" s="29">
        <f>IF(ISNA(ABS(VLOOKUP($A170,VARDATA,E$3,FALSE))),0,ABS(VLOOKUP($A170,VARDATA,E$3,FALSE)))</f>
        <v>341008</v>
      </c>
      <c r="F170" s="37">
        <f>-IF(ISNA(ABS(VLOOKUP($A170,VARDATA,F$3,FALSE))),0,ABS(VLOOKUP($A170,VARDATA,F$3,FALSE)))</f>
        <v>-255824</v>
      </c>
      <c r="G170" s="19">
        <f>ABS(F170)+ABS(E170)</f>
        <v>596832</v>
      </c>
      <c r="H170" s="20"/>
      <c r="I170" s="46">
        <f>IF(ISNA(ABS(VLOOKUP($A170,VARDATA,I$4,FALSE))),0,ABS(VLOOKUP($A170,VARDATA,I$4,FALSE)))+IF(ISNA(ABS(VLOOKUP($A170,VARDATA,I$3,FALSE))),0,ABS(VLOOKUP($A170,VARDATA,I$3,FALSE)))</f>
        <v>35192306.280000001</v>
      </c>
      <c r="J170" s="20"/>
      <c r="K170" s="29">
        <f>IF(ISNA(ABS(VLOOKUP($A170,VARDATA,K$3,FALSE))),0,ABS(VLOOKUP($A170,VARDATA,K$3,FALSE)))</f>
        <v>18</v>
      </c>
      <c r="M170" s="29">
        <f>IF(ISNA(ABS(VLOOKUP($A170,VARDATA,M$3,FALSE))),0,ABS(VLOOKUP($A170,VARDATA,M$3,FALSE)))</f>
        <v>8492081.3200000003</v>
      </c>
      <c r="N170" s="37">
        <f>-IF(ISNA(ABS(VLOOKUP($A170,VARDATA,N$3,FALSE))),0,ABS(VLOOKUP($A170,VARDATA,N$3,FALSE)))</f>
        <v>-8056800.6500000004</v>
      </c>
      <c r="O170" s="19">
        <f>ABS(N170)+ABS(M170)</f>
        <v>16548881.970000001</v>
      </c>
      <c r="P170" s="20"/>
      <c r="Q170" s="46">
        <f>IF(ISNA(ABS(VLOOKUP($A170,VARDATA,Q$4,FALSE))),0,ABS(VLOOKUP($A170,VARDATA,Q$4,FALSE)))+IF(ISNA(ABS(VLOOKUP($A170,VARDATA,Q$3,FALSE))),0,ABS(VLOOKUP($A170,VARDATA,Q$3,FALSE)))</f>
        <v>905831780.88999999</v>
      </c>
      <c r="R170" s="20"/>
      <c r="S170" s="29">
        <f>IF(ISNA(ABS(VLOOKUP($A170,VARDATA,S$3,FALSE))),0,ABS(VLOOKUP($A170,VARDATA,S$3,FALSE)))</f>
        <v>288</v>
      </c>
      <c r="U170" s="29">
        <f>IF(ISNA(ABS(VLOOKUP($A170,VARDATA,U$3,FALSE))),0,ABS(VLOOKUP($A170,VARDATA,U$3,FALSE)))</f>
        <v>8492081.3200000003</v>
      </c>
      <c r="V170" s="37">
        <f>-IF(ISNA(ABS(VLOOKUP($A170,VARDATA,V$3,FALSE))),0,ABS(VLOOKUP($A170,VARDATA,V$3,FALSE)))</f>
        <v>-8056800.6500000004</v>
      </c>
      <c r="W170" s="19">
        <f>ABS(V170)+ABS(U170)</f>
        <v>16548881.970000001</v>
      </c>
      <c r="X170" s="20"/>
      <c r="Y170" s="46">
        <f>IF(ISNA(ABS(VLOOKUP($A170,VARDATA,Y$4,FALSE))),0,ABS(VLOOKUP($A170,VARDATA,Y$4,FALSE)))+IF(ISNA(ABS(VLOOKUP($A170,VARDATA,Y$3,FALSE))),0,ABS(VLOOKUP($A170,VARDATA,Y$3,FALSE)))</f>
        <v>905831780.88999999</v>
      </c>
      <c r="Z170" s="20"/>
      <c r="AA170" s="29">
        <f>IF(ISNA(ABS(VLOOKUP($A170,VARDATA,AA$3,FALSE))),0,ABS(VLOOKUP($A170,VARDATA,AA$3,FALSE)))</f>
        <v>288</v>
      </c>
      <c r="AB170" s="16"/>
    </row>
    <row r="171" spans="1:28" x14ac:dyDescent="0.2">
      <c r="B171" s="25"/>
      <c r="C171" t="s">
        <v>10</v>
      </c>
      <c r="E171" s="21">
        <f>SUM(E169:E170)</f>
        <v>403008</v>
      </c>
      <c r="F171" s="21">
        <f>SUM(F169:F170)</f>
        <v>-255824</v>
      </c>
      <c r="G171" s="21">
        <f>SUM(G169:G170)</f>
        <v>658832</v>
      </c>
      <c r="H171" s="22"/>
      <c r="I171" s="21">
        <f>SUM(I169:I170)</f>
        <v>35444026.280000001</v>
      </c>
      <c r="J171" s="22"/>
      <c r="K171" s="21">
        <f>SUM(K169:K170)</f>
        <v>19</v>
      </c>
      <c r="M171" s="21">
        <f>SUM(M169:M170)</f>
        <v>8585081.3200000003</v>
      </c>
      <c r="N171" s="21">
        <f>SUM(N169:N170)</f>
        <v>-8056800.6500000004</v>
      </c>
      <c r="O171" s="21">
        <f>SUM(O169:O170)</f>
        <v>16641881.970000001</v>
      </c>
      <c r="P171" s="22"/>
      <c r="Q171" s="21">
        <f>SUM(Q169:Q170)</f>
        <v>906209670.88999999</v>
      </c>
      <c r="R171" s="22"/>
      <c r="S171" s="21">
        <f>SUM(S169:S170)</f>
        <v>290</v>
      </c>
      <c r="U171" s="21">
        <f>SUM(U169:U170)</f>
        <v>8585081.3200000003</v>
      </c>
      <c r="V171" s="21">
        <f>SUM(V169:V170)</f>
        <v>-8056800.6500000004</v>
      </c>
      <c r="W171" s="21">
        <f>SUM(W169:W170)</f>
        <v>16641881.970000001</v>
      </c>
      <c r="X171" s="22"/>
      <c r="Y171" s="21">
        <f>SUM(Y169:Y170)</f>
        <v>906209670.88999999</v>
      </c>
      <c r="Z171" s="22"/>
      <c r="AA171" s="21">
        <f>SUM(AA169:AA170)</f>
        <v>290</v>
      </c>
      <c r="AB171" s="16"/>
    </row>
    <row r="172" spans="1:28" x14ac:dyDescent="0.2">
      <c r="C172" t="s">
        <v>13</v>
      </c>
      <c r="E172" s="23">
        <f>IF(E171=0,"",E169/E171)</f>
        <v>0.15384309988883596</v>
      </c>
      <c r="F172" s="23">
        <f>IF(F171=0,"",F169/F171)</f>
        <v>0</v>
      </c>
      <c r="G172" s="23">
        <f>IF(G171=0,"",G169/G171)</f>
        <v>9.4105932923719549E-2</v>
      </c>
      <c r="H172" s="22"/>
      <c r="I172" s="23">
        <f>IF(I171=0,"",I169/I171)</f>
        <v>7.1019019682320352E-3</v>
      </c>
      <c r="J172" s="22"/>
      <c r="K172" s="23">
        <f>IF(K171=0,"",K169/K171)</f>
        <v>5.2631578947368418E-2</v>
      </c>
      <c r="M172" s="23">
        <f>IF(M171=0,"",M169/M171)</f>
        <v>1.0832745379283139E-2</v>
      </c>
      <c r="N172" s="23">
        <f>IF(N171=0,"",N169/N171)</f>
        <v>0</v>
      </c>
      <c r="O172" s="23">
        <f>IF(O171=0,"",O169/O171)</f>
        <v>5.5883102745019645E-3</v>
      </c>
      <c r="P172" s="22"/>
      <c r="Q172" s="23">
        <f>IF(Q171=0,"",Q169/Q171)</f>
        <v>4.170006259466084E-4</v>
      </c>
      <c r="R172" s="22"/>
      <c r="S172" s="23">
        <f>IF(S171=0,"",S169/S171)</f>
        <v>6.8965517241379309E-3</v>
      </c>
      <c r="U172" s="23">
        <f>IF(U171=0,"",U169/U171)</f>
        <v>1.0832745379283139E-2</v>
      </c>
      <c r="V172" s="23">
        <f>IF(V171=0,"",V169/V171)</f>
        <v>0</v>
      </c>
      <c r="W172" s="23">
        <f>IF(W171=0,"",W169/W171)</f>
        <v>5.5883102745019645E-3</v>
      </c>
      <c r="X172" s="22"/>
      <c r="Y172" s="23">
        <f>IF(Y171=0,"",Y169/Y171)</f>
        <v>4.170006259466084E-4</v>
      </c>
      <c r="Z172" s="22"/>
      <c r="AA172" s="23">
        <f>IF(AA171=0,"",AA169/AA171)</f>
        <v>6.8965517241379309E-3</v>
      </c>
      <c r="AB172" s="16"/>
    </row>
    <row r="173" spans="1:28" x14ac:dyDescent="0.2">
      <c r="AB173" s="16"/>
    </row>
    <row r="174" spans="1:28" x14ac:dyDescent="0.2">
      <c r="B174" s="25" t="s">
        <v>124</v>
      </c>
      <c r="E174" s="29"/>
      <c r="F174" s="29"/>
      <c r="G174" s="3"/>
      <c r="I174" s="14"/>
      <c r="K174" s="3"/>
      <c r="M174" s="29"/>
      <c r="N174" s="29"/>
      <c r="O174" s="3"/>
      <c r="Q174" s="14"/>
      <c r="S174" s="3"/>
      <c r="U174" s="29"/>
      <c r="V174" s="29"/>
      <c r="W174" s="3"/>
      <c r="Y174" s="14"/>
      <c r="AA174" s="3"/>
      <c r="AB174" s="16"/>
    </row>
    <row r="175" spans="1:28" x14ac:dyDescent="0.2">
      <c r="A175" s="16" t="s">
        <v>110</v>
      </c>
      <c r="B175" s="25"/>
      <c r="C175" t="s">
        <v>11</v>
      </c>
      <c r="E175" s="29">
        <f>IF(ISNA(ABS(VLOOKUP($A175,VARDATA,E$3,FALSE))),0,ABS(VLOOKUP($A175,VARDATA,E$3,FALSE)))</f>
        <v>540000</v>
      </c>
      <c r="F175" s="37">
        <f>-IF(ISNA(ABS(VLOOKUP($A175,VARDATA,F$3,FALSE))),0,ABS(VLOOKUP($A175,VARDATA,F$3,FALSE)))</f>
        <v>0</v>
      </c>
      <c r="G175" s="19">
        <f>ABS(F175)+ABS(E175)</f>
        <v>540000</v>
      </c>
      <c r="H175" s="20"/>
      <c r="I175" s="46">
        <f>IF(ISNA(ABS(VLOOKUP($A175,VARDATA,I$4,FALSE))),0,ABS(VLOOKUP($A175,VARDATA,I$4,FALSE)))+IF(ISNA(ABS(VLOOKUP($A175,VARDATA,I$3,FALSE))),0,ABS(VLOOKUP($A175,VARDATA,I$3,FALSE)))</f>
        <v>9541350.0899999999</v>
      </c>
      <c r="J175" s="20"/>
      <c r="K175" s="29">
        <f>IF(ISNA(ABS(VLOOKUP($A175,VARDATA,K$3,FALSE))),0,ABS(VLOOKUP($A175,VARDATA,K$3,FALSE)))</f>
        <v>3</v>
      </c>
      <c r="M175" s="29">
        <f>IF(ISNA(ABS(VLOOKUP($A175,VARDATA,M$3,FALSE))),0,ABS(VLOOKUP($A175,VARDATA,M$3,FALSE)))</f>
        <v>4554999.99</v>
      </c>
      <c r="N175" s="37">
        <f>-IF(ISNA(ABS(VLOOKUP($A175,VARDATA,N$3,FALSE))),0,ABS(VLOOKUP($A175,VARDATA,N$3,FALSE)))</f>
        <v>-6124999.9800000004</v>
      </c>
      <c r="O175" s="19">
        <f>ABS(N175)+ABS(M175)</f>
        <v>10679999.970000001</v>
      </c>
      <c r="P175" s="20"/>
      <c r="Q175" s="46">
        <f>IF(ISNA(ABS(VLOOKUP($A175,VARDATA,Q$4,FALSE))),0,ABS(VLOOKUP($A175,VARDATA,Q$4,FALSE)))+IF(ISNA(ABS(VLOOKUP($A175,VARDATA,Q$3,FALSE))),0,ABS(VLOOKUP($A175,VARDATA,Q$3,FALSE)))</f>
        <v>215800502.11000001</v>
      </c>
      <c r="R175" s="20"/>
      <c r="S175" s="29">
        <f>IF(ISNA(ABS(VLOOKUP($A175,VARDATA,S$3,FALSE))),0,ABS(VLOOKUP($A175,VARDATA,S$3,FALSE)))</f>
        <v>95</v>
      </c>
      <c r="U175" s="29">
        <f>IF(ISNA(ABS(VLOOKUP($A175,VARDATA,U$3,FALSE))),0,ABS(VLOOKUP($A175,VARDATA,U$3,FALSE)))</f>
        <v>4554999.99</v>
      </c>
      <c r="V175" s="37">
        <f>-IF(ISNA(ABS(VLOOKUP($A175,VARDATA,V$3,FALSE))),0,ABS(VLOOKUP($A175,VARDATA,V$3,FALSE)))</f>
        <v>-6124999.9800000004</v>
      </c>
      <c r="W175" s="19">
        <f>ABS(V175)+ABS(U175)</f>
        <v>10679999.970000001</v>
      </c>
      <c r="X175" s="20"/>
      <c r="Y175" s="46">
        <f>IF(ISNA(ABS(VLOOKUP($A175,VARDATA,Y$4,FALSE))),0,ABS(VLOOKUP($A175,VARDATA,Y$4,FALSE)))+IF(ISNA(ABS(VLOOKUP($A175,VARDATA,Y$3,FALSE))),0,ABS(VLOOKUP($A175,VARDATA,Y$3,FALSE)))</f>
        <v>215800502.11000001</v>
      </c>
      <c r="Z175" s="20"/>
      <c r="AA175" s="29">
        <f>IF(ISNA(ABS(VLOOKUP($A175,VARDATA,AA$3,FALSE))),0,ABS(VLOOKUP($A175,VARDATA,AA$3,FALSE)))</f>
        <v>95</v>
      </c>
      <c r="AB175" s="16"/>
    </row>
    <row r="176" spans="1:28" x14ac:dyDescent="0.2">
      <c r="A176" s="16" t="s">
        <v>111</v>
      </c>
      <c r="B176" s="25"/>
      <c r="C176" t="s">
        <v>12</v>
      </c>
      <c r="E176" s="29">
        <f>IF(ISNA(ABS(VLOOKUP($A176,VARDATA,E$3,FALSE))),0,ABS(VLOOKUP($A176,VARDATA,E$3,FALSE)))</f>
        <v>3910579.99</v>
      </c>
      <c r="F176" s="37">
        <f>-IF(ISNA(ABS(VLOOKUP($A176,VARDATA,F$3,FALSE))),0,ABS(VLOOKUP($A176,VARDATA,F$3,FALSE)))</f>
        <v>-2458660</v>
      </c>
      <c r="G176" s="19">
        <f>ABS(F176)+ABS(E176)</f>
        <v>6369239.9900000002</v>
      </c>
      <c r="H176" s="20"/>
      <c r="I176" s="46">
        <f>IF(ISNA(ABS(VLOOKUP($A176,VARDATA,I$4,FALSE))),0,ABS(VLOOKUP($A176,VARDATA,I$4,FALSE)))+IF(ISNA(ABS(VLOOKUP($A176,VARDATA,I$3,FALSE))),0,ABS(VLOOKUP($A176,VARDATA,I$3,FALSE)))</f>
        <v>369366043.25999999</v>
      </c>
      <c r="J176" s="20"/>
      <c r="K176" s="29">
        <f>IF(ISNA(ABS(VLOOKUP($A176,VARDATA,K$3,FALSE))),0,ABS(VLOOKUP($A176,VARDATA,K$3,FALSE)))</f>
        <v>64</v>
      </c>
      <c r="M176" s="29">
        <f>IF(ISNA(ABS(VLOOKUP($A176,VARDATA,M$3,FALSE))),0,ABS(VLOOKUP($A176,VARDATA,M$3,FALSE)))</f>
        <v>41618810.380000003</v>
      </c>
      <c r="N176" s="37">
        <f>-IF(ISNA(ABS(VLOOKUP($A176,VARDATA,N$3,FALSE))),0,ABS(VLOOKUP($A176,VARDATA,N$3,FALSE)))</f>
        <v>-34643479.880000003</v>
      </c>
      <c r="O176" s="19">
        <f>ABS(N176)+ABS(M176)</f>
        <v>76262290.260000005</v>
      </c>
      <c r="P176" s="20"/>
      <c r="Q176" s="46">
        <f>IF(ISNA(ABS(VLOOKUP($A176,VARDATA,Q$4,FALSE))),0,ABS(VLOOKUP($A176,VARDATA,Q$4,FALSE)))+IF(ISNA(ABS(VLOOKUP($A176,VARDATA,Q$3,FALSE))),0,ABS(VLOOKUP($A176,VARDATA,Q$3,FALSE)))</f>
        <v>3587385268.3900003</v>
      </c>
      <c r="R176" s="20"/>
      <c r="S176" s="29">
        <f>IF(ISNA(ABS(VLOOKUP($A176,VARDATA,S$3,FALSE))),0,ABS(VLOOKUP($A176,VARDATA,S$3,FALSE)))</f>
        <v>717</v>
      </c>
      <c r="U176" s="29">
        <f>IF(ISNA(ABS(VLOOKUP($A176,VARDATA,U$3,FALSE))),0,ABS(VLOOKUP($A176,VARDATA,U$3,FALSE)))</f>
        <v>41618810.380000003</v>
      </c>
      <c r="V176" s="37">
        <f>-IF(ISNA(ABS(VLOOKUP($A176,VARDATA,V$3,FALSE))),0,ABS(VLOOKUP($A176,VARDATA,V$3,FALSE)))</f>
        <v>-34643479.880000003</v>
      </c>
      <c r="W176" s="19">
        <f>ABS(V176)+ABS(U176)</f>
        <v>76262290.260000005</v>
      </c>
      <c r="X176" s="20"/>
      <c r="Y176" s="46">
        <f>IF(ISNA(ABS(VLOOKUP($A176,VARDATA,Y$4,FALSE))),0,ABS(VLOOKUP($A176,VARDATA,Y$4,FALSE)))+IF(ISNA(ABS(VLOOKUP($A176,VARDATA,Y$3,FALSE))),0,ABS(VLOOKUP($A176,VARDATA,Y$3,FALSE)))</f>
        <v>3587385268.3900003</v>
      </c>
      <c r="Z176" s="20"/>
      <c r="AA176" s="29">
        <f>IF(ISNA(ABS(VLOOKUP($A176,VARDATA,AA$3,FALSE))),0,ABS(VLOOKUP($A176,VARDATA,AA$3,FALSE)))</f>
        <v>717</v>
      </c>
      <c r="AB176" s="16"/>
    </row>
    <row r="177" spans="1:28" x14ac:dyDescent="0.2">
      <c r="B177" s="25"/>
      <c r="C177" t="s">
        <v>10</v>
      </c>
      <c r="E177" s="21">
        <f>SUM(E175:E176)</f>
        <v>4450579.99</v>
      </c>
      <c r="F177" s="21">
        <f>SUM(F175:F176)</f>
        <v>-2458660</v>
      </c>
      <c r="G177" s="21">
        <f>SUM(G175:G176)</f>
        <v>6909239.9900000002</v>
      </c>
      <c r="H177" s="22"/>
      <c r="I177" s="21">
        <f>SUM(I175:I176)</f>
        <v>378907393.34999996</v>
      </c>
      <c r="J177" s="22"/>
      <c r="K177" s="21">
        <f>SUM(K175:K176)</f>
        <v>67</v>
      </c>
      <c r="M177" s="21">
        <f>SUM(M175:M176)</f>
        <v>46173810.370000005</v>
      </c>
      <c r="N177" s="21">
        <f>SUM(N175:N176)</f>
        <v>-40768479.859999999</v>
      </c>
      <c r="O177" s="21">
        <f>SUM(O175:O176)</f>
        <v>86942290.230000004</v>
      </c>
      <c r="P177" s="22"/>
      <c r="Q177" s="21">
        <f>SUM(Q175:Q176)</f>
        <v>3803185770.5000005</v>
      </c>
      <c r="R177" s="22"/>
      <c r="S177" s="21">
        <f>SUM(S175:S176)</f>
        <v>812</v>
      </c>
      <c r="U177" s="21">
        <f>SUM(U175:U176)</f>
        <v>46173810.370000005</v>
      </c>
      <c r="V177" s="21">
        <f>SUM(V175:V176)</f>
        <v>-40768479.859999999</v>
      </c>
      <c r="W177" s="21">
        <f>SUM(W175:W176)</f>
        <v>86942290.230000004</v>
      </c>
      <c r="X177" s="22"/>
      <c r="Y177" s="21">
        <f>SUM(Y175:Y176)</f>
        <v>3803185770.5000005</v>
      </c>
      <c r="Z177" s="22"/>
      <c r="AA177" s="21">
        <f>SUM(AA175:AA176)</f>
        <v>812</v>
      </c>
      <c r="AB177" s="16"/>
    </row>
    <row r="178" spans="1:28" x14ac:dyDescent="0.2">
      <c r="C178" t="s">
        <v>13</v>
      </c>
      <c r="E178" s="23">
        <f>IF(E177=0,"",E175/E177)</f>
        <v>0.12133250075570487</v>
      </c>
      <c r="F178" s="23">
        <f>IF(F177=0,"",F175/F177)</f>
        <v>0</v>
      </c>
      <c r="G178" s="23">
        <f>IF(G177=0,"",G175/G177)</f>
        <v>7.8156208321257054E-2</v>
      </c>
      <c r="H178" s="22"/>
      <c r="I178" s="23">
        <f>IF(I177=0,"",I175/I177)</f>
        <v>2.518121909853201E-2</v>
      </c>
      <c r="J178" s="22"/>
      <c r="K178" s="23">
        <f>IF(K177=0,"",K175/K177)</f>
        <v>4.4776119402985072E-2</v>
      </c>
      <c r="M178" s="23">
        <f>IF(M177=0,"",M175/M177)</f>
        <v>9.8648995036360904E-2</v>
      </c>
      <c r="N178" s="23">
        <f>IF(N177=0,"",N175/N177)</f>
        <v>0.15023861574023378</v>
      </c>
      <c r="O178" s="23">
        <f>IF(O177=0,"",O175/O177)</f>
        <v>0.12284010395570184</v>
      </c>
      <c r="P178" s="22"/>
      <c r="Q178" s="23">
        <f>IF(Q177=0,"",Q175/Q177)</f>
        <v>5.6742035528185353E-2</v>
      </c>
      <c r="R178" s="22"/>
      <c r="S178" s="23">
        <f>IF(S177=0,"",S175/S177)</f>
        <v>0.11699507389162561</v>
      </c>
      <c r="U178" s="23">
        <f>IF(U177=0,"",U175/U177)</f>
        <v>9.8648995036360904E-2</v>
      </c>
      <c r="V178" s="23">
        <f>IF(V177=0,"",V175/V177)</f>
        <v>0.15023861574023378</v>
      </c>
      <c r="W178" s="23">
        <f>IF(W177=0,"",W175/W177)</f>
        <v>0.12284010395570184</v>
      </c>
      <c r="X178" s="22"/>
      <c r="Y178" s="23">
        <f>IF(Y177=0,"",Y175/Y177)</f>
        <v>5.6742035528185353E-2</v>
      </c>
      <c r="Z178" s="22"/>
      <c r="AA178" s="23">
        <f>IF(AA177=0,"",AA175/AA177)</f>
        <v>0.11699507389162561</v>
      </c>
      <c r="AB178" s="16"/>
    </row>
    <row r="179" spans="1:28" x14ac:dyDescent="0.2">
      <c r="AB179" s="16"/>
    </row>
    <row r="180" spans="1:28" x14ac:dyDescent="0.2">
      <c r="B180" s="25" t="s">
        <v>103</v>
      </c>
      <c r="E180" s="29"/>
      <c r="F180" s="29"/>
      <c r="G180" s="3"/>
      <c r="I180" s="14"/>
      <c r="K180" s="3"/>
      <c r="M180" s="29"/>
      <c r="N180" s="29"/>
      <c r="O180" s="3"/>
      <c r="Q180" s="14"/>
      <c r="S180" s="3"/>
      <c r="U180" s="29"/>
      <c r="V180" s="29"/>
      <c r="W180" s="3"/>
      <c r="Y180" s="14"/>
      <c r="AA180" s="3"/>
      <c r="AB180" s="16"/>
    </row>
    <row r="181" spans="1:28" x14ac:dyDescent="0.2">
      <c r="B181" s="25"/>
      <c r="C181" t="s">
        <v>11</v>
      </c>
      <c r="E181" s="28">
        <f t="shared" ref="E181:G182" si="6">E157+E139+E175+E169+E151+E145+E163</f>
        <v>634000</v>
      </c>
      <c r="F181" s="28">
        <f t="shared" si="6"/>
        <v>-24000</v>
      </c>
      <c r="G181" s="28">
        <f t="shared" si="6"/>
        <v>658000</v>
      </c>
      <c r="H181" s="28"/>
      <c r="I181" s="28">
        <f>I157+I139+I175+I169+I151+I145+I163</f>
        <v>26073070.09</v>
      </c>
      <c r="J181" s="28"/>
      <c r="K181" s="28">
        <f>K157+K139+K175+K169+K151+K145+K163</f>
        <v>9</v>
      </c>
      <c r="M181" s="28">
        <f t="shared" ref="M181:O182" si="7">M157+M139+M175+M169+M151+M145+M163</f>
        <v>5243999.9800000004</v>
      </c>
      <c r="N181" s="28">
        <f t="shared" si="7"/>
        <v>-7518999.9800000004</v>
      </c>
      <c r="O181" s="28">
        <f t="shared" si="7"/>
        <v>12762999.960000001</v>
      </c>
      <c r="P181" s="28"/>
      <c r="Q181" s="28">
        <f>Q157+Q139+Q175+Q169+Q151+Q145+Q163</f>
        <v>328165152.31</v>
      </c>
      <c r="R181" s="28"/>
      <c r="S181" s="28">
        <f>S157+S139+S175+S169+S151+S145+S163</f>
        <v>135</v>
      </c>
      <c r="U181" s="28">
        <f t="shared" ref="U181:W182" si="8">U157+U139+U175+U169+U151+U145+U163</f>
        <v>5243999.9800000004</v>
      </c>
      <c r="V181" s="28">
        <f t="shared" si="8"/>
        <v>-7518999.9800000004</v>
      </c>
      <c r="W181" s="28">
        <f t="shared" si="8"/>
        <v>12762999.960000001</v>
      </c>
      <c r="X181" s="28"/>
      <c r="Y181" s="28">
        <f>Y157+Y139+Y175+Y169+Y151+Y145+Y163</f>
        <v>328165152.31</v>
      </c>
      <c r="Z181" s="28"/>
      <c r="AA181" s="28">
        <f>AA157+AA139+AA175+AA169+AA151+AA145+AA163</f>
        <v>135</v>
      </c>
      <c r="AB181" s="16"/>
    </row>
    <row r="182" spans="1:28" x14ac:dyDescent="0.2">
      <c r="B182" s="25"/>
      <c r="C182" t="s">
        <v>12</v>
      </c>
      <c r="E182" s="28">
        <f t="shared" si="6"/>
        <v>4413670.99</v>
      </c>
      <c r="F182" s="28">
        <f t="shared" si="6"/>
        <v>-2822984</v>
      </c>
      <c r="G182" s="28">
        <f t="shared" si="6"/>
        <v>7236654.9900000002</v>
      </c>
      <c r="H182" s="28"/>
      <c r="I182" s="28">
        <f>I158+I140+I176+I170+I152+I146+I164</f>
        <v>488772540.95999992</v>
      </c>
      <c r="J182" s="28"/>
      <c r="K182" s="28">
        <f>K158+K140+K176+K170+K152+K146+K164</f>
        <v>105</v>
      </c>
      <c r="M182" s="28">
        <f t="shared" si="7"/>
        <v>55897983.770000003</v>
      </c>
      <c r="N182" s="28">
        <f t="shared" si="7"/>
        <v>-47024027.07</v>
      </c>
      <c r="O182" s="28">
        <f t="shared" si="7"/>
        <v>102922010.84</v>
      </c>
      <c r="P182" s="28"/>
      <c r="Q182" s="28">
        <f>Q158+Q140+Q176+Q170+Q152+Q146+Q164</f>
        <v>5652844227.2000008</v>
      </c>
      <c r="R182" s="28"/>
      <c r="S182" s="28">
        <f>S158+S140+S176+S170+S152+S146+S164</f>
        <v>1343</v>
      </c>
      <c r="U182" s="28">
        <f t="shared" si="8"/>
        <v>55897983.770000003</v>
      </c>
      <c r="V182" s="28">
        <f t="shared" si="8"/>
        <v>-47024027.07</v>
      </c>
      <c r="W182" s="28">
        <f t="shared" si="8"/>
        <v>102922010.84</v>
      </c>
      <c r="X182" s="28"/>
      <c r="Y182" s="28">
        <f>Y158+Y140+Y176+Y170+Y152+Y146+Y164</f>
        <v>5652844227.2000008</v>
      </c>
      <c r="Z182" s="28"/>
      <c r="AA182" s="28">
        <f>AA158+AA140+AA176+AA170+AA152+AA146+AA164</f>
        <v>1343</v>
      </c>
      <c r="AB182" s="16"/>
    </row>
    <row r="183" spans="1:28" x14ac:dyDescent="0.2">
      <c r="B183" s="25"/>
      <c r="C183" t="s">
        <v>10</v>
      </c>
      <c r="E183" s="21">
        <f>SUM(E181:E182)</f>
        <v>5047670.99</v>
      </c>
      <c r="F183" s="21">
        <f>SUM(F181:F182)</f>
        <v>-2846984</v>
      </c>
      <c r="G183" s="21">
        <f>SUM(G181:G182)</f>
        <v>7894654.9900000002</v>
      </c>
      <c r="H183" s="22"/>
      <c r="I183" s="21">
        <f>SUM(I181:I182)</f>
        <v>514845611.04999989</v>
      </c>
      <c r="J183" s="22"/>
      <c r="K183" s="21">
        <f>SUM(K181:K182)</f>
        <v>114</v>
      </c>
      <c r="M183" s="21">
        <f>SUM(M181:M182)</f>
        <v>61141983.75</v>
      </c>
      <c r="N183" s="21">
        <f>SUM(N181:N182)</f>
        <v>-54543027.049999997</v>
      </c>
      <c r="O183" s="21">
        <f>SUM(O181:O182)</f>
        <v>115685010.80000001</v>
      </c>
      <c r="P183" s="22"/>
      <c r="Q183" s="21">
        <f>SUM(Q181:Q182)</f>
        <v>5981009379.5100012</v>
      </c>
      <c r="R183" s="22"/>
      <c r="S183" s="21">
        <f>SUM(S181:S182)</f>
        <v>1478</v>
      </c>
      <c r="U183" s="21">
        <f>SUM(U181:U182)</f>
        <v>61141983.75</v>
      </c>
      <c r="V183" s="21">
        <f>SUM(V181:V182)</f>
        <v>-54543027.049999997</v>
      </c>
      <c r="W183" s="21">
        <f>SUM(W181:W182)</f>
        <v>115685010.80000001</v>
      </c>
      <c r="X183" s="22"/>
      <c r="Y183" s="21">
        <f>SUM(Y181:Y182)</f>
        <v>5981009379.5100012</v>
      </c>
      <c r="Z183" s="22"/>
      <c r="AA183" s="21">
        <f>SUM(AA181:AA182)</f>
        <v>1478</v>
      </c>
      <c r="AB183" s="16"/>
    </row>
    <row r="184" spans="1:28" x14ac:dyDescent="0.2">
      <c r="C184" t="s">
        <v>13</v>
      </c>
      <c r="E184" s="23">
        <f>IF(E183=0,"",E181/E183)</f>
        <v>0.12560248107612892</v>
      </c>
      <c r="F184" s="23">
        <f>IF(F183=0,"",F181/F183)</f>
        <v>8.4299736141825871E-3</v>
      </c>
      <c r="G184" s="23">
        <f>IF(G183=0,"",G181/G183)</f>
        <v>8.3347530808309589E-2</v>
      </c>
      <c r="H184" s="22"/>
      <c r="I184" s="23">
        <f>IF(I183=0,"",I181/I183)</f>
        <v>5.0642502393728049E-2</v>
      </c>
      <c r="J184" s="22"/>
      <c r="K184" s="23">
        <f>IF(K183=0,"",K181/K183)</f>
        <v>7.8947368421052627E-2</v>
      </c>
      <c r="M184" s="23">
        <f>IF(M183=0,"",M181/M183)</f>
        <v>8.5767579956873743E-2</v>
      </c>
      <c r="N184" s="23">
        <f>IF(N183=0,"",N181/N183)</f>
        <v>0.13785446805340079</v>
      </c>
      <c r="O184" s="23">
        <f>IF(O183=0,"",O181/O183)</f>
        <v>0.11032544209262415</v>
      </c>
      <c r="P184" s="22"/>
      <c r="Q184" s="23">
        <f>IF(Q183=0,"",Q181/Q183)</f>
        <v>5.4867854485271712E-2</v>
      </c>
      <c r="R184" s="22"/>
      <c r="S184" s="23">
        <f>IF(S183=0,"",S181/S183)</f>
        <v>9.1339648173207041E-2</v>
      </c>
      <c r="U184" s="23">
        <f>IF(U183=0,"",U181/U183)</f>
        <v>8.5767579956873743E-2</v>
      </c>
      <c r="V184" s="23">
        <f>IF(V183=0,"",V181/V183)</f>
        <v>0.13785446805340079</v>
      </c>
      <c r="W184" s="23">
        <f>IF(W183=0,"",W181/W183)</f>
        <v>0.11032544209262415</v>
      </c>
      <c r="X184" s="22"/>
      <c r="Y184" s="23">
        <f>IF(Y183=0,"",Y181/Y183)</f>
        <v>5.4867854485271712E-2</v>
      </c>
      <c r="Z184" s="22"/>
      <c r="AA184" s="23">
        <f>IF(AA183=0,"",AA181/AA183)</f>
        <v>9.1339648173207041E-2</v>
      </c>
      <c r="AB184" s="16"/>
    </row>
    <row r="185" spans="1:28" x14ac:dyDescent="0.2">
      <c r="AB185" s="16"/>
    </row>
    <row r="186" spans="1:28" x14ac:dyDescent="0.2">
      <c r="AB186" s="16"/>
    </row>
    <row r="187" spans="1:28" x14ac:dyDescent="0.2">
      <c r="AB187" s="16"/>
    </row>
    <row r="188" spans="1:28" x14ac:dyDescent="0.2">
      <c r="B188" s="25" t="s">
        <v>33</v>
      </c>
      <c r="E188" s="29"/>
      <c r="F188" s="29"/>
      <c r="G188" s="3"/>
      <c r="I188" s="14"/>
      <c r="K188" s="3"/>
      <c r="M188" s="29"/>
      <c r="N188" s="29"/>
      <c r="O188" s="3"/>
      <c r="Q188" s="14"/>
      <c r="S188" s="3"/>
      <c r="U188" s="29"/>
      <c r="V188" s="29"/>
      <c r="W188" s="3"/>
      <c r="Y188" s="14"/>
      <c r="AA188" s="3"/>
      <c r="AB188" s="16"/>
    </row>
    <row r="189" spans="1:28" x14ac:dyDescent="0.2">
      <c r="A189" s="16" t="s">
        <v>60</v>
      </c>
      <c r="B189" s="25"/>
      <c r="C189" t="s">
        <v>11</v>
      </c>
      <c r="E189" s="29">
        <f>IF(ISNA(ABS(VLOOKUP($A189,VARDATA,E$3,FALSE))),0,ABS(VLOOKUP($A189,VARDATA,E$3,FALSE)))</f>
        <v>0</v>
      </c>
      <c r="F189" s="37">
        <f>-IF(ISNA(ABS(VLOOKUP($A189,VARDATA,F$3,FALSE))),0,ABS(VLOOKUP($A189,VARDATA,F$3,FALSE)))</f>
        <v>0</v>
      </c>
      <c r="G189" s="19">
        <f>ABS(F189)+ABS(E189)</f>
        <v>0</v>
      </c>
      <c r="H189" s="20"/>
      <c r="I189" s="46">
        <f>IF(ISNA(ABS(VLOOKUP($A189,VARDATA,I$4,FALSE))),0,ABS(VLOOKUP($A189,VARDATA,I$4,FALSE)))+IF(ISNA(ABS(VLOOKUP($A189,VARDATA,I$3,FALSE))),0,ABS(VLOOKUP($A189,VARDATA,I$3,FALSE)))</f>
        <v>0</v>
      </c>
      <c r="J189" s="20"/>
      <c r="K189" s="29">
        <f>IF(ISNA(ABS(VLOOKUP($A189,VARDATA,K$3,FALSE))),0,ABS(VLOOKUP($A189,VARDATA,K$3,FALSE)))</f>
        <v>0</v>
      </c>
      <c r="M189" s="29">
        <f>IF(ISNA(ABS(VLOOKUP($A189,VARDATA,M$3,FALSE))),0,ABS(VLOOKUP($A189,VARDATA,M$3,FALSE)))</f>
        <v>0</v>
      </c>
      <c r="N189" s="37">
        <f>-IF(ISNA(ABS(VLOOKUP($A189,VARDATA,N$3,FALSE))),0,ABS(VLOOKUP($A189,VARDATA,N$3,FALSE)))</f>
        <v>0</v>
      </c>
      <c r="O189" s="19">
        <f>ABS(N189)+ABS(M189)</f>
        <v>0</v>
      </c>
      <c r="P189" s="20"/>
      <c r="Q189" s="46">
        <f>IF(ISNA(ABS(VLOOKUP($A189,VARDATA,Q$4,FALSE))),0,ABS(VLOOKUP($A189,VARDATA,Q$4,FALSE)))+IF(ISNA(ABS(VLOOKUP($A189,VARDATA,Q$3,FALSE))),0,ABS(VLOOKUP($A189,VARDATA,Q$3,FALSE)))</f>
        <v>0</v>
      </c>
      <c r="R189" s="20"/>
      <c r="S189" s="29">
        <f>IF(ISNA(ABS(VLOOKUP($A189,VARDATA,S$3,FALSE))),0,ABS(VLOOKUP($A189,VARDATA,S$3,FALSE)))</f>
        <v>0</v>
      </c>
      <c r="U189" s="29">
        <f>IF(ISNA(ABS(VLOOKUP($A189,VARDATA,U$3,FALSE))),0,ABS(VLOOKUP($A189,VARDATA,U$3,FALSE)))</f>
        <v>0</v>
      </c>
      <c r="V189" s="37">
        <f>-IF(ISNA(ABS(VLOOKUP($A189,VARDATA,V$3,FALSE))),0,ABS(VLOOKUP($A189,VARDATA,V$3,FALSE)))</f>
        <v>0</v>
      </c>
      <c r="W189" s="19">
        <f>ABS(V189)+ABS(U189)</f>
        <v>0</v>
      </c>
      <c r="X189" s="20"/>
      <c r="Y189" s="46">
        <f>IF(ISNA(ABS(VLOOKUP($A189,VARDATA,Y$4,FALSE))),0,ABS(VLOOKUP($A189,VARDATA,Y$4,FALSE)))+IF(ISNA(ABS(VLOOKUP($A189,VARDATA,Y$3,FALSE))),0,ABS(VLOOKUP($A189,VARDATA,Y$3,FALSE)))</f>
        <v>0</v>
      </c>
      <c r="Z189" s="20"/>
      <c r="AA189" s="29">
        <f>IF(ISNA(ABS(VLOOKUP($A189,VARDATA,AA$3,FALSE))),0,ABS(VLOOKUP($A189,VARDATA,AA$3,FALSE)))</f>
        <v>0</v>
      </c>
      <c r="AB189" s="16"/>
    </row>
    <row r="190" spans="1:28" x14ac:dyDescent="0.2">
      <c r="A190" s="16" t="s">
        <v>31</v>
      </c>
      <c r="B190" s="25"/>
      <c r="C190" t="s">
        <v>12</v>
      </c>
      <c r="E190" s="29">
        <f>IF(ISNA(ABS(VLOOKUP($A190,VARDATA,E$3,FALSE))),0,ABS(VLOOKUP($A190,VARDATA,E$3,FALSE)))</f>
        <v>0</v>
      </c>
      <c r="F190" s="37">
        <f>-IF(ISNA(ABS(VLOOKUP($A190,VARDATA,F$3,FALSE))),0,ABS(VLOOKUP($A190,VARDATA,F$3,FALSE)))</f>
        <v>0</v>
      </c>
      <c r="G190" s="19">
        <f>ABS(F190)+ABS(E190)</f>
        <v>0</v>
      </c>
      <c r="H190" s="20"/>
      <c r="I190" s="46">
        <f>IF(ISNA(ABS(VLOOKUP($A190,VARDATA,I$4,FALSE))),0,ABS(VLOOKUP($A190,VARDATA,I$4,FALSE)))+IF(ISNA(ABS(VLOOKUP($A190,VARDATA,I$3,FALSE))),0,ABS(VLOOKUP($A190,VARDATA,I$3,FALSE)))</f>
        <v>0</v>
      </c>
      <c r="J190" s="20"/>
      <c r="K190" s="29">
        <f>IF(ISNA(ABS(VLOOKUP($A190,VARDATA,K$3,FALSE))),0,ABS(VLOOKUP($A190,VARDATA,K$3,FALSE)))</f>
        <v>0</v>
      </c>
      <c r="M190" s="29">
        <f>IF(ISNA(ABS(VLOOKUP($A190,VARDATA,M$3,FALSE))),0,ABS(VLOOKUP($A190,VARDATA,M$3,FALSE)))</f>
        <v>6100</v>
      </c>
      <c r="N190" s="37">
        <f>-IF(ISNA(ABS(VLOOKUP($A190,VARDATA,N$3,FALSE))),0,ABS(VLOOKUP($A190,VARDATA,N$3,FALSE)))</f>
        <v>-6027</v>
      </c>
      <c r="O190" s="19">
        <f>ABS(N190)+ABS(M190)</f>
        <v>12127</v>
      </c>
      <c r="P190" s="20"/>
      <c r="Q190" s="46">
        <f>IF(ISNA(ABS(VLOOKUP($A190,VARDATA,Q$4,FALSE))),0,ABS(VLOOKUP($A190,VARDATA,Q$4,FALSE)))+IF(ISNA(ABS(VLOOKUP($A190,VARDATA,Q$3,FALSE))),0,ABS(VLOOKUP($A190,VARDATA,Q$3,FALSE)))</f>
        <v>5193289</v>
      </c>
      <c r="R190" s="20"/>
      <c r="S190" s="29">
        <f>IF(ISNA(ABS(VLOOKUP($A190,VARDATA,S$3,FALSE))),0,ABS(VLOOKUP($A190,VARDATA,S$3,FALSE)))</f>
        <v>45</v>
      </c>
      <c r="U190" s="29">
        <f>IF(ISNA(ABS(VLOOKUP($A190,VARDATA,U$3,FALSE))),0,ABS(VLOOKUP($A190,VARDATA,U$3,FALSE)))</f>
        <v>26729</v>
      </c>
      <c r="V190" s="37">
        <f>-IF(ISNA(ABS(VLOOKUP($A190,VARDATA,V$3,FALSE))),0,ABS(VLOOKUP($A190,VARDATA,V$3,FALSE)))</f>
        <v>-11056</v>
      </c>
      <c r="W190" s="19">
        <f>ABS(V190)+ABS(U190)</f>
        <v>37785</v>
      </c>
      <c r="X190" s="20"/>
      <c r="Y190" s="46">
        <f>IF(ISNA(ABS(VLOOKUP($A190,VARDATA,Y$4,FALSE))),0,ABS(VLOOKUP($A190,VARDATA,Y$4,FALSE)))+IF(ISNA(ABS(VLOOKUP($A190,VARDATA,Y$3,FALSE))),0,ABS(VLOOKUP($A190,VARDATA,Y$3,FALSE)))</f>
        <v>18368929</v>
      </c>
      <c r="Z190" s="20"/>
      <c r="AA190" s="29">
        <f>IF(ISNA(ABS(VLOOKUP($A190,VARDATA,AA$3,FALSE))),0,ABS(VLOOKUP($A190,VARDATA,AA$3,FALSE)))</f>
        <v>93</v>
      </c>
      <c r="AB190" s="16"/>
    </row>
    <row r="191" spans="1:28" x14ac:dyDescent="0.2">
      <c r="B191" s="25"/>
      <c r="C191" t="s">
        <v>10</v>
      </c>
      <c r="E191" s="21">
        <f>SUM(E189:E190)</f>
        <v>0</v>
      </c>
      <c r="F191" s="21">
        <f>SUM(F189:F190)</f>
        <v>0</v>
      </c>
      <c r="G191" s="21">
        <f>SUM(G189:G190)</f>
        <v>0</v>
      </c>
      <c r="H191" s="22"/>
      <c r="I191" s="21">
        <f>SUM(I189:I190)</f>
        <v>0</v>
      </c>
      <c r="J191" s="22"/>
      <c r="K191" s="21">
        <f>SUM(K189:K190)</f>
        <v>0</v>
      </c>
      <c r="M191" s="21">
        <f>SUM(M189:M190)</f>
        <v>6100</v>
      </c>
      <c r="N191" s="21">
        <f>SUM(N189:N190)</f>
        <v>-6027</v>
      </c>
      <c r="O191" s="21">
        <f>SUM(O189:O190)</f>
        <v>12127</v>
      </c>
      <c r="P191" s="22"/>
      <c r="Q191" s="21">
        <f>SUM(Q189:Q190)</f>
        <v>5193289</v>
      </c>
      <c r="R191" s="22"/>
      <c r="S191" s="21">
        <f>SUM(S189:S190)</f>
        <v>45</v>
      </c>
      <c r="U191" s="21">
        <f>SUM(U189:U190)</f>
        <v>26729</v>
      </c>
      <c r="V191" s="21">
        <f>SUM(V189:V190)</f>
        <v>-11056</v>
      </c>
      <c r="W191" s="21">
        <f>SUM(W189:W190)</f>
        <v>37785</v>
      </c>
      <c r="X191" s="22"/>
      <c r="Y191" s="21">
        <f>SUM(Y189:Y190)</f>
        <v>18368929</v>
      </c>
      <c r="Z191" s="22"/>
      <c r="AA191" s="21">
        <f>SUM(AA189:AA190)</f>
        <v>93</v>
      </c>
      <c r="AB191" s="16"/>
    </row>
    <row r="192" spans="1:28" x14ac:dyDescent="0.2">
      <c r="C192" t="s">
        <v>13</v>
      </c>
      <c r="E192" s="23" t="str">
        <f>IF(E191=0,"",E189/E191)</f>
        <v/>
      </c>
      <c r="F192" s="23" t="str">
        <f>IF(F191=0,"",F189/F191)</f>
        <v/>
      </c>
      <c r="G192" s="23" t="str">
        <f>IF(G191=0,"",G189/G191)</f>
        <v/>
      </c>
      <c r="H192" s="22"/>
      <c r="I192" s="23" t="str">
        <f>IF(I191=0,"",I189/I191)</f>
        <v/>
      </c>
      <c r="J192" s="22"/>
      <c r="K192" s="23" t="str">
        <f>IF(K191=0,"",K189/K191)</f>
        <v/>
      </c>
      <c r="M192" s="23">
        <f>IF(M191=0,"",M189/M191)</f>
        <v>0</v>
      </c>
      <c r="N192" s="23">
        <f>IF(N191=0,"",N189/N191)</f>
        <v>0</v>
      </c>
      <c r="O192" s="23">
        <f>IF(O191=0,"",O189/O191)</f>
        <v>0</v>
      </c>
      <c r="P192" s="22"/>
      <c r="Q192" s="23">
        <f>IF(Q191=0,"",Q189/Q191)</f>
        <v>0</v>
      </c>
      <c r="R192" s="22"/>
      <c r="S192" s="23">
        <f>IF(S191=0,"",S189/S191)</f>
        <v>0</v>
      </c>
      <c r="U192" s="23">
        <f>IF(U191=0,"",U189/U191)</f>
        <v>0</v>
      </c>
      <c r="V192" s="23">
        <f>IF(V191=0,"",V189/V191)</f>
        <v>0</v>
      </c>
      <c r="W192" s="23">
        <f>IF(W191=0,"",W189/W191)</f>
        <v>0</v>
      </c>
      <c r="X192" s="22"/>
      <c r="Y192" s="23">
        <f>IF(Y191=0,"",Y189/Y191)</f>
        <v>0</v>
      </c>
      <c r="Z192" s="22"/>
      <c r="AA192" s="23">
        <f>IF(AA191=0,"",AA189/AA191)</f>
        <v>0</v>
      </c>
      <c r="AB192" s="16"/>
    </row>
    <row r="193" spans="1:28" x14ac:dyDescent="0.2">
      <c r="AB193" s="16"/>
    </row>
    <row r="194" spans="1:28" x14ac:dyDescent="0.2">
      <c r="B194" s="25" t="s">
        <v>58</v>
      </c>
      <c r="E194" s="29"/>
      <c r="F194" s="29"/>
      <c r="G194" s="3"/>
      <c r="I194" s="14"/>
      <c r="K194" s="3"/>
      <c r="M194" s="29"/>
      <c r="N194" s="29"/>
      <c r="O194" s="3"/>
      <c r="Q194" s="14"/>
      <c r="S194" s="3"/>
      <c r="U194" s="29"/>
      <c r="V194" s="29"/>
      <c r="W194" s="3"/>
      <c r="Y194" s="14"/>
      <c r="AA194" s="3"/>
      <c r="AB194" s="16"/>
    </row>
    <row r="195" spans="1:28" x14ac:dyDescent="0.2">
      <c r="A195" s="16" t="s">
        <v>59</v>
      </c>
      <c r="B195" s="25"/>
      <c r="C195" t="s">
        <v>11</v>
      </c>
      <c r="E195" s="29">
        <f>IF(ISNA(ABS(VLOOKUP($A195,VARDATA,E$3,FALSE))),0,ABS(VLOOKUP($A195,VARDATA,E$3,FALSE)))</f>
        <v>0</v>
      </c>
      <c r="F195" s="37">
        <f>-IF(ISNA(ABS(VLOOKUP($A195,VARDATA,F$3,FALSE))),0,ABS(VLOOKUP($A195,VARDATA,F$3,FALSE)))</f>
        <v>0</v>
      </c>
      <c r="G195" s="19">
        <f>ABS(F195)+ABS(E195)</f>
        <v>0</v>
      </c>
      <c r="H195" s="20"/>
      <c r="I195" s="46">
        <f>IF(ISNA(ABS(VLOOKUP($A195,VARDATA,I$4,FALSE))),0,ABS(VLOOKUP($A195,VARDATA,I$4,FALSE)))+IF(ISNA(ABS(VLOOKUP($A195,VARDATA,I$3,FALSE))),0,ABS(VLOOKUP($A195,VARDATA,I$3,FALSE)))</f>
        <v>0</v>
      </c>
      <c r="J195" s="20"/>
      <c r="K195" s="29">
        <f>IF(ISNA(ABS(VLOOKUP($A195,VARDATA,K$3,FALSE))),0,ABS(VLOOKUP($A195,VARDATA,K$3,FALSE)))</f>
        <v>0</v>
      </c>
      <c r="M195" s="29">
        <f>IF(ISNA(ABS(VLOOKUP($A195,VARDATA,M$3,FALSE))),0,ABS(VLOOKUP($A195,VARDATA,M$3,FALSE)))</f>
        <v>750</v>
      </c>
      <c r="N195" s="37">
        <f>-IF(ISNA(ABS(VLOOKUP($A195,VARDATA,N$3,FALSE))),0,ABS(VLOOKUP($A195,VARDATA,N$3,FALSE)))</f>
        <v>0</v>
      </c>
      <c r="O195" s="19">
        <f>ABS(N195)+ABS(M195)</f>
        <v>750</v>
      </c>
      <c r="P195" s="20"/>
      <c r="Q195" s="46">
        <f>IF(ISNA(ABS(VLOOKUP($A195,VARDATA,Q$4,FALSE))),0,ABS(VLOOKUP($A195,VARDATA,Q$4,FALSE)))+IF(ISNA(ABS(VLOOKUP($A195,VARDATA,Q$3,FALSE))),0,ABS(VLOOKUP($A195,VARDATA,Q$3,FALSE)))</f>
        <v>393750</v>
      </c>
      <c r="R195" s="20"/>
      <c r="S195" s="29">
        <f>IF(ISNA(ABS(VLOOKUP($A195,VARDATA,S$3,FALSE))),0,ABS(VLOOKUP($A195,VARDATA,S$3,FALSE)))</f>
        <v>1</v>
      </c>
      <c r="U195" s="29">
        <f>IF(ISNA(ABS(VLOOKUP($A195,VARDATA,U$3,FALSE))),0,ABS(VLOOKUP($A195,VARDATA,U$3,FALSE)))</f>
        <v>750</v>
      </c>
      <c r="V195" s="37">
        <f>-IF(ISNA(ABS(VLOOKUP($A195,VARDATA,V$3,FALSE))),0,ABS(VLOOKUP($A195,VARDATA,V$3,FALSE)))</f>
        <v>-1800</v>
      </c>
      <c r="W195" s="19">
        <f>ABS(V195)+ABS(U195)</f>
        <v>2550</v>
      </c>
      <c r="X195" s="20"/>
      <c r="Y195" s="46">
        <f>IF(ISNA(ABS(VLOOKUP($A195,VARDATA,Y$4,FALSE))),0,ABS(VLOOKUP($A195,VARDATA,Y$4,FALSE)))+IF(ISNA(ABS(VLOOKUP($A195,VARDATA,Y$3,FALSE))),0,ABS(VLOOKUP($A195,VARDATA,Y$3,FALSE)))</f>
        <v>1500750</v>
      </c>
      <c r="Z195" s="20"/>
      <c r="AA195" s="29">
        <f>IF(ISNA(ABS(VLOOKUP($A195,VARDATA,AA$3,FALSE))),0,ABS(VLOOKUP($A195,VARDATA,AA$3,FALSE)))</f>
        <v>4</v>
      </c>
      <c r="AB195" s="16"/>
    </row>
    <row r="196" spans="1:28" x14ac:dyDescent="0.2">
      <c r="A196" s="16" t="s">
        <v>32</v>
      </c>
      <c r="B196" s="25"/>
      <c r="C196" t="s">
        <v>12</v>
      </c>
      <c r="E196" s="29">
        <f>IF(ISNA(ABS(VLOOKUP($A196,VARDATA,E$3,FALSE))),0,ABS(VLOOKUP($A196,VARDATA,E$3,FALSE)))</f>
        <v>0</v>
      </c>
      <c r="F196" s="37">
        <f>-IF(ISNA(ABS(VLOOKUP($A196,VARDATA,F$3,FALSE))),0,ABS(VLOOKUP($A196,VARDATA,F$3,FALSE)))</f>
        <v>0</v>
      </c>
      <c r="G196" s="19">
        <f>ABS(F196)+ABS(E196)</f>
        <v>0</v>
      </c>
      <c r="H196" s="20"/>
      <c r="I196" s="46">
        <f>IF(ISNA(ABS(VLOOKUP($A196,VARDATA,I$4,FALSE))),0,ABS(VLOOKUP($A196,VARDATA,I$4,FALSE)))+IF(ISNA(ABS(VLOOKUP($A196,VARDATA,I$3,FALSE))),0,ABS(VLOOKUP($A196,VARDATA,I$3,FALSE)))</f>
        <v>0</v>
      </c>
      <c r="J196" s="20"/>
      <c r="K196" s="29">
        <f>IF(ISNA(ABS(VLOOKUP($A196,VARDATA,K$3,FALSE))),0,ABS(VLOOKUP($A196,VARDATA,K$3,FALSE)))</f>
        <v>0</v>
      </c>
      <c r="M196" s="29">
        <f>IF(ISNA(ABS(VLOOKUP($A196,VARDATA,M$3,FALSE))),0,ABS(VLOOKUP($A196,VARDATA,M$3,FALSE)))</f>
        <v>132000</v>
      </c>
      <c r="N196" s="37">
        <f>-IF(ISNA(ABS(VLOOKUP($A196,VARDATA,N$3,FALSE))),0,ABS(VLOOKUP($A196,VARDATA,N$3,FALSE)))</f>
        <v>-164100</v>
      </c>
      <c r="O196" s="19">
        <f>ABS(N196)+ABS(M196)</f>
        <v>296100</v>
      </c>
      <c r="P196" s="20"/>
      <c r="Q196" s="46">
        <f>IF(ISNA(ABS(VLOOKUP($A196,VARDATA,Q$4,FALSE))),0,ABS(VLOOKUP($A196,VARDATA,Q$4,FALSE)))+IF(ISNA(ABS(VLOOKUP($A196,VARDATA,Q$3,FALSE))),0,ABS(VLOOKUP($A196,VARDATA,Q$3,FALSE)))</f>
        <v>105955500</v>
      </c>
      <c r="R196" s="20"/>
      <c r="S196" s="29">
        <f>IF(ISNA(ABS(VLOOKUP($A196,VARDATA,S$3,FALSE))),0,ABS(VLOOKUP($A196,VARDATA,S$3,FALSE)))</f>
        <v>15</v>
      </c>
      <c r="U196" s="29">
        <f>IF(ISNA(ABS(VLOOKUP($A196,VARDATA,U$3,FALSE))),0,ABS(VLOOKUP($A196,VARDATA,U$3,FALSE)))</f>
        <v>321000</v>
      </c>
      <c r="V196" s="37">
        <f>-IF(ISNA(ABS(VLOOKUP($A196,VARDATA,V$3,FALSE))),0,ABS(VLOOKUP($A196,VARDATA,V$3,FALSE)))</f>
        <v>-176356.04</v>
      </c>
      <c r="W196" s="19">
        <f>ABS(V196)+ABS(U196)</f>
        <v>497356.04000000004</v>
      </c>
      <c r="X196" s="20"/>
      <c r="Y196" s="46">
        <f>IF(ISNA(ABS(VLOOKUP($A196,VARDATA,Y$4,FALSE))),0,ABS(VLOOKUP($A196,VARDATA,Y$4,FALSE)))+IF(ISNA(ABS(VLOOKUP($A196,VARDATA,Y$3,FALSE))),0,ABS(VLOOKUP($A196,VARDATA,Y$3,FALSE)))</f>
        <v>147242867.82999998</v>
      </c>
      <c r="Z196" s="20"/>
      <c r="AA196" s="29">
        <f>IF(ISNA(ABS(VLOOKUP($A196,VARDATA,AA$3,FALSE))),0,ABS(VLOOKUP($A196,VARDATA,AA$3,FALSE)))</f>
        <v>26</v>
      </c>
      <c r="AB196" s="16"/>
    </row>
    <row r="197" spans="1:28" x14ac:dyDescent="0.2">
      <c r="B197" s="25"/>
      <c r="C197" t="s">
        <v>10</v>
      </c>
      <c r="E197" s="21">
        <f>SUM(E195:E196)</f>
        <v>0</v>
      </c>
      <c r="F197" s="21">
        <f>SUM(F195:F196)</f>
        <v>0</v>
      </c>
      <c r="G197" s="21">
        <f>SUM(G195:G196)</f>
        <v>0</v>
      </c>
      <c r="H197" s="22"/>
      <c r="I197" s="21">
        <f>SUM(I195:I196)</f>
        <v>0</v>
      </c>
      <c r="J197" s="22"/>
      <c r="K197" s="21">
        <f>SUM(K195:K196)</f>
        <v>0</v>
      </c>
      <c r="M197" s="21">
        <f>SUM(M195:M196)</f>
        <v>132750</v>
      </c>
      <c r="N197" s="21">
        <f>SUM(N195:N196)</f>
        <v>-164100</v>
      </c>
      <c r="O197" s="21">
        <f>SUM(O195:O196)</f>
        <v>296850</v>
      </c>
      <c r="P197" s="22"/>
      <c r="Q197" s="21">
        <f>SUM(Q195:Q196)</f>
        <v>106349250</v>
      </c>
      <c r="R197" s="22"/>
      <c r="S197" s="21">
        <f>SUM(S195:S196)</f>
        <v>16</v>
      </c>
      <c r="U197" s="21">
        <f>SUM(U195:U196)</f>
        <v>321750</v>
      </c>
      <c r="V197" s="21">
        <f>SUM(V195:V196)</f>
        <v>-178156.04</v>
      </c>
      <c r="W197" s="21">
        <f>SUM(W195:W196)</f>
        <v>499906.04000000004</v>
      </c>
      <c r="X197" s="22"/>
      <c r="Y197" s="21">
        <f>SUM(Y195:Y196)</f>
        <v>148743617.82999998</v>
      </c>
      <c r="Z197" s="22"/>
      <c r="AA197" s="21">
        <f>SUM(AA195:AA196)</f>
        <v>30</v>
      </c>
      <c r="AB197" s="16"/>
    </row>
    <row r="198" spans="1:28" x14ac:dyDescent="0.2">
      <c r="C198" t="s">
        <v>13</v>
      </c>
      <c r="E198" s="23" t="str">
        <f>IF(E197=0,"",E195/E197)</f>
        <v/>
      </c>
      <c r="F198" s="23" t="str">
        <f>IF(F197=0,"",F195/F197)</f>
        <v/>
      </c>
      <c r="G198" s="23" t="str">
        <f>IF(G197=0,"",G195/G197)</f>
        <v/>
      </c>
      <c r="H198" s="22"/>
      <c r="I198" s="23" t="str">
        <f>IF(I197=0,"",I195/I197)</f>
        <v/>
      </c>
      <c r="J198" s="22"/>
      <c r="K198" s="23" t="str">
        <f>IF(K197=0,"",K195/K197)</f>
        <v/>
      </c>
      <c r="M198" s="23">
        <f>IF(M197=0,"",M195/M197)</f>
        <v>5.6497175141242938E-3</v>
      </c>
      <c r="N198" s="23">
        <f>IF(N197=0,"",N195/N197)</f>
        <v>0</v>
      </c>
      <c r="O198" s="23">
        <f>IF(O197=0,"",O195/O197)</f>
        <v>2.5265285497726125E-3</v>
      </c>
      <c r="P198" s="22"/>
      <c r="Q198" s="23">
        <f>IF(Q197=0,"",Q195/Q197)</f>
        <v>3.7024238534827465E-3</v>
      </c>
      <c r="R198" s="22"/>
      <c r="S198" s="23">
        <f>IF(S197=0,"",S195/S197)</f>
        <v>6.25E-2</v>
      </c>
      <c r="U198" s="23">
        <f>IF(U197=0,"",U195/U197)</f>
        <v>2.331002331002331E-3</v>
      </c>
      <c r="V198" s="23">
        <f>IF(V197=0,"",V195/V197)</f>
        <v>1.0103502525089804E-2</v>
      </c>
      <c r="W198" s="23">
        <f>IF(W197=0,"",W195/W197)</f>
        <v>5.1009585721348751E-3</v>
      </c>
      <c r="X198" s="22"/>
      <c r="Y198" s="23">
        <f>IF(Y197=0,"",Y195/Y197)</f>
        <v>1.0089508524091545E-2</v>
      </c>
      <c r="Z198" s="22"/>
      <c r="AA198" s="23">
        <f>IF(AA197=0,"",AA195/AA197)</f>
        <v>0.13333333333333333</v>
      </c>
      <c r="AB198" s="16"/>
    </row>
    <row r="199" spans="1:28" x14ac:dyDescent="0.2">
      <c r="AB199" s="16"/>
    </row>
    <row r="200" spans="1:28" x14ac:dyDescent="0.2">
      <c r="B200" s="25" t="s">
        <v>57</v>
      </c>
      <c r="E200" s="29"/>
      <c r="F200" s="29"/>
      <c r="G200" s="3"/>
      <c r="I200" s="14"/>
      <c r="K200" s="3"/>
      <c r="M200" s="29"/>
      <c r="N200" s="29"/>
      <c r="O200" s="3"/>
      <c r="Q200" s="14"/>
      <c r="S200" s="3"/>
      <c r="U200" s="29"/>
      <c r="V200" s="29"/>
      <c r="W200" s="3"/>
      <c r="Y200" s="14"/>
      <c r="AA200" s="3"/>
      <c r="AB200" s="16"/>
    </row>
    <row r="201" spans="1:28" x14ac:dyDescent="0.2">
      <c r="B201" s="25"/>
      <c r="C201" t="s">
        <v>11</v>
      </c>
      <c r="E201" s="47">
        <f t="shared" ref="E201:G202" si="9">E195+E189</f>
        <v>0</v>
      </c>
      <c r="F201" s="47">
        <f t="shared" si="9"/>
        <v>0</v>
      </c>
      <c r="G201" s="47">
        <f t="shared" si="9"/>
        <v>0</v>
      </c>
      <c r="H201" s="20"/>
      <c r="I201" s="47">
        <f>I195+I189</f>
        <v>0</v>
      </c>
      <c r="J201" s="20"/>
      <c r="K201" s="47">
        <f>K195+K189</f>
        <v>0</v>
      </c>
      <c r="M201" s="47">
        <f t="shared" ref="M201:O202" si="10">M195+M189</f>
        <v>750</v>
      </c>
      <c r="N201" s="47">
        <f t="shared" si="10"/>
        <v>0</v>
      </c>
      <c r="O201" s="47">
        <f t="shared" si="10"/>
        <v>750</v>
      </c>
      <c r="P201" s="20"/>
      <c r="Q201" s="47">
        <f>Q195+Q189</f>
        <v>393750</v>
      </c>
      <c r="R201" s="20"/>
      <c r="S201" s="47">
        <f>S195+S189</f>
        <v>1</v>
      </c>
      <c r="U201" s="47">
        <f t="shared" ref="U201:W202" si="11">U195+U189</f>
        <v>750</v>
      </c>
      <c r="V201" s="47">
        <f t="shared" si="11"/>
        <v>-1800</v>
      </c>
      <c r="W201" s="47">
        <f t="shared" si="11"/>
        <v>2550</v>
      </c>
      <c r="X201" s="20"/>
      <c r="Y201" s="47">
        <f>Y195+Y189</f>
        <v>1500750</v>
      </c>
      <c r="Z201" s="20"/>
      <c r="AA201" s="47">
        <f>AA195+AA189</f>
        <v>4</v>
      </c>
      <c r="AB201" s="16"/>
    </row>
    <row r="202" spans="1:28" x14ac:dyDescent="0.2">
      <c r="B202" s="25"/>
      <c r="C202" t="s">
        <v>12</v>
      </c>
      <c r="E202" s="47">
        <f t="shared" si="9"/>
        <v>0</v>
      </c>
      <c r="F202" s="47">
        <f t="shared" si="9"/>
        <v>0</v>
      </c>
      <c r="G202" s="47">
        <f t="shared" si="9"/>
        <v>0</v>
      </c>
      <c r="H202" s="20"/>
      <c r="I202" s="47">
        <f>I196+I190</f>
        <v>0</v>
      </c>
      <c r="J202" s="20"/>
      <c r="K202" s="47">
        <f>K196+K190</f>
        <v>0</v>
      </c>
      <c r="M202" s="47">
        <f t="shared" si="10"/>
        <v>138100</v>
      </c>
      <c r="N202" s="47">
        <f t="shared" si="10"/>
        <v>-170127</v>
      </c>
      <c r="O202" s="47">
        <f t="shared" si="10"/>
        <v>308227</v>
      </c>
      <c r="P202" s="20"/>
      <c r="Q202" s="47">
        <f>Q196+Q190</f>
        <v>111148789</v>
      </c>
      <c r="R202" s="20"/>
      <c r="S202" s="47">
        <f>S196+S190</f>
        <v>60</v>
      </c>
      <c r="U202" s="47">
        <f t="shared" si="11"/>
        <v>347729</v>
      </c>
      <c r="V202" s="47">
        <f t="shared" si="11"/>
        <v>-187412.04</v>
      </c>
      <c r="W202" s="47">
        <f t="shared" si="11"/>
        <v>535141.04</v>
      </c>
      <c r="X202" s="20"/>
      <c r="Y202" s="47">
        <f>Y196+Y190</f>
        <v>165611796.82999998</v>
      </c>
      <c r="Z202" s="20"/>
      <c r="AA202" s="47">
        <f>AA196+AA190</f>
        <v>119</v>
      </c>
      <c r="AB202" s="16"/>
    </row>
    <row r="203" spans="1:28" x14ac:dyDescent="0.2">
      <c r="B203" s="25"/>
      <c r="C203" t="s">
        <v>10</v>
      </c>
      <c r="E203" s="21">
        <f>SUM(E201:E202)</f>
        <v>0</v>
      </c>
      <c r="F203" s="21">
        <f>SUM(F201:F202)</f>
        <v>0</v>
      </c>
      <c r="G203" s="21">
        <f>SUM(G201:G202)</f>
        <v>0</v>
      </c>
      <c r="H203" s="22"/>
      <c r="I203" s="21">
        <f>SUM(I201:I202)</f>
        <v>0</v>
      </c>
      <c r="J203" s="22"/>
      <c r="K203" s="21">
        <f>SUM(K201:K202)</f>
        <v>0</v>
      </c>
      <c r="M203" s="21">
        <f>SUM(M201:M202)</f>
        <v>138850</v>
      </c>
      <c r="N203" s="21">
        <f>SUM(N201:N202)</f>
        <v>-170127</v>
      </c>
      <c r="O203" s="21">
        <f>SUM(O201:O202)</f>
        <v>308977</v>
      </c>
      <c r="P203" s="22"/>
      <c r="Q203" s="21">
        <f>SUM(Q201:Q202)</f>
        <v>111542539</v>
      </c>
      <c r="R203" s="22"/>
      <c r="S203" s="21">
        <f>SUM(S201:S202)</f>
        <v>61</v>
      </c>
      <c r="U203" s="21">
        <f>SUM(U201:U202)</f>
        <v>348479</v>
      </c>
      <c r="V203" s="21">
        <f>SUM(V201:V202)</f>
        <v>-189212.04</v>
      </c>
      <c r="W203" s="21">
        <f>SUM(W201:W202)</f>
        <v>537691.04</v>
      </c>
      <c r="X203" s="22"/>
      <c r="Y203" s="21">
        <f>SUM(Y201:Y202)</f>
        <v>167112546.82999998</v>
      </c>
      <c r="Z203" s="22"/>
      <c r="AA203" s="21">
        <f>SUM(AA201:AA202)</f>
        <v>123</v>
      </c>
      <c r="AB203" s="16"/>
    </row>
    <row r="204" spans="1:28" x14ac:dyDescent="0.2">
      <c r="C204" t="s">
        <v>13</v>
      </c>
      <c r="E204" s="23" t="str">
        <f>IF(E203=0,"",E201/E203)</f>
        <v/>
      </c>
      <c r="F204" s="23" t="str">
        <f>IF(F203=0,"",F201/F203)</f>
        <v/>
      </c>
      <c r="G204" s="23" t="str">
        <f>IF(G203=0,"",G201/G203)</f>
        <v/>
      </c>
      <c r="H204" s="22"/>
      <c r="I204" s="23" t="str">
        <f>IF(I203=0,"",I201/I203)</f>
        <v/>
      </c>
      <c r="J204" s="22"/>
      <c r="K204" s="23" t="str">
        <f>IF(K203=0,"",K201/K203)</f>
        <v/>
      </c>
      <c r="M204" s="23">
        <f>IF(M203=0,"",M201/M203)</f>
        <v>5.4015124234785741E-3</v>
      </c>
      <c r="N204" s="23">
        <f>IF(N203=0,"",N201/N203)</f>
        <v>0</v>
      </c>
      <c r="O204" s="23">
        <f>IF(O203=0,"",O201/O203)</f>
        <v>2.4273651436838343E-3</v>
      </c>
      <c r="P204" s="22"/>
      <c r="Q204" s="23">
        <f>IF(Q203=0,"",Q201/Q203)</f>
        <v>3.5300433675801482E-3</v>
      </c>
      <c r="R204" s="22"/>
      <c r="S204" s="23">
        <f>IF(S203=0,"",S201/S203)</f>
        <v>1.6393442622950821E-2</v>
      </c>
      <c r="U204" s="23">
        <f>IF(U203=0,"",U201/U203)</f>
        <v>2.1522100327422888E-3</v>
      </c>
      <c r="V204" s="23">
        <f>IF(V203=0,"",V201/V203)</f>
        <v>9.5131366904558506E-3</v>
      </c>
      <c r="W204" s="23">
        <f>IF(W203=0,"",W201/W203)</f>
        <v>4.7425004515604351E-3</v>
      </c>
      <c r="X204" s="22"/>
      <c r="Y204" s="23">
        <f>IF(Y203=0,"",Y201/Y203)</f>
        <v>8.9804747068254597E-3</v>
      </c>
      <c r="Z204" s="22"/>
      <c r="AA204" s="23">
        <f>IF(AA203=0,"",AA201/AA203)</f>
        <v>3.2520325203252036E-2</v>
      </c>
      <c r="AB204" s="16"/>
    </row>
    <row r="205" spans="1:28" x14ac:dyDescent="0.2">
      <c r="AB205" s="16"/>
    </row>
    <row r="206" spans="1:28" x14ac:dyDescent="0.2">
      <c r="AB206" s="16"/>
    </row>
    <row r="207" spans="1:28" x14ac:dyDescent="0.2">
      <c r="AB207" s="16"/>
    </row>
    <row r="208" spans="1:28" x14ac:dyDescent="0.2">
      <c r="B208" s="25" t="s">
        <v>133</v>
      </c>
      <c r="E208" s="3"/>
      <c r="F208" s="3"/>
      <c r="G208" s="3"/>
      <c r="I208" s="14"/>
      <c r="K208" s="3"/>
      <c r="M208" s="3"/>
      <c r="N208" s="3"/>
      <c r="O208" s="3"/>
      <c r="Q208" s="14"/>
      <c r="S208" s="3"/>
      <c r="U208" s="3"/>
      <c r="V208" s="3"/>
      <c r="W208" s="3"/>
      <c r="Y208" s="14"/>
      <c r="AA208" s="3"/>
      <c r="AB208" s="16"/>
    </row>
    <row r="209" spans="1:28" x14ac:dyDescent="0.2">
      <c r="A209" s="16" t="s">
        <v>132</v>
      </c>
      <c r="B209" s="25"/>
      <c r="C209" t="s">
        <v>11</v>
      </c>
      <c r="E209" s="29">
        <f>IF(ISNA(ABS(VLOOKUP($A209,VARDATA,E$3,FALSE))),0,ABS(VLOOKUP($A209,VARDATA,E$3,FALSE)))</f>
        <v>0</v>
      </c>
      <c r="F209" s="37">
        <f>-IF(ISNA(ABS(VLOOKUP($A209,VARDATA,F$3,FALSE))),0,ABS(VLOOKUP($A209,VARDATA,F$3,FALSE)))</f>
        <v>0</v>
      </c>
      <c r="G209" s="19">
        <f>ABS(F209)+ABS(E209)</f>
        <v>0</v>
      </c>
      <c r="H209" s="20"/>
      <c r="I209" s="46">
        <f>IF(ISNA(ABS(VLOOKUP($A209,VARDATA,I$4,FALSE))),0,ABS(VLOOKUP($A209,VARDATA,I$4,FALSE)))+IF(ISNA(ABS(VLOOKUP($A209,VARDATA,I$3,FALSE))),0,ABS(VLOOKUP($A209,VARDATA,I$3,FALSE)))</f>
        <v>0</v>
      </c>
      <c r="J209" s="20"/>
      <c r="K209" s="29">
        <f>IF(ISNA(ABS(VLOOKUP($A209,VARDATA,K$3,FALSE))),0,ABS(VLOOKUP($A209,VARDATA,K$3,FALSE)))</f>
        <v>0</v>
      </c>
      <c r="M209" s="29">
        <f>IF(ISNA(ABS(VLOOKUP($A209,VARDATA,M$3,FALSE))),0,ABS(VLOOKUP($A209,VARDATA,M$3,FALSE)))</f>
        <v>0</v>
      </c>
      <c r="N209" s="37">
        <f>-IF(ISNA(ABS(VLOOKUP($A209,VARDATA,N$3,FALSE))),0,ABS(VLOOKUP($A209,VARDATA,N$3,FALSE)))</f>
        <v>0</v>
      </c>
      <c r="O209" s="19">
        <f>ABS(N209)+ABS(M209)</f>
        <v>0</v>
      </c>
      <c r="P209" s="20"/>
      <c r="Q209" s="46">
        <f>IF(ISNA(ABS(VLOOKUP($A209,VARDATA,Q$4,FALSE))),0,ABS(VLOOKUP($A209,VARDATA,Q$4,FALSE)))+IF(ISNA(ABS(VLOOKUP($A209,VARDATA,Q$3,FALSE))),0,ABS(VLOOKUP($A209,VARDATA,Q$3,FALSE)))</f>
        <v>0</v>
      </c>
      <c r="R209" s="20"/>
      <c r="S209" s="29">
        <f>IF(ISNA(ABS(VLOOKUP($A209,VARDATA,S$3,FALSE))),0,ABS(VLOOKUP($A209,VARDATA,S$3,FALSE)))</f>
        <v>0</v>
      </c>
      <c r="U209" s="29">
        <f>IF(ISNA(ABS(VLOOKUP($A209,VARDATA,U$3,FALSE))),0,ABS(VLOOKUP($A209,VARDATA,U$3,FALSE)))</f>
        <v>0</v>
      </c>
      <c r="V209" s="37">
        <f>-IF(ISNA(ABS(VLOOKUP($A209,VARDATA,V$3,FALSE))),0,ABS(VLOOKUP($A209,VARDATA,V$3,FALSE)))</f>
        <v>0</v>
      </c>
      <c r="W209" s="19">
        <f>ABS(V209)+ABS(U209)</f>
        <v>0</v>
      </c>
      <c r="X209" s="20"/>
      <c r="Y209" s="46">
        <f>IF(ISNA(ABS(VLOOKUP($A209,VARDATA,Y$4,FALSE))),0,ABS(VLOOKUP($A209,VARDATA,Y$4,FALSE)))+IF(ISNA(ABS(VLOOKUP($A209,VARDATA,Y$3,FALSE))),0,ABS(VLOOKUP($A209,VARDATA,Y$3,FALSE)))</f>
        <v>0</v>
      </c>
      <c r="Z209" s="20"/>
      <c r="AA209" s="29">
        <f>IF(ISNA(ABS(VLOOKUP($A209,VARDATA,AA$3,FALSE))),0,ABS(VLOOKUP($A209,VARDATA,AA$3,FALSE)))</f>
        <v>0</v>
      </c>
      <c r="AB209" s="16"/>
    </row>
    <row r="210" spans="1:28" x14ac:dyDescent="0.2">
      <c r="A210" s="16" t="s">
        <v>120</v>
      </c>
      <c r="B210" s="25"/>
      <c r="C210" t="s">
        <v>12</v>
      </c>
      <c r="E210" s="29">
        <f>IF(ISNA(ABS(VLOOKUP($A210,VARDATA,E$3,FALSE))),0,ABS(VLOOKUP($A210,VARDATA,E$3,FALSE)))</f>
        <v>0</v>
      </c>
      <c r="F210" s="37">
        <f>-IF(ISNA(ABS(VLOOKUP($A210,VARDATA,F$3,FALSE))),0,ABS(VLOOKUP($A210,VARDATA,F$3,FALSE)))</f>
        <v>0</v>
      </c>
      <c r="G210" s="19">
        <f>ABS(F210)+ABS(E210)</f>
        <v>0</v>
      </c>
      <c r="H210" s="20"/>
      <c r="I210" s="46">
        <f>IF(ISNA(ABS(VLOOKUP($A210,VARDATA,I$4,FALSE))),0,ABS(VLOOKUP($A210,VARDATA,I$4,FALSE)))+IF(ISNA(ABS(VLOOKUP($A210,VARDATA,I$3,FALSE))),0,ABS(VLOOKUP($A210,VARDATA,I$3,FALSE)))</f>
        <v>0</v>
      </c>
      <c r="J210" s="20"/>
      <c r="K210" s="29">
        <f>IF(ISNA(ABS(VLOOKUP($A210,VARDATA,K$3,FALSE))),0,ABS(VLOOKUP($A210,VARDATA,K$3,FALSE)))</f>
        <v>0</v>
      </c>
      <c r="M210" s="29">
        <f>IF(ISNA(ABS(VLOOKUP($A210,VARDATA,M$3,FALSE))),0,ABS(VLOOKUP($A210,VARDATA,M$3,FALSE)))</f>
        <v>0</v>
      </c>
      <c r="N210" s="37">
        <f>-IF(ISNA(ABS(VLOOKUP($A210,VARDATA,N$3,FALSE))),0,ABS(VLOOKUP($A210,VARDATA,N$3,FALSE)))</f>
        <v>0</v>
      </c>
      <c r="O210" s="19">
        <f>ABS(N210)+ABS(M210)</f>
        <v>0</v>
      </c>
      <c r="P210" s="20"/>
      <c r="Q210" s="46">
        <f>IF(ISNA(ABS(VLOOKUP($A210,VARDATA,Q$4,FALSE))),0,ABS(VLOOKUP($A210,VARDATA,Q$4,FALSE)))+IF(ISNA(ABS(VLOOKUP($A210,VARDATA,Q$3,FALSE))),0,ABS(VLOOKUP($A210,VARDATA,Q$3,FALSE)))</f>
        <v>0</v>
      </c>
      <c r="R210" s="20"/>
      <c r="S210" s="29">
        <f>IF(ISNA(ABS(VLOOKUP($A210,VARDATA,S$3,FALSE))),0,ABS(VLOOKUP($A210,VARDATA,S$3,FALSE)))</f>
        <v>0</v>
      </c>
      <c r="U210" s="29">
        <f>IF(ISNA(ABS(VLOOKUP($A210,VARDATA,U$3,FALSE))),0,ABS(VLOOKUP($A210,VARDATA,U$3,FALSE)))</f>
        <v>0</v>
      </c>
      <c r="V210" s="37">
        <f>-IF(ISNA(ABS(VLOOKUP($A210,VARDATA,V$3,FALSE))),0,ABS(VLOOKUP($A210,VARDATA,V$3,FALSE)))</f>
        <v>0</v>
      </c>
      <c r="W210" s="19">
        <f>ABS(V210)+ABS(U210)</f>
        <v>0</v>
      </c>
      <c r="X210" s="20"/>
      <c r="Y210" s="46">
        <f>IF(ISNA(ABS(VLOOKUP($A210,VARDATA,Y$4,FALSE))),0,ABS(VLOOKUP($A210,VARDATA,Y$4,FALSE)))+IF(ISNA(ABS(VLOOKUP($A210,VARDATA,Y$3,FALSE))),0,ABS(VLOOKUP($A210,VARDATA,Y$3,FALSE)))</f>
        <v>0</v>
      </c>
      <c r="Z210" s="20"/>
      <c r="AA210" s="29">
        <f>IF(ISNA(ABS(VLOOKUP($A210,VARDATA,AA$3,FALSE))),0,ABS(VLOOKUP($A210,VARDATA,AA$3,FALSE)))</f>
        <v>0</v>
      </c>
      <c r="AB210" s="16"/>
    </row>
    <row r="211" spans="1:28" x14ac:dyDescent="0.2">
      <c r="B211" s="25"/>
      <c r="C211" t="s">
        <v>10</v>
      </c>
      <c r="E211" s="21">
        <f>SUM(E209:E210)</f>
        <v>0</v>
      </c>
      <c r="F211" s="21">
        <f>SUM(F209:F210)</f>
        <v>0</v>
      </c>
      <c r="G211" s="21">
        <f>SUM(G209:G210)</f>
        <v>0</v>
      </c>
      <c r="H211" s="22"/>
      <c r="I211" s="21">
        <f>SUM(I209:I210)</f>
        <v>0</v>
      </c>
      <c r="J211" s="22"/>
      <c r="K211" s="21">
        <f>SUM(K209:K210)</f>
        <v>0</v>
      </c>
      <c r="M211" s="21">
        <f>SUM(M209:M210)</f>
        <v>0</v>
      </c>
      <c r="N211" s="21">
        <f>SUM(N209:N210)</f>
        <v>0</v>
      </c>
      <c r="O211" s="21">
        <f>SUM(O209:O210)</f>
        <v>0</v>
      </c>
      <c r="P211" s="22"/>
      <c r="Q211" s="21">
        <f>SUM(Q209:Q210)</f>
        <v>0</v>
      </c>
      <c r="R211" s="22"/>
      <c r="S211" s="21">
        <f>SUM(S209:S210)</f>
        <v>0</v>
      </c>
      <c r="U211" s="21">
        <f>SUM(U209:U210)</f>
        <v>0</v>
      </c>
      <c r="V211" s="21">
        <f>SUM(V209:V210)</f>
        <v>0</v>
      </c>
      <c r="W211" s="21">
        <f>SUM(W209:W210)</f>
        <v>0</v>
      </c>
      <c r="X211" s="22"/>
      <c r="Y211" s="21">
        <f>SUM(Y209:Y210)</f>
        <v>0</v>
      </c>
      <c r="Z211" s="22"/>
      <c r="AA211" s="21">
        <f>SUM(AA209:AA210)</f>
        <v>0</v>
      </c>
      <c r="AB211" s="16"/>
    </row>
    <row r="212" spans="1:28" x14ac:dyDescent="0.2">
      <c r="C212" t="s">
        <v>13</v>
      </c>
      <c r="E212" s="23" t="str">
        <f>IF(E211=0,"",E209/E211)</f>
        <v/>
      </c>
      <c r="F212" s="23" t="str">
        <f>IF(F211=0,"",F209/F211)</f>
        <v/>
      </c>
      <c r="G212" s="23" t="str">
        <f>IF(G211=0,"",G209/G211)</f>
        <v/>
      </c>
      <c r="H212" s="22"/>
      <c r="I212" s="23" t="str">
        <f>IF(I211=0,"",I209/I211)</f>
        <v/>
      </c>
      <c r="J212" s="22"/>
      <c r="K212" s="23" t="str">
        <f>IF(K211=0,"",K209/K211)</f>
        <v/>
      </c>
      <c r="M212" s="23" t="str">
        <f>IF(M211=0,"",M209/M211)</f>
        <v/>
      </c>
      <c r="N212" s="23" t="str">
        <f>IF(N211=0,"",N209/N211)</f>
        <v/>
      </c>
      <c r="O212" s="23" t="str">
        <f>IF(O211=0,"",O209/O211)</f>
        <v/>
      </c>
      <c r="P212" s="22"/>
      <c r="Q212" s="23" t="str">
        <f>IF(Q211=0,"",Q209/Q211)</f>
        <v/>
      </c>
      <c r="R212" s="22"/>
      <c r="S212" s="23" t="str">
        <f>IF(S211=0,"",S209/S211)</f>
        <v/>
      </c>
      <c r="U212" s="23" t="str">
        <f>IF(U211=0,"",U209/U211)</f>
        <v/>
      </c>
      <c r="V212" s="23" t="str">
        <f>IF(V211=0,"",V209/V211)</f>
        <v/>
      </c>
      <c r="W212" s="23" t="str">
        <f>IF(W211=0,"",W209/W211)</f>
        <v/>
      </c>
      <c r="X212" s="22"/>
      <c r="Y212" s="23" t="str">
        <f>IF(Y211=0,"",Y209/Y211)</f>
        <v/>
      </c>
      <c r="Z212" s="22"/>
      <c r="AA212" s="23" t="str">
        <f>IF(AA211=0,"",AA209/AA211)</f>
        <v/>
      </c>
      <c r="AB212" s="16"/>
    </row>
    <row r="213" spans="1:28" x14ac:dyDescent="0.2">
      <c r="AB213" s="16"/>
    </row>
    <row r="214" spans="1:28" x14ac:dyDescent="0.2">
      <c r="B214" s="25" t="s">
        <v>35</v>
      </c>
      <c r="E214" s="3"/>
      <c r="F214" s="3"/>
      <c r="G214" s="3"/>
      <c r="I214" s="14"/>
      <c r="K214" s="3"/>
      <c r="M214" s="3"/>
      <c r="N214" s="3"/>
      <c r="O214" s="3"/>
      <c r="Q214" s="14"/>
      <c r="S214" s="3"/>
      <c r="U214" s="3"/>
      <c r="V214" s="3"/>
      <c r="W214" s="3"/>
      <c r="Y214" s="14"/>
      <c r="AA214" s="3"/>
      <c r="AB214" s="16"/>
    </row>
    <row r="215" spans="1:28" x14ac:dyDescent="0.2">
      <c r="A215" s="16" t="s">
        <v>36</v>
      </c>
      <c r="B215" s="25"/>
      <c r="C215" t="s">
        <v>11</v>
      </c>
      <c r="E215" s="29">
        <f>IF(ISNA(ABS(VLOOKUP($A215,VARDATA,E$3,FALSE))),0,ABS(VLOOKUP($A215,VARDATA,E$3,FALSE)))</f>
        <v>0</v>
      </c>
      <c r="F215" s="37">
        <f>-IF(ISNA(ABS(VLOOKUP($A215,VARDATA,F$3,FALSE))),0,ABS(VLOOKUP($A215,VARDATA,F$3,FALSE)))</f>
        <v>0</v>
      </c>
      <c r="G215" s="19">
        <f>ABS(F215)+ABS(E215)</f>
        <v>0</v>
      </c>
      <c r="H215" s="20"/>
      <c r="I215" s="46">
        <f>IF(ISNA(ABS(VLOOKUP($A215,VARDATA,I$4,FALSE))),0,ABS(VLOOKUP($A215,VARDATA,I$4,FALSE)))+IF(ISNA(ABS(VLOOKUP($A215,VARDATA,I$3,FALSE))),0,ABS(VLOOKUP($A215,VARDATA,I$3,FALSE)))</f>
        <v>0</v>
      </c>
      <c r="J215" s="20"/>
      <c r="K215" s="29">
        <f>IF(ISNA(ABS(VLOOKUP($A215,VARDATA,K$3,FALSE))),0,ABS(VLOOKUP($A215,VARDATA,K$3,FALSE)))</f>
        <v>0</v>
      </c>
      <c r="M215" s="29">
        <f>IF(ISNA(ABS(VLOOKUP($A215,VARDATA,M$3,FALSE))),0,ABS(VLOOKUP($A215,VARDATA,M$3,FALSE)))</f>
        <v>0</v>
      </c>
      <c r="N215" s="37">
        <f>-IF(ISNA(ABS(VLOOKUP($A215,VARDATA,N$3,FALSE))),0,ABS(VLOOKUP($A215,VARDATA,N$3,FALSE)))</f>
        <v>0</v>
      </c>
      <c r="O215" s="19">
        <f>ABS(N215)+ABS(M215)</f>
        <v>0</v>
      </c>
      <c r="P215" s="20"/>
      <c r="Q215" s="46">
        <f>IF(ISNA(ABS(VLOOKUP($A215,VARDATA,Q$4,FALSE))),0,ABS(VLOOKUP($A215,VARDATA,Q$4,FALSE)))+IF(ISNA(ABS(VLOOKUP($A215,VARDATA,Q$3,FALSE))),0,ABS(VLOOKUP($A215,VARDATA,Q$3,FALSE)))</f>
        <v>0</v>
      </c>
      <c r="R215" s="20"/>
      <c r="S215" s="29">
        <f>IF(ISNA(ABS(VLOOKUP($A215,VARDATA,S$3,FALSE))),0,ABS(VLOOKUP($A215,VARDATA,S$3,FALSE)))</f>
        <v>0</v>
      </c>
      <c r="U215" s="29">
        <f>IF(ISNA(ABS(VLOOKUP($A215,VARDATA,U$3,FALSE))),0,ABS(VLOOKUP($A215,VARDATA,U$3,FALSE)))</f>
        <v>0</v>
      </c>
      <c r="V215" s="37">
        <f>-IF(ISNA(ABS(VLOOKUP($A215,VARDATA,V$3,FALSE))),0,ABS(VLOOKUP($A215,VARDATA,V$3,FALSE)))</f>
        <v>0</v>
      </c>
      <c r="W215" s="19">
        <f>ABS(V215)+ABS(U215)</f>
        <v>0</v>
      </c>
      <c r="X215" s="20"/>
      <c r="Y215" s="46">
        <f>IF(ISNA(ABS(VLOOKUP($A215,VARDATA,Y$4,FALSE))),0,ABS(VLOOKUP($A215,VARDATA,Y$4,FALSE)))+IF(ISNA(ABS(VLOOKUP($A215,VARDATA,Y$3,FALSE))),0,ABS(VLOOKUP($A215,VARDATA,Y$3,FALSE)))</f>
        <v>0</v>
      </c>
      <c r="Z215" s="20"/>
      <c r="AA215" s="29">
        <f>IF(ISNA(ABS(VLOOKUP($A215,VARDATA,AA$3,FALSE))),0,ABS(VLOOKUP($A215,VARDATA,AA$3,FALSE)))</f>
        <v>0</v>
      </c>
      <c r="AB215" s="16"/>
    </row>
    <row r="216" spans="1:28" x14ac:dyDescent="0.2">
      <c r="A216" s="16" t="s">
        <v>34</v>
      </c>
      <c r="B216" s="25"/>
      <c r="C216" t="s">
        <v>12</v>
      </c>
      <c r="E216" s="29">
        <f>IF(ISNA(ABS(VLOOKUP($A216,VARDATA,E$3,FALSE))),0,ABS(VLOOKUP($A216,VARDATA,E$3,FALSE)))</f>
        <v>0</v>
      </c>
      <c r="F216" s="37">
        <f>-IF(ISNA(ABS(VLOOKUP($A216,VARDATA,F$3,FALSE))),0,ABS(VLOOKUP($A216,VARDATA,F$3,FALSE)))</f>
        <v>0</v>
      </c>
      <c r="G216" s="19">
        <f>ABS(F216)+ABS(E216)</f>
        <v>0</v>
      </c>
      <c r="H216" s="20"/>
      <c r="I216" s="46">
        <f>IF(ISNA(ABS(VLOOKUP($A216,VARDATA,I$4,FALSE))),0,ABS(VLOOKUP($A216,VARDATA,I$4,FALSE)))+IF(ISNA(ABS(VLOOKUP($A216,VARDATA,I$3,FALSE))),0,ABS(VLOOKUP($A216,VARDATA,I$3,FALSE)))</f>
        <v>0</v>
      </c>
      <c r="J216" s="20"/>
      <c r="K216" s="29">
        <f>IF(ISNA(ABS(VLOOKUP($A216,VARDATA,K$3,FALSE))),0,ABS(VLOOKUP($A216,VARDATA,K$3,FALSE)))</f>
        <v>0</v>
      </c>
      <c r="M216" s="29">
        <f>IF(ISNA(ABS(VLOOKUP($A216,VARDATA,M$3,FALSE))),0,ABS(VLOOKUP($A216,VARDATA,M$3,FALSE)))</f>
        <v>0</v>
      </c>
      <c r="N216" s="37">
        <f>-IF(ISNA(ABS(VLOOKUP($A216,VARDATA,N$3,FALSE))),0,ABS(VLOOKUP($A216,VARDATA,N$3,FALSE)))</f>
        <v>0</v>
      </c>
      <c r="O216" s="19">
        <f>ABS(N216)+ABS(M216)</f>
        <v>0</v>
      </c>
      <c r="P216" s="20"/>
      <c r="Q216" s="46">
        <f>IF(ISNA(ABS(VLOOKUP($A216,VARDATA,Q$4,FALSE))),0,ABS(VLOOKUP($A216,VARDATA,Q$4,FALSE)))+IF(ISNA(ABS(VLOOKUP($A216,VARDATA,Q$3,FALSE))),0,ABS(VLOOKUP($A216,VARDATA,Q$3,FALSE)))</f>
        <v>0</v>
      </c>
      <c r="R216" s="20"/>
      <c r="S216" s="29">
        <f>IF(ISNA(ABS(VLOOKUP($A216,VARDATA,S$3,FALSE))),0,ABS(VLOOKUP($A216,VARDATA,S$3,FALSE)))</f>
        <v>0</v>
      </c>
      <c r="U216" s="29">
        <f>IF(ISNA(ABS(VLOOKUP($A216,VARDATA,U$3,FALSE))),0,ABS(VLOOKUP($A216,VARDATA,U$3,FALSE)))</f>
        <v>15248012</v>
      </c>
      <c r="V216" s="37">
        <f>-IF(ISNA(ABS(VLOOKUP($A216,VARDATA,V$3,FALSE))),0,ABS(VLOOKUP($A216,VARDATA,V$3,FALSE)))</f>
        <v>-1870000</v>
      </c>
      <c r="W216" s="19">
        <f>ABS(V216)+ABS(U216)</f>
        <v>17118012</v>
      </c>
      <c r="X216" s="20"/>
      <c r="Y216" s="46">
        <f>IF(ISNA(ABS(VLOOKUP($A216,VARDATA,Y$4,FALSE))),0,ABS(VLOOKUP($A216,VARDATA,Y$4,FALSE)))+IF(ISNA(ABS(VLOOKUP($A216,VARDATA,Y$3,FALSE))),0,ABS(VLOOKUP($A216,VARDATA,Y$3,FALSE)))</f>
        <v>71389757.75999999</v>
      </c>
      <c r="Z216" s="20"/>
      <c r="AA216" s="29">
        <f>IF(ISNA(ABS(VLOOKUP($A216,VARDATA,AA$3,FALSE))),0,ABS(VLOOKUP($A216,VARDATA,AA$3,FALSE)))</f>
        <v>52</v>
      </c>
      <c r="AB216" s="16"/>
    </row>
    <row r="217" spans="1:28" x14ac:dyDescent="0.2">
      <c r="B217" s="25"/>
      <c r="C217" t="s">
        <v>10</v>
      </c>
      <c r="E217" s="21">
        <f>SUM(E215:E216)</f>
        <v>0</v>
      </c>
      <c r="F217" s="21">
        <f>SUM(F215:F216)</f>
        <v>0</v>
      </c>
      <c r="G217" s="21">
        <f>SUM(G215:G216)</f>
        <v>0</v>
      </c>
      <c r="H217" s="22"/>
      <c r="I217" s="21">
        <f>SUM(I215:I216)</f>
        <v>0</v>
      </c>
      <c r="J217" s="22"/>
      <c r="K217" s="21">
        <f>SUM(K215:K216)</f>
        <v>0</v>
      </c>
      <c r="M217" s="21">
        <f>SUM(M215:M216)</f>
        <v>0</v>
      </c>
      <c r="N217" s="21">
        <f>SUM(N215:N216)</f>
        <v>0</v>
      </c>
      <c r="O217" s="21">
        <f>SUM(O215:O216)</f>
        <v>0</v>
      </c>
      <c r="P217" s="22"/>
      <c r="Q217" s="21">
        <f>SUM(Q215:Q216)</f>
        <v>0</v>
      </c>
      <c r="R217" s="22"/>
      <c r="S217" s="21">
        <f>SUM(S215:S216)</f>
        <v>0</v>
      </c>
      <c r="U217" s="21">
        <f>SUM(U215:U216)</f>
        <v>15248012</v>
      </c>
      <c r="V217" s="21">
        <f>SUM(V215:V216)</f>
        <v>-1870000</v>
      </c>
      <c r="W217" s="21">
        <f>SUM(W215:W216)</f>
        <v>17118012</v>
      </c>
      <c r="X217" s="22"/>
      <c r="Y217" s="21">
        <f>SUM(Y215:Y216)</f>
        <v>71389757.75999999</v>
      </c>
      <c r="Z217" s="22"/>
      <c r="AA217" s="21">
        <f>SUM(AA215:AA216)</f>
        <v>52</v>
      </c>
      <c r="AB217" s="16"/>
    </row>
    <row r="218" spans="1:28" x14ac:dyDescent="0.2">
      <c r="C218" t="s">
        <v>13</v>
      </c>
      <c r="E218" s="23" t="str">
        <f>IF(E217=0,"",E215/E217)</f>
        <v/>
      </c>
      <c r="F218" s="23" t="str">
        <f>IF(F217=0,"",F215/F217)</f>
        <v/>
      </c>
      <c r="G218" s="23" t="str">
        <f>IF(G217=0,"",G215/G217)</f>
        <v/>
      </c>
      <c r="H218" s="22"/>
      <c r="I218" s="23" t="str">
        <f>IF(I217=0,"",I215/I217)</f>
        <v/>
      </c>
      <c r="J218" s="22"/>
      <c r="K218" s="23" t="str">
        <f>IF(K217=0,"",K215/K217)</f>
        <v/>
      </c>
      <c r="M218" s="23" t="str">
        <f>IF(M217=0,"",M215/M217)</f>
        <v/>
      </c>
      <c r="N218" s="23" t="str">
        <f>IF(N217=0,"",N215/N217)</f>
        <v/>
      </c>
      <c r="O218" s="23" t="str">
        <f>IF(O217=0,"",O215/O217)</f>
        <v/>
      </c>
      <c r="P218" s="22"/>
      <c r="Q218" s="23" t="str">
        <f>IF(Q217=0,"",Q215/Q217)</f>
        <v/>
      </c>
      <c r="R218" s="22"/>
      <c r="S218" s="23" t="str">
        <f>IF(S217=0,"",S215/S217)</f>
        <v/>
      </c>
      <c r="U218" s="23">
        <f>IF(U217=0,"",U215/U217)</f>
        <v>0</v>
      </c>
      <c r="V218" s="23">
        <f>IF(V217=0,"",V215/V217)</f>
        <v>0</v>
      </c>
      <c r="W218" s="23">
        <f>IF(W217=0,"",W215/W217)</f>
        <v>0</v>
      </c>
      <c r="X218" s="22"/>
      <c r="Y218" s="23">
        <f>IF(Y217=0,"",Y215/Y217)</f>
        <v>0</v>
      </c>
      <c r="Z218" s="22"/>
      <c r="AA218" s="23">
        <f>IF(AA217=0,"",AA215/AA217)</f>
        <v>0</v>
      </c>
      <c r="AB218" s="16"/>
    </row>
    <row r="219" spans="1:28" x14ac:dyDescent="0.2">
      <c r="AB219" s="16"/>
    </row>
    <row r="220" spans="1:28" x14ac:dyDescent="0.2">
      <c r="B220" s="25" t="s">
        <v>134</v>
      </c>
      <c r="E220" s="29"/>
      <c r="F220" s="29"/>
      <c r="G220" s="3"/>
      <c r="I220" s="14"/>
      <c r="K220" s="3"/>
      <c r="M220" s="29"/>
      <c r="N220" s="29"/>
      <c r="O220" s="3"/>
      <c r="Q220" s="14"/>
      <c r="S220" s="3"/>
      <c r="U220" s="29"/>
      <c r="V220" s="29"/>
      <c r="W220" s="3"/>
      <c r="Y220" s="14"/>
      <c r="AA220" s="3"/>
      <c r="AB220" s="16"/>
    </row>
    <row r="221" spans="1:28" x14ac:dyDescent="0.2">
      <c r="B221" s="25"/>
      <c r="C221" t="s">
        <v>11</v>
      </c>
      <c r="E221" s="28">
        <f t="shared" ref="E221:G222" si="12">E215+E209</f>
        <v>0</v>
      </c>
      <c r="F221" s="28">
        <f t="shared" si="12"/>
        <v>0</v>
      </c>
      <c r="G221" s="28">
        <f t="shared" si="12"/>
        <v>0</v>
      </c>
      <c r="H221" s="20"/>
      <c r="I221" s="28">
        <f>I215+I209</f>
        <v>0</v>
      </c>
      <c r="J221" s="20"/>
      <c r="K221" s="28">
        <f>K215+K209</f>
        <v>0</v>
      </c>
      <c r="M221" s="28">
        <f t="shared" ref="M221:O222" si="13">M215+M209</f>
        <v>0</v>
      </c>
      <c r="N221" s="28">
        <f t="shared" si="13"/>
        <v>0</v>
      </c>
      <c r="O221" s="28">
        <f t="shared" si="13"/>
        <v>0</v>
      </c>
      <c r="P221" s="20"/>
      <c r="Q221" s="28">
        <f>Q215+Q209</f>
        <v>0</v>
      </c>
      <c r="R221" s="20"/>
      <c r="S221" s="28">
        <f>S215+S209</f>
        <v>0</v>
      </c>
      <c r="U221" s="28">
        <f t="shared" ref="U221:W222" si="14">U215+U209</f>
        <v>0</v>
      </c>
      <c r="V221" s="28">
        <f t="shared" si="14"/>
        <v>0</v>
      </c>
      <c r="W221" s="28">
        <f t="shared" si="14"/>
        <v>0</v>
      </c>
      <c r="X221" s="20"/>
      <c r="Y221" s="28">
        <f>Y215+Y209</f>
        <v>0</v>
      </c>
      <c r="Z221" s="20"/>
      <c r="AA221" s="28">
        <f>AA215+AA209</f>
        <v>0</v>
      </c>
      <c r="AB221" s="16"/>
    </row>
    <row r="222" spans="1:28" x14ac:dyDescent="0.2">
      <c r="B222" s="25"/>
      <c r="C222" t="s">
        <v>12</v>
      </c>
      <c r="E222" s="28">
        <f t="shared" si="12"/>
        <v>0</v>
      </c>
      <c r="F222" s="28">
        <f t="shared" si="12"/>
        <v>0</v>
      </c>
      <c r="G222" s="28">
        <f t="shared" si="12"/>
        <v>0</v>
      </c>
      <c r="H222" s="20"/>
      <c r="I222" s="28">
        <f>I216+I210</f>
        <v>0</v>
      </c>
      <c r="J222" s="20"/>
      <c r="K222" s="28">
        <f>K216+K210</f>
        <v>0</v>
      </c>
      <c r="M222" s="28">
        <f t="shared" si="13"/>
        <v>0</v>
      </c>
      <c r="N222" s="28">
        <f t="shared" si="13"/>
        <v>0</v>
      </c>
      <c r="O222" s="28">
        <f t="shared" si="13"/>
        <v>0</v>
      </c>
      <c r="P222" s="20"/>
      <c r="Q222" s="28">
        <f>Q216+Q210</f>
        <v>0</v>
      </c>
      <c r="R222" s="20"/>
      <c r="S222" s="28">
        <f>S216+S210</f>
        <v>0</v>
      </c>
      <c r="U222" s="28">
        <f t="shared" si="14"/>
        <v>15248012</v>
      </c>
      <c r="V222" s="28">
        <f t="shared" si="14"/>
        <v>-1870000</v>
      </c>
      <c r="W222" s="28">
        <f t="shared" si="14"/>
        <v>17118012</v>
      </c>
      <c r="X222" s="20"/>
      <c r="Y222" s="28">
        <f>Y216+Y210</f>
        <v>71389757.75999999</v>
      </c>
      <c r="Z222" s="20"/>
      <c r="AA222" s="28">
        <f>AA216+AA210</f>
        <v>52</v>
      </c>
      <c r="AB222" s="16"/>
    </row>
    <row r="223" spans="1:28" x14ac:dyDescent="0.2">
      <c r="B223" s="25"/>
      <c r="C223" t="s">
        <v>10</v>
      </c>
      <c r="E223" s="21">
        <f>SUM(E221:E222)</f>
        <v>0</v>
      </c>
      <c r="F223" s="21">
        <f>SUM(F221:F222)</f>
        <v>0</v>
      </c>
      <c r="G223" s="21">
        <f>SUM(G221:G222)</f>
        <v>0</v>
      </c>
      <c r="H223" s="22"/>
      <c r="I223" s="21">
        <f>SUM(I221:I222)</f>
        <v>0</v>
      </c>
      <c r="J223" s="22"/>
      <c r="K223" s="21">
        <f>SUM(K221:K222)</f>
        <v>0</v>
      </c>
      <c r="M223" s="21">
        <f>SUM(M221:M222)</f>
        <v>0</v>
      </c>
      <c r="N223" s="21">
        <f>SUM(N221:N222)</f>
        <v>0</v>
      </c>
      <c r="O223" s="21">
        <f>SUM(O221:O222)</f>
        <v>0</v>
      </c>
      <c r="P223" s="22"/>
      <c r="Q223" s="21">
        <f>SUM(Q221:Q222)</f>
        <v>0</v>
      </c>
      <c r="R223" s="22"/>
      <c r="S223" s="21">
        <f>SUM(S221:S222)</f>
        <v>0</v>
      </c>
      <c r="U223" s="21">
        <f>SUM(U221:U222)</f>
        <v>15248012</v>
      </c>
      <c r="V223" s="21">
        <f>SUM(V221:V222)</f>
        <v>-1870000</v>
      </c>
      <c r="W223" s="21">
        <f>SUM(W221:W222)</f>
        <v>17118012</v>
      </c>
      <c r="X223" s="22"/>
      <c r="Y223" s="21">
        <f>SUM(Y221:Y222)</f>
        <v>71389757.75999999</v>
      </c>
      <c r="Z223" s="22"/>
      <c r="AA223" s="21">
        <f>SUM(AA221:AA222)</f>
        <v>52</v>
      </c>
      <c r="AB223" s="16"/>
    </row>
    <row r="224" spans="1:28" x14ac:dyDescent="0.2">
      <c r="C224" t="s">
        <v>13</v>
      </c>
      <c r="E224" s="23" t="str">
        <f>IF(E223=0,"",E221/E223)</f>
        <v/>
      </c>
      <c r="F224" s="23" t="str">
        <f>IF(F223=0,"",F221/F223)</f>
        <v/>
      </c>
      <c r="G224" s="23" t="str">
        <f>IF(G223=0,"",G221/G223)</f>
        <v/>
      </c>
      <c r="H224" s="22"/>
      <c r="I224" s="23" t="str">
        <f>IF(I223=0,"",I221/I223)</f>
        <v/>
      </c>
      <c r="J224" s="22"/>
      <c r="K224" s="23" t="str">
        <f>IF(K223=0,"",K221/K223)</f>
        <v/>
      </c>
      <c r="M224" s="23" t="str">
        <f>IF(M223=0,"",M221/M223)</f>
        <v/>
      </c>
      <c r="N224" s="23" t="str">
        <f>IF(N223=0,"",N221/N223)</f>
        <v/>
      </c>
      <c r="O224" s="23" t="str">
        <f>IF(O223=0,"",O221/O223)</f>
        <v/>
      </c>
      <c r="P224" s="22"/>
      <c r="Q224" s="23" t="str">
        <f>IF(Q223=0,"",Q221/Q223)</f>
        <v/>
      </c>
      <c r="R224" s="22"/>
      <c r="S224" s="23" t="str">
        <f>IF(S223=0,"",S221/S223)</f>
        <v/>
      </c>
      <c r="U224" s="23">
        <f>IF(U223=0,"",U221/U223)</f>
        <v>0</v>
      </c>
      <c r="V224" s="23">
        <f>IF(V223=0,"",V221/V223)</f>
        <v>0</v>
      </c>
      <c r="W224" s="23">
        <f>IF(W223=0,"",W221/W223)</f>
        <v>0</v>
      </c>
      <c r="X224" s="22"/>
      <c r="Y224" s="23">
        <f>IF(Y223=0,"",Y221/Y223)</f>
        <v>0</v>
      </c>
      <c r="Z224" s="22"/>
      <c r="AA224" s="23">
        <f>IF(AA223=0,"",AA221/AA223)</f>
        <v>0</v>
      </c>
      <c r="AB224" s="16"/>
    </row>
    <row r="225" spans="1:28" x14ac:dyDescent="0.2">
      <c r="AB225" s="16"/>
    </row>
    <row r="226" spans="1:28" x14ac:dyDescent="0.2">
      <c r="AB226" s="16"/>
    </row>
    <row r="227" spans="1:28" x14ac:dyDescent="0.2">
      <c r="AB227" s="16"/>
    </row>
    <row r="228" spans="1:28" x14ac:dyDescent="0.2">
      <c r="AB228" s="16"/>
    </row>
    <row r="229" spans="1:28" x14ac:dyDescent="0.2">
      <c r="B229" s="25" t="s">
        <v>106</v>
      </c>
      <c r="E229" s="3"/>
      <c r="F229" s="3"/>
      <c r="G229" s="3"/>
      <c r="I229" s="14"/>
      <c r="K229" s="3"/>
      <c r="M229" s="3"/>
      <c r="N229" s="3"/>
      <c r="O229" s="3"/>
      <c r="Q229" s="14"/>
      <c r="S229" s="3"/>
      <c r="U229" s="3"/>
      <c r="V229" s="3"/>
      <c r="W229" s="3"/>
      <c r="Y229" s="14"/>
      <c r="AA229" s="3"/>
      <c r="AB229" s="16"/>
    </row>
    <row r="230" spans="1:28" x14ac:dyDescent="0.2">
      <c r="A230" s="16" t="s">
        <v>138</v>
      </c>
      <c r="B230" s="25"/>
      <c r="C230" t="s">
        <v>11</v>
      </c>
      <c r="E230" s="29">
        <f>IF(ISNA(ABS(VLOOKUP($A230,VARDATA,E$3,FALSE))),0,ABS(VLOOKUP($A230,VARDATA,E$3,FALSE)))</f>
        <v>0</v>
      </c>
      <c r="F230" s="37">
        <f>-IF(ISNA(ABS(VLOOKUP($A230,VARDATA,F$3,FALSE))),0,ABS(VLOOKUP($A230,VARDATA,F$3,FALSE)))</f>
        <v>-1</v>
      </c>
      <c r="G230" s="19">
        <f>ABS(F230)+ABS(E230)</f>
        <v>1</v>
      </c>
      <c r="H230" s="20"/>
      <c r="I230" s="46">
        <f>IF(ISNA(ABS(VLOOKUP($A230,VARDATA,I$4,FALSE))),0,ABS(VLOOKUP($A230,VARDATA,I$4,FALSE)))+IF(ISNA(ABS(VLOOKUP($A230,VARDATA,I$3,FALSE))),0,ABS(VLOOKUP($A230,VARDATA,I$3,FALSE)))</f>
        <v>0</v>
      </c>
      <c r="J230" s="20"/>
      <c r="K230" s="29">
        <f>IF(ISNA(ABS(VLOOKUP($A230,VARDATA,K$3,FALSE))),0,ABS(VLOOKUP($A230,VARDATA,K$3,FALSE)))</f>
        <v>1</v>
      </c>
      <c r="M230" s="29">
        <f>IF(ISNA(ABS(VLOOKUP($A230,VARDATA,M$3,FALSE))),0,ABS(VLOOKUP($A230,VARDATA,M$3,FALSE)))</f>
        <v>15</v>
      </c>
      <c r="N230" s="37">
        <f>-IF(ISNA(ABS(VLOOKUP($A230,VARDATA,N$3,FALSE))),0,ABS(VLOOKUP($A230,VARDATA,N$3,FALSE)))</f>
        <v>-14</v>
      </c>
      <c r="O230" s="19">
        <f>ABS(N230)+ABS(M230)</f>
        <v>29</v>
      </c>
      <c r="P230" s="20"/>
      <c r="Q230" s="46">
        <f>IF(ISNA(ABS(VLOOKUP($A230,VARDATA,Q$4,FALSE))),0,ABS(VLOOKUP($A230,VARDATA,Q$4,FALSE)))+IF(ISNA(ABS(VLOOKUP($A230,VARDATA,Q$3,FALSE))),0,ABS(VLOOKUP($A230,VARDATA,Q$3,FALSE)))</f>
        <v>0</v>
      </c>
      <c r="R230" s="20"/>
      <c r="S230" s="29">
        <f>IF(ISNA(ABS(VLOOKUP($A230,VARDATA,S$3,FALSE))),0,ABS(VLOOKUP($A230,VARDATA,S$3,FALSE)))</f>
        <v>29</v>
      </c>
      <c r="U230" s="29">
        <f>IF(ISNA(ABS(VLOOKUP($A230,VARDATA,U$3,FALSE))),0,ABS(VLOOKUP($A230,VARDATA,U$3,FALSE)))</f>
        <v>15</v>
      </c>
      <c r="V230" s="37">
        <f>-IF(ISNA(ABS(VLOOKUP($A230,VARDATA,V$3,FALSE))),0,ABS(VLOOKUP($A230,VARDATA,V$3,FALSE)))</f>
        <v>-14</v>
      </c>
      <c r="W230" s="19">
        <f>ABS(V230)+ABS(U230)</f>
        <v>29</v>
      </c>
      <c r="X230" s="20"/>
      <c r="Y230" s="46">
        <f>IF(ISNA(ABS(VLOOKUP($A230,VARDATA,Y$4,FALSE))),0,ABS(VLOOKUP($A230,VARDATA,Y$4,FALSE)))+IF(ISNA(ABS(VLOOKUP($A230,VARDATA,Y$3,FALSE))),0,ABS(VLOOKUP($A230,VARDATA,Y$3,FALSE)))</f>
        <v>0</v>
      </c>
      <c r="Z230" s="20"/>
      <c r="AA230" s="29">
        <f>IF(ISNA(ABS(VLOOKUP($A230,VARDATA,AA$3,FALSE))),0,ABS(VLOOKUP($A230,VARDATA,AA$3,FALSE)))</f>
        <v>29</v>
      </c>
      <c r="AB230" s="16"/>
    </row>
    <row r="231" spans="1:28" x14ac:dyDescent="0.2">
      <c r="A231" s="16" t="s">
        <v>139</v>
      </c>
      <c r="B231" s="25"/>
      <c r="C231" t="s">
        <v>12</v>
      </c>
      <c r="E231" s="29">
        <f>IF(ISNA(ABS(VLOOKUP($A231,VARDATA,E$3,FALSE))),0,ABS(VLOOKUP($A231,VARDATA,E$3,FALSE)))</f>
        <v>2</v>
      </c>
      <c r="F231" s="37">
        <f>-IF(ISNA(ABS(VLOOKUP($A231,VARDATA,F$3,FALSE))),0,ABS(VLOOKUP($A231,VARDATA,F$3,FALSE)))</f>
        <v>0</v>
      </c>
      <c r="G231" s="19">
        <f>ABS(F231)+ABS(E231)</f>
        <v>2</v>
      </c>
      <c r="H231" s="20"/>
      <c r="I231" s="46">
        <f>IF(ISNA(ABS(VLOOKUP($A231,VARDATA,I$4,FALSE))),0,ABS(VLOOKUP($A231,VARDATA,I$4,FALSE)))+IF(ISNA(ABS(VLOOKUP($A231,VARDATA,I$3,FALSE))),0,ABS(VLOOKUP($A231,VARDATA,I$3,FALSE)))</f>
        <v>0</v>
      </c>
      <c r="J231" s="20"/>
      <c r="K231" s="29">
        <f>IF(ISNA(ABS(VLOOKUP($A231,VARDATA,K$3,FALSE))),0,ABS(VLOOKUP($A231,VARDATA,K$3,FALSE)))</f>
        <v>2</v>
      </c>
      <c r="M231" s="29">
        <f>IF(ISNA(ABS(VLOOKUP($A231,VARDATA,M$3,FALSE))),0,ABS(VLOOKUP($A231,VARDATA,M$3,FALSE)))</f>
        <v>10</v>
      </c>
      <c r="N231" s="37">
        <f>-IF(ISNA(ABS(VLOOKUP($A231,VARDATA,N$3,FALSE))),0,ABS(VLOOKUP($A231,VARDATA,N$3,FALSE)))</f>
        <v>-2</v>
      </c>
      <c r="O231" s="19">
        <f>ABS(N231)+ABS(M231)</f>
        <v>12</v>
      </c>
      <c r="P231" s="20"/>
      <c r="Q231" s="46">
        <f>IF(ISNA(ABS(VLOOKUP($A231,VARDATA,Q$4,FALSE))),0,ABS(VLOOKUP($A231,VARDATA,Q$4,FALSE)))+IF(ISNA(ABS(VLOOKUP($A231,VARDATA,Q$3,FALSE))),0,ABS(VLOOKUP($A231,VARDATA,Q$3,FALSE)))</f>
        <v>0</v>
      </c>
      <c r="R231" s="20"/>
      <c r="S231" s="29">
        <f>IF(ISNA(ABS(VLOOKUP($A231,VARDATA,S$3,FALSE))),0,ABS(VLOOKUP($A231,VARDATA,S$3,FALSE)))</f>
        <v>12</v>
      </c>
      <c r="U231" s="29">
        <f>IF(ISNA(ABS(VLOOKUP($A231,VARDATA,U$3,FALSE))),0,ABS(VLOOKUP($A231,VARDATA,U$3,FALSE)))</f>
        <v>10</v>
      </c>
      <c r="V231" s="37">
        <f>-IF(ISNA(ABS(VLOOKUP($A231,VARDATA,V$3,FALSE))),0,ABS(VLOOKUP($A231,VARDATA,V$3,FALSE)))</f>
        <v>-2</v>
      </c>
      <c r="W231" s="19">
        <f>ABS(V231)+ABS(U231)</f>
        <v>12</v>
      </c>
      <c r="X231" s="20"/>
      <c r="Y231" s="46">
        <f>IF(ISNA(ABS(VLOOKUP($A231,VARDATA,Y$4,FALSE))),0,ABS(VLOOKUP($A231,VARDATA,Y$4,FALSE)))+IF(ISNA(ABS(VLOOKUP($A231,VARDATA,Y$3,FALSE))),0,ABS(VLOOKUP($A231,VARDATA,Y$3,FALSE)))</f>
        <v>0</v>
      </c>
      <c r="Z231" s="20"/>
      <c r="AA231" s="29">
        <f>IF(ISNA(ABS(VLOOKUP($A231,VARDATA,AA$3,FALSE))),0,ABS(VLOOKUP($A231,VARDATA,AA$3,FALSE)))</f>
        <v>12</v>
      </c>
      <c r="AB231" s="16"/>
    </row>
    <row r="232" spans="1:28" x14ac:dyDescent="0.2">
      <c r="B232" s="25"/>
      <c r="C232" t="s">
        <v>10</v>
      </c>
      <c r="E232" s="21">
        <f>SUM(E230:E231)</f>
        <v>2</v>
      </c>
      <c r="F232" s="21">
        <f>SUM(F230:F231)</f>
        <v>-1</v>
      </c>
      <c r="G232" s="21">
        <f>SUM(G230:G231)</f>
        <v>3</v>
      </c>
      <c r="H232" s="22"/>
      <c r="I232" s="21">
        <f>SUM(I230:I231)</f>
        <v>0</v>
      </c>
      <c r="J232" s="22"/>
      <c r="K232" s="21">
        <f>SUM(K230:K231)</f>
        <v>3</v>
      </c>
      <c r="M232" s="21">
        <f>SUM(M230:M231)</f>
        <v>25</v>
      </c>
      <c r="N232" s="21">
        <f>SUM(N230:N231)</f>
        <v>-16</v>
      </c>
      <c r="O232" s="21">
        <f>SUM(O230:O231)</f>
        <v>41</v>
      </c>
      <c r="P232" s="22"/>
      <c r="Q232" s="21">
        <f>SUM(Q230:Q231)</f>
        <v>0</v>
      </c>
      <c r="R232" s="22"/>
      <c r="S232" s="21">
        <f>SUM(S230:S231)</f>
        <v>41</v>
      </c>
      <c r="U232" s="21">
        <f>SUM(U230:U231)</f>
        <v>25</v>
      </c>
      <c r="V232" s="21">
        <f>SUM(V230:V231)</f>
        <v>-16</v>
      </c>
      <c r="W232" s="21">
        <f>SUM(W230:W231)</f>
        <v>41</v>
      </c>
      <c r="X232" s="22"/>
      <c r="Y232" s="21">
        <f>SUM(Y230:Y231)</f>
        <v>0</v>
      </c>
      <c r="Z232" s="22"/>
      <c r="AA232" s="21">
        <f>SUM(AA230:AA231)</f>
        <v>41</v>
      </c>
      <c r="AB232" s="16"/>
    </row>
    <row r="233" spans="1:28" x14ac:dyDescent="0.2">
      <c r="C233" t="s">
        <v>13</v>
      </c>
      <c r="E233" s="23">
        <f>IF(E232=0,"",E230/E232)</f>
        <v>0</v>
      </c>
      <c r="F233" s="23">
        <f>IF(F232=0,"",F230/F232)</f>
        <v>1</v>
      </c>
      <c r="G233" s="23">
        <f>IF(G232=0,"",G230/G232)</f>
        <v>0.33333333333333331</v>
      </c>
      <c r="H233" s="22"/>
      <c r="I233" s="23" t="str">
        <f>IF(I232=0,"",I230/I232)</f>
        <v/>
      </c>
      <c r="J233" s="22"/>
      <c r="K233" s="23">
        <f>IF(K232=0,"",K230/K232)</f>
        <v>0.33333333333333331</v>
      </c>
      <c r="M233" s="23">
        <f>IF(M232=0,"",M230/M232)</f>
        <v>0.6</v>
      </c>
      <c r="N233" s="23">
        <f>IF(N232=0,"",N230/N232)</f>
        <v>0.875</v>
      </c>
      <c r="O233" s="23">
        <f>IF(O232=0,"",O230/O232)</f>
        <v>0.70731707317073167</v>
      </c>
      <c r="P233" s="22"/>
      <c r="Q233" s="23" t="str">
        <f>IF(Q232=0,"",Q230/Q232)</f>
        <v/>
      </c>
      <c r="R233" s="22"/>
      <c r="S233" s="23">
        <f>IF(S232=0,"",S230/S232)</f>
        <v>0.70731707317073167</v>
      </c>
      <c r="U233" s="23">
        <f>IF(U232=0,"",U230/U232)</f>
        <v>0.6</v>
      </c>
      <c r="V233" s="23">
        <f>IF(V232=0,"",V230/V232)</f>
        <v>0.875</v>
      </c>
      <c r="W233" s="23">
        <f>IF(W232=0,"",W230/W232)</f>
        <v>0.70731707317073167</v>
      </c>
      <c r="X233" s="22"/>
      <c r="Y233" s="23" t="str">
        <f>IF(Y232=0,"",Y230/Y232)</f>
        <v/>
      </c>
      <c r="Z233" s="22"/>
      <c r="AA233" s="23">
        <f>IF(AA232=0,"",AA230/AA232)</f>
        <v>0.70731707317073167</v>
      </c>
      <c r="AB233" s="16"/>
    </row>
    <row r="234" spans="1:28" x14ac:dyDescent="0.2">
      <c r="AB234" s="16"/>
    </row>
    <row r="235" spans="1:28" x14ac:dyDescent="0.2">
      <c r="AB235" s="16"/>
    </row>
    <row r="236" spans="1:28" x14ac:dyDescent="0.2">
      <c r="AB236" s="16"/>
    </row>
    <row r="237" spans="1:28" x14ac:dyDescent="0.2">
      <c r="B237" s="25" t="s">
        <v>56</v>
      </c>
      <c r="E237" s="3"/>
      <c r="F237" s="3"/>
      <c r="G237" s="3"/>
      <c r="I237" s="14"/>
      <c r="K237" s="3"/>
      <c r="M237" s="3"/>
      <c r="N237" s="3"/>
      <c r="O237" s="3"/>
      <c r="Q237" s="14"/>
      <c r="S237" s="3"/>
      <c r="U237" s="3"/>
      <c r="V237" s="3"/>
      <c r="W237" s="3"/>
      <c r="Y237" s="14"/>
      <c r="AA237" s="3"/>
      <c r="AB237" s="16"/>
    </row>
    <row r="238" spans="1:28" x14ac:dyDescent="0.2">
      <c r="B238" s="25"/>
      <c r="C238" s="4" t="s">
        <v>11</v>
      </c>
      <c r="D238" s="4"/>
      <c r="E238" s="45"/>
      <c r="F238" s="45"/>
      <c r="G238" s="45"/>
      <c r="H238" s="41"/>
      <c r="I238" s="45">
        <f>I115+I230+I201+I67+I131+I181+I221+I123</f>
        <v>308526673.21999997</v>
      </c>
      <c r="J238" s="41"/>
      <c r="K238" s="45">
        <f>K115+K230+K201+K67+K131+K181+K221+K123</f>
        <v>868</v>
      </c>
      <c r="L238" s="4"/>
      <c r="M238" s="45"/>
      <c r="N238" s="45"/>
      <c r="O238" s="45"/>
      <c r="P238" s="41"/>
      <c r="Q238" s="45">
        <f>Q115+Q230+Q201+Q67+Q131+Q181+Q221+Q123</f>
        <v>2995058985.1299992</v>
      </c>
      <c r="R238" s="41"/>
      <c r="S238" s="45">
        <f>S115+S230+S201+S67+S131+S181+S221+S123</f>
        <v>9907</v>
      </c>
      <c r="T238" s="4"/>
      <c r="U238" s="45"/>
      <c r="V238" s="45"/>
      <c r="W238" s="45"/>
      <c r="X238" s="41"/>
      <c r="Y238" s="45">
        <f>Y115+Y230+Y201+Y67+Y131+Y181+Y221+Y123</f>
        <v>4188848893.6099992</v>
      </c>
      <c r="Z238" s="41"/>
      <c r="AA238" s="45">
        <f>AA115+AA230+AA201+AA67+AA131+AA181+AA221+AA123</f>
        <v>14902</v>
      </c>
      <c r="AB238" s="16"/>
    </row>
    <row r="239" spans="1:28" x14ac:dyDescent="0.2">
      <c r="B239" s="25"/>
      <c r="C239" s="4" t="s">
        <v>12</v>
      </c>
      <c r="D239" s="4"/>
      <c r="E239" s="45"/>
      <c r="F239" s="45"/>
      <c r="G239" s="45"/>
      <c r="H239" s="41"/>
      <c r="I239" s="45">
        <f>I116+I231+I202+I68+I132+I182+I222+I124</f>
        <v>1248033378.1799998</v>
      </c>
      <c r="J239" s="41"/>
      <c r="K239" s="45">
        <f>K116+K231+K202+K68+K132+K182+K222+K124</f>
        <v>1712</v>
      </c>
      <c r="L239" s="4"/>
      <c r="M239" s="45"/>
      <c r="N239" s="45"/>
      <c r="O239" s="45"/>
      <c r="P239" s="41"/>
      <c r="Q239" s="45">
        <f>Q116+Q231+Q202+Q68+Q132+Q182+Q222+Q124</f>
        <v>14917622826.859999</v>
      </c>
      <c r="R239" s="41"/>
      <c r="S239" s="45">
        <f>S116+S231+S202+S68+S132+S182+S222+S124</f>
        <v>20637</v>
      </c>
      <c r="T239" s="4"/>
      <c r="U239" s="45"/>
      <c r="V239" s="45"/>
      <c r="W239" s="45"/>
      <c r="X239" s="41"/>
      <c r="Y239" s="45">
        <f>Y116+Y231+Y202+Y68+Y132+Y182+Y222+Y124</f>
        <v>24033331360.959999</v>
      </c>
      <c r="Z239" s="41"/>
      <c r="AA239" s="45">
        <f>AA116+AA231+AA202+AA68+AA132+AA182+AA222+AA124</f>
        <v>36151</v>
      </c>
      <c r="AB239" s="16"/>
    </row>
    <row r="240" spans="1:28" x14ac:dyDescent="0.2">
      <c r="B240" s="25"/>
      <c r="C240" s="4" t="s">
        <v>10</v>
      </c>
      <c r="D240" s="4"/>
      <c r="E240" s="42"/>
      <c r="F240" s="42"/>
      <c r="G240" s="42"/>
      <c r="H240" s="43"/>
      <c r="I240" s="42">
        <f>SUM(I238:I239)</f>
        <v>1556560051.3999999</v>
      </c>
      <c r="J240" s="43"/>
      <c r="K240" s="42">
        <f>SUM(K238:K239)</f>
        <v>2580</v>
      </c>
      <c r="L240" s="4"/>
      <c r="M240" s="42"/>
      <c r="N240" s="42"/>
      <c r="O240" s="42"/>
      <c r="P240" s="43"/>
      <c r="Q240" s="42">
        <f>SUM(Q238:Q239)</f>
        <v>17912681811.989998</v>
      </c>
      <c r="R240" s="43"/>
      <c r="S240" s="42">
        <f>SUM(S238:S239)</f>
        <v>30544</v>
      </c>
      <c r="T240" s="4"/>
      <c r="U240" s="42"/>
      <c r="V240" s="42"/>
      <c r="W240" s="42"/>
      <c r="X240" s="43"/>
      <c r="Y240" s="42">
        <f>SUM(Y238:Y239)</f>
        <v>28222180254.57</v>
      </c>
      <c r="Z240" s="43"/>
      <c r="AA240" s="42">
        <f>SUM(AA238:AA239)</f>
        <v>51053</v>
      </c>
      <c r="AB240" s="16"/>
    </row>
    <row r="241" spans="2:28" x14ac:dyDescent="0.2">
      <c r="C241" s="4" t="s">
        <v>13</v>
      </c>
      <c r="D241" s="4"/>
      <c r="E241" s="44"/>
      <c r="F241" s="44"/>
      <c r="G241" s="44"/>
      <c r="H241" s="43"/>
      <c r="I241" s="44">
        <f>IF(I240=0,"",I238/I240)</f>
        <v>0.19821058168780908</v>
      </c>
      <c r="J241" s="43"/>
      <c r="K241" s="44">
        <f>IF(K240=0,"",K238/K240)</f>
        <v>0.33643410852713179</v>
      </c>
      <c r="L241" s="4"/>
      <c r="M241" s="44"/>
      <c r="N241" s="44"/>
      <c r="O241" s="44"/>
      <c r="P241" s="43"/>
      <c r="Q241" s="44">
        <f>IF(Q240=0,"",Q238/Q240)</f>
        <v>0.16720327065293106</v>
      </c>
      <c r="R241" s="43"/>
      <c r="S241" s="44">
        <f>IF(S240=0,"",S238/S240)</f>
        <v>0.32435175484546885</v>
      </c>
      <c r="T241" s="4"/>
      <c r="U241" s="44"/>
      <c r="V241" s="44"/>
      <c r="W241" s="44"/>
      <c r="X241" s="43"/>
      <c r="Y241" s="44">
        <f>IF(Y240=0,"",Y238/Y240)</f>
        <v>0.14842400040768294</v>
      </c>
      <c r="Z241" s="43"/>
      <c r="AA241" s="44">
        <f>IF(AA240=0,"",AA238/AA240)</f>
        <v>0.29189273891837891</v>
      </c>
      <c r="AB241" s="16"/>
    </row>
    <row r="242" spans="2:28" x14ac:dyDescent="0.2">
      <c r="B242" s="25"/>
      <c r="AB242" s="16"/>
    </row>
    <row r="243" spans="2:28" x14ac:dyDescent="0.2">
      <c r="B243" s="25"/>
      <c r="AB243" s="16"/>
    </row>
    <row r="244" spans="2:28" x14ac:dyDescent="0.2">
      <c r="B244" s="26" t="str">
        <f ca="1">"RUN ON "&amp;TEXT(NOW(),"M/D/YYYY HH:MM")</f>
        <v>RUN ON 9/5/2014 12:50</v>
      </c>
      <c r="AB244" s="16"/>
    </row>
    <row r="245" spans="2:28" x14ac:dyDescent="0.2">
      <c r="B245" s="52">
        <f ca="1">SUM(C245:AB245)</f>
        <v>0</v>
      </c>
      <c r="C245" s="16" t="s">
        <v>202</v>
      </c>
      <c r="D245" s="49"/>
      <c r="E245" s="50"/>
      <c r="F245" s="50"/>
      <c r="G245" s="50"/>
      <c r="H245" s="51"/>
      <c r="I245" s="50"/>
      <c r="J245" s="51"/>
      <c r="K245" s="50">
        <f ca="1">INDIRECT("'RAW DATA'!"&amp;CHAR(64+K$3)&amp;"1")-K240</f>
        <v>0</v>
      </c>
      <c r="L245" s="16"/>
      <c r="M245" s="50"/>
      <c r="N245" s="50"/>
      <c r="O245" s="50"/>
      <c r="P245" s="51"/>
      <c r="Q245" s="50"/>
      <c r="R245" s="51"/>
      <c r="S245" s="50">
        <f ca="1">INDIRECT("'RAW DATA'!"&amp;CHAR(64+S$3)&amp;"1")-S240</f>
        <v>0</v>
      </c>
      <c r="T245" s="16"/>
      <c r="U245" s="50"/>
      <c r="V245" s="50"/>
      <c r="W245" s="50"/>
      <c r="X245" s="51"/>
      <c r="Y245" s="50"/>
      <c r="Z245" s="51"/>
      <c r="AA245" s="50">
        <f ca="1">INDIRECT("'RAW DATA'!"&amp;CHAR(64+AA$3)&amp;"1")-AA240</f>
        <v>0</v>
      </c>
      <c r="AB245" s="16"/>
    </row>
    <row r="246" spans="2:28" x14ac:dyDescent="0.2">
      <c r="B246" s="52">
        <f>SUM(C246:AB246)</f>
        <v>0</v>
      </c>
      <c r="C246" s="16" t="s">
        <v>166</v>
      </c>
      <c r="D246" s="49"/>
      <c r="E246" s="50"/>
      <c r="F246" s="50"/>
      <c r="G246" s="50"/>
      <c r="H246" s="51"/>
      <c r="I246" s="50"/>
      <c r="J246" s="51"/>
      <c r="K246" s="50">
        <f>K238-BRAINWAVE!H48</f>
        <v>0</v>
      </c>
      <c r="L246" s="16"/>
      <c r="M246" s="50"/>
      <c r="N246" s="50"/>
      <c r="O246" s="50"/>
      <c r="P246" s="51"/>
      <c r="Q246" s="50"/>
      <c r="R246" s="51"/>
      <c r="S246" s="50">
        <f>S238-BRAINWAVE!N48</f>
        <v>0</v>
      </c>
      <c r="T246" s="16"/>
      <c r="U246" s="50"/>
      <c r="V246" s="50"/>
      <c r="W246" s="50"/>
      <c r="X246" s="51"/>
      <c r="Y246" s="50"/>
      <c r="Z246" s="51"/>
      <c r="AA246" s="50">
        <f>AA238-BRAINWAVE!Z48</f>
        <v>0</v>
      </c>
      <c r="AB246" s="16"/>
    </row>
    <row r="247" spans="2:28" x14ac:dyDescent="0.2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50" spans="2:28" x14ac:dyDescent="0.2">
      <c r="D250" t="s">
        <v>20</v>
      </c>
    </row>
    <row r="261" spans="2:2" x14ac:dyDescent="0.2">
      <c r="B261" s="25"/>
    </row>
    <row r="262" spans="2:2" x14ac:dyDescent="0.2">
      <c r="B262" s="25"/>
    </row>
    <row r="263" spans="2:2" x14ac:dyDescent="0.2">
      <c r="B263" s="25"/>
    </row>
    <row r="264" spans="2:2" x14ac:dyDescent="0.2">
      <c r="B264" s="25"/>
    </row>
    <row r="265" spans="2:2" x14ac:dyDescent="0.2">
      <c r="B265" s="25"/>
    </row>
    <row r="266" spans="2:2" x14ac:dyDescent="0.2">
      <c r="B266" s="25"/>
    </row>
    <row r="267" spans="2:2" x14ac:dyDescent="0.2">
      <c r="B267" s="25"/>
    </row>
    <row r="268" spans="2:2" x14ac:dyDescent="0.2">
      <c r="B268" s="25"/>
    </row>
    <row r="269" spans="2:2" x14ac:dyDescent="0.2">
      <c r="B269" s="25"/>
    </row>
    <row r="270" spans="2:2" x14ac:dyDescent="0.2">
      <c r="B270" s="25"/>
    </row>
    <row r="271" spans="2:2" x14ac:dyDescent="0.2">
      <c r="B271" s="25"/>
    </row>
    <row r="272" spans="2:2" x14ac:dyDescent="0.2">
      <c r="B272" s="25"/>
    </row>
    <row r="273" spans="2:2" x14ac:dyDescent="0.2">
      <c r="B273" s="25"/>
    </row>
    <row r="274" spans="2:2" x14ac:dyDescent="0.2">
      <c r="B274" s="25"/>
    </row>
    <row r="275" spans="2:2" x14ac:dyDescent="0.2">
      <c r="B275" s="25"/>
    </row>
    <row r="276" spans="2:2" x14ac:dyDescent="0.2">
      <c r="B276" s="25"/>
    </row>
    <row r="277" spans="2:2" x14ac:dyDescent="0.2">
      <c r="B277" s="25"/>
    </row>
    <row r="278" spans="2:2" x14ac:dyDescent="0.2">
      <c r="B278" s="25"/>
    </row>
    <row r="279" spans="2:2" x14ac:dyDescent="0.2">
      <c r="B279" s="25"/>
    </row>
    <row r="280" spans="2:2" x14ac:dyDescent="0.2">
      <c r="B280" s="25"/>
    </row>
    <row r="281" spans="2:2" x14ac:dyDescent="0.2">
      <c r="B281" s="25"/>
    </row>
    <row r="282" spans="2:2" x14ac:dyDescent="0.2">
      <c r="B282" s="25"/>
    </row>
    <row r="283" spans="2:2" x14ac:dyDescent="0.2">
      <c r="B283" s="25"/>
    </row>
    <row r="284" spans="2:2" x14ac:dyDescent="0.2">
      <c r="B284" s="25"/>
    </row>
    <row r="285" spans="2:2" x14ac:dyDescent="0.2">
      <c r="B285" s="25"/>
    </row>
    <row r="286" spans="2:2" x14ac:dyDescent="0.2">
      <c r="B286" s="25"/>
    </row>
    <row r="287" spans="2:2" x14ac:dyDescent="0.2">
      <c r="B287" s="25"/>
    </row>
    <row r="288" spans="2:2" x14ac:dyDescent="0.2">
      <c r="B288" s="25"/>
    </row>
    <row r="289" spans="2:2" x14ac:dyDescent="0.2">
      <c r="B289" s="25"/>
    </row>
    <row r="290" spans="2:2" x14ac:dyDescent="0.2">
      <c r="B290" s="25"/>
    </row>
    <row r="291" spans="2:2" x14ac:dyDescent="0.2">
      <c r="B291" s="25"/>
    </row>
    <row r="292" spans="2:2" x14ac:dyDescent="0.2">
      <c r="B292" s="25"/>
    </row>
    <row r="293" spans="2:2" x14ac:dyDescent="0.2">
      <c r="B293" s="25"/>
    </row>
    <row r="294" spans="2:2" x14ac:dyDescent="0.2">
      <c r="B294" s="25"/>
    </row>
    <row r="295" spans="2:2" x14ac:dyDescent="0.2">
      <c r="B295" s="25"/>
    </row>
    <row r="296" spans="2:2" x14ac:dyDescent="0.2">
      <c r="B296" s="25"/>
    </row>
    <row r="297" spans="2:2" x14ac:dyDescent="0.2">
      <c r="B297" s="25"/>
    </row>
    <row r="298" spans="2:2" x14ac:dyDescent="0.2">
      <c r="B298" s="25"/>
    </row>
    <row r="299" spans="2:2" x14ac:dyDescent="0.2">
      <c r="B299" s="25"/>
    </row>
    <row r="300" spans="2:2" x14ac:dyDescent="0.2">
      <c r="B300" s="25"/>
    </row>
    <row r="301" spans="2:2" x14ac:dyDescent="0.2">
      <c r="B301" s="25"/>
    </row>
    <row r="302" spans="2:2" x14ac:dyDescent="0.2">
      <c r="B302" s="25"/>
    </row>
    <row r="303" spans="2:2" x14ac:dyDescent="0.2">
      <c r="B303" s="25"/>
    </row>
    <row r="304" spans="2:2" x14ac:dyDescent="0.2">
      <c r="B304" s="25"/>
    </row>
    <row r="305" spans="2:2" x14ac:dyDescent="0.2">
      <c r="B305" s="25"/>
    </row>
    <row r="306" spans="2:2" x14ac:dyDescent="0.2">
      <c r="B306" s="25"/>
    </row>
    <row r="307" spans="2:2" x14ac:dyDescent="0.2">
      <c r="B307" s="25"/>
    </row>
    <row r="308" spans="2:2" x14ac:dyDescent="0.2">
      <c r="B308" s="25"/>
    </row>
    <row r="309" spans="2:2" x14ac:dyDescent="0.2">
      <c r="B309" s="25"/>
    </row>
    <row r="310" spans="2:2" x14ac:dyDescent="0.2">
      <c r="B310" s="25"/>
    </row>
    <row r="311" spans="2:2" x14ac:dyDescent="0.2">
      <c r="B311" s="25"/>
    </row>
    <row r="312" spans="2:2" x14ac:dyDescent="0.2">
      <c r="B312" s="25"/>
    </row>
    <row r="313" spans="2:2" x14ac:dyDescent="0.2">
      <c r="B313" s="25"/>
    </row>
    <row r="314" spans="2:2" x14ac:dyDescent="0.2">
      <c r="B314" s="25"/>
    </row>
    <row r="315" spans="2:2" x14ac:dyDescent="0.2">
      <c r="B315" s="25"/>
    </row>
    <row r="316" spans="2:2" x14ac:dyDescent="0.2">
      <c r="B316" s="25"/>
    </row>
    <row r="317" spans="2:2" x14ac:dyDescent="0.2">
      <c r="B317" s="25"/>
    </row>
    <row r="318" spans="2:2" x14ac:dyDescent="0.2">
      <c r="B318" s="25"/>
    </row>
    <row r="319" spans="2:2" x14ac:dyDescent="0.2">
      <c r="B319" s="25"/>
    </row>
    <row r="320" spans="2:2" x14ac:dyDescent="0.2">
      <c r="B320" s="25"/>
    </row>
    <row r="321" spans="2:2" x14ac:dyDescent="0.2">
      <c r="B321" s="25"/>
    </row>
    <row r="322" spans="2:2" x14ac:dyDescent="0.2">
      <c r="B322" s="25"/>
    </row>
    <row r="323" spans="2:2" x14ac:dyDescent="0.2">
      <c r="B323" s="25"/>
    </row>
    <row r="324" spans="2:2" x14ac:dyDescent="0.2">
      <c r="B324" s="25"/>
    </row>
    <row r="325" spans="2:2" x14ac:dyDescent="0.2">
      <c r="B325" s="25"/>
    </row>
    <row r="326" spans="2:2" x14ac:dyDescent="0.2">
      <c r="B326" s="25"/>
    </row>
    <row r="327" spans="2:2" x14ac:dyDescent="0.2">
      <c r="B327" s="25"/>
    </row>
    <row r="328" spans="2:2" x14ac:dyDescent="0.2">
      <c r="B328" s="25"/>
    </row>
    <row r="329" spans="2:2" x14ac:dyDescent="0.2">
      <c r="B329" s="25"/>
    </row>
    <row r="330" spans="2:2" x14ac:dyDescent="0.2">
      <c r="B330" s="25"/>
    </row>
    <row r="331" spans="2:2" x14ac:dyDescent="0.2">
      <c r="B331" s="25"/>
    </row>
    <row r="332" spans="2:2" x14ac:dyDescent="0.2">
      <c r="B332" s="25"/>
    </row>
    <row r="333" spans="2:2" x14ac:dyDescent="0.2">
      <c r="B333" s="25"/>
    </row>
    <row r="334" spans="2:2" x14ac:dyDescent="0.2">
      <c r="B334" s="25"/>
    </row>
    <row r="335" spans="2:2" x14ac:dyDescent="0.2">
      <c r="B335" s="25"/>
    </row>
    <row r="336" spans="2:2" x14ac:dyDescent="0.2">
      <c r="B336" s="25"/>
    </row>
    <row r="337" spans="2:2" x14ac:dyDescent="0.2">
      <c r="B337" s="25"/>
    </row>
    <row r="338" spans="2:2" x14ac:dyDescent="0.2">
      <c r="B338" s="25"/>
    </row>
    <row r="339" spans="2:2" x14ac:dyDescent="0.2">
      <c r="B339" s="25"/>
    </row>
    <row r="340" spans="2:2" x14ac:dyDescent="0.2">
      <c r="B340" s="25"/>
    </row>
    <row r="341" spans="2:2" x14ac:dyDescent="0.2">
      <c r="B341" s="25"/>
    </row>
    <row r="342" spans="2:2" x14ac:dyDescent="0.2">
      <c r="B342" s="25"/>
    </row>
    <row r="343" spans="2:2" x14ac:dyDescent="0.2">
      <c r="B343" s="25"/>
    </row>
    <row r="344" spans="2:2" x14ac:dyDescent="0.2">
      <c r="B344" s="25"/>
    </row>
    <row r="345" spans="2:2" x14ac:dyDescent="0.2">
      <c r="B345" s="25"/>
    </row>
    <row r="346" spans="2:2" x14ac:dyDescent="0.2">
      <c r="B346" s="25"/>
    </row>
    <row r="347" spans="2:2" x14ac:dyDescent="0.2">
      <c r="B347" s="25"/>
    </row>
    <row r="348" spans="2:2" x14ac:dyDescent="0.2">
      <c r="B348" s="25"/>
    </row>
    <row r="349" spans="2:2" x14ac:dyDescent="0.2">
      <c r="B349" s="25"/>
    </row>
    <row r="350" spans="2:2" x14ac:dyDescent="0.2">
      <c r="B350" s="25"/>
    </row>
    <row r="351" spans="2:2" x14ac:dyDescent="0.2">
      <c r="B351" s="25"/>
    </row>
    <row r="352" spans="2:2" x14ac:dyDescent="0.2">
      <c r="B352" s="25"/>
    </row>
    <row r="353" spans="2:2" x14ac:dyDescent="0.2">
      <c r="B353" s="25"/>
    </row>
    <row r="354" spans="2:2" x14ac:dyDescent="0.2">
      <c r="B354" s="25"/>
    </row>
    <row r="355" spans="2:2" x14ac:dyDescent="0.2">
      <c r="B355" s="25"/>
    </row>
    <row r="356" spans="2:2" x14ac:dyDescent="0.2">
      <c r="B356" s="25"/>
    </row>
    <row r="357" spans="2:2" x14ac:dyDescent="0.2">
      <c r="B357" s="25"/>
    </row>
    <row r="358" spans="2:2" x14ac:dyDescent="0.2">
      <c r="B358" s="25"/>
    </row>
    <row r="359" spans="2:2" x14ac:dyDescent="0.2">
      <c r="B359" s="25"/>
    </row>
    <row r="360" spans="2:2" x14ac:dyDescent="0.2">
      <c r="B360" s="25"/>
    </row>
    <row r="361" spans="2:2" x14ac:dyDescent="0.2">
      <c r="B361" s="25"/>
    </row>
    <row r="362" spans="2:2" x14ac:dyDescent="0.2">
      <c r="B362" s="25"/>
    </row>
    <row r="363" spans="2:2" x14ac:dyDescent="0.2">
      <c r="B363" s="25"/>
    </row>
    <row r="364" spans="2:2" x14ac:dyDescent="0.2">
      <c r="B364" s="25"/>
    </row>
    <row r="365" spans="2:2" x14ac:dyDescent="0.2">
      <c r="B365" s="25"/>
    </row>
    <row r="366" spans="2:2" x14ac:dyDescent="0.2">
      <c r="B366" s="25"/>
    </row>
    <row r="367" spans="2:2" x14ac:dyDescent="0.2">
      <c r="B367" s="25"/>
    </row>
    <row r="368" spans="2:2" x14ac:dyDescent="0.2">
      <c r="B368" s="25"/>
    </row>
    <row r="369" spans="2:2" x14ac:dyDescent="0.2">
      <c r="B369" s="25"/>
    </row>
    <row r="370" spans="2:2" x14ac:dyDescent="0.2">
      <c r="B370" s="25"/>
    </row>
    <row r="371" spans="2:2" x14ac:dyDescent="0.2">
      <c r="B371" s="25"/>
    </row>
    <row r="372" spans="2:2" x14ac:dyDescent="0.2">
      <c r="B372" s="25"/>
    </row>
    <row r="373" spans="2:2" x14ac:dyDescent="0.2">
      <c r="B373" s="25"/>
    </row>
    <row r="374" spans="2:2" x14ac:dyDescent="0.2">
      <c r="B374" s="25"/>
    </row>
    <row r="375" spans="2:2" x14ac:dyDescent="0.2">
      <c r="B375" s="25"/>
    </row>
    <row r="376" spans="2:2" x14ac:dyDescent="0.2">
      <c r="B376" s="25"/>
    </row>
    <row r="377" spans="2:2" x14ac:dyDescent="0.2">
      <c r="B377" s="25"/>
    </row>
    <row r="378" spans="2:2" x14ac:dyDescent="0.2">
      <c r="B378" s="25"/>
    </row>
    <row r="379" spans="2:2" x14ac:dyDescent="0.2">
      <c r="B379" s="25"/>
    </row>
    <row r="380" spans="2:2" x14ac:dyDescent="0.2">
      <c r="B380" s="25"/>
    </row>
    <row r="381" spans="2:2" x14ac:dyDescent="0.2">
      <c r="B381" s="25"/>
    </row>
    <row r="382" spans="2:2" x14ac:dyDescent="0.2">
      <c r="B382" s="25"/>
    </row>
    <row r="383" spans="2:2" x14ac:dyDescent="0.2">
      <c r="B383" s="25"/>
    </row>
    <row r="384" spans="2:2" x14ac:dyDescent="0.2">
      <c r="B384" s="25"/>
    </row>
    <row r="385" spans="2:2" x14ac:dyDescent="0.2">
      <c r="B385" s="25"/>
    </row>
    <row r="386" spans="2:2" x14ac:dyDescent="0.2">
      <c r="B386" s="25"/>
    </row>
    <row r="387" spans="2:2" x14ac:dyDescent="0.2">
      <c r="B387" s="25"/>
    </row>
    <row r="388" spans="2:2" x14ac:dyDescent="0.2">
      <c r="B388" s="25"/>
    </row>
    <row r="389" spans="2:2" x14ac:dyDescent="0.2">
      <c r="B389" s="25"/>
    </row>
    <row r="390" spans="2:2" x14ac:dyDescent="0.2">
      <c r="B390" s="25"/>
    </row>
    <row r="391" spans="2:2" x14ac:dyDescent="0.2">
      <c r="B391" s="25"/>
    </row>
    <row r="392" spans="2:2" x14ac:dyDescent="0.2">
      <c r="B392" s="25"/>
    </row>
    <row r="393" spans="2:2" x14ac:dyDescent="0.2">
      <c r="B393" s="25"/>
    </row>
    <row r="394" spans="2:2" x14ac:dyDescent="0.2">
      <c r="B394" s="25"/>
    </row>
    <row r="395" spans="2:2" x14ac:dyDescent="0.2">
      <c r="B395" s="25"/>
    </row>
    <row r="396" spans="2:2" x14ac:dyDescent="0.2">
      <c r="B396" s="25"/>
    </row>
    <row r="397" spans="2:2" x14ac:dyDescent="0.2">
      <c r="B397" s="25"/>
    </row>
    <row r="398" spans="2:2" x14ac:dyDescent="0.2">
      <c r="B398" s="25"/>
    </row>
    <row r="399" spans="2:2" x14ac:dyDescent="0.2">
      <c r="B399" s="25"/>
    </row>
    <row r="400" spans="2:2" x14ac:dyDescent="0.2">
      <c r="B400" s="25"/>
    </row>
    <row r="401" spans="2:2" x14ac:dyDescent="0.2">
      <c r="B401" s="25"/>
    </row>
    <row r="402" spans="2:2" x14ac:dyDescent="0.2">
      <c r="B402" s="25"/>
    </row>
    <row r="403" spans="2:2" x14ac:dyDescent="0.2">
      <c r="B403" s="25"/>
    </row>
    <row r="404" spans="2:2" x14ac:dyDescent="0.2">
      <c r="B404" s="25"/>
    </row>
    <row r="405" spans="2:2" x14ac:dyDescent="0.2">
      <c r="B405" s="25"/>
    </row>
    <row r="406" spans="2:2" x14ac:dyDescent="0.2">
      <c r="B406" s="25"/>
    </row>
    <row r="407" spans="2:2" x14ac:dyDescent="0.2">
      <c r="B407" s="25"/>
    </row>
    <row r="408" spans="2:2" x14ac:dyDescent="0.2">
      <c r="B408" s="25"/>
    </row>
    <row r="409" spans="2:2" x14ac:dyDescent="0.2">
      <c r="B409" s="25"/>
    </row>
    <row r="410" spans="2:2" x14ac:dyDescent="0.2">
      <c r="B410" s="25"/>
    </row>
    <row r="411" spans="2:2" x14ac:dyDescent="0.2">
      <c r="B411" s="25"/>
    </row>
    <row r="412" spans="2:2" x14ac:dyDescent="0.2">
      <c r="B412" s="25"/>
    </row>
    <row r="413" spans="2:2" x14ac:dyDescent="0.2">
      <c r="B413" s="25"/>
    </row>
    <row r="414" spans="2:2" x14ac:dyDescent="0.2">
      <c r="B414" s="25"/>
    </row>
    <row r="415" spans="2:2" x14ac:dyDescent="0.2">
      <c r="B415" s="25"/>
    </row>
    <row r="416" spans="2:2" x14ac:dyDescent="0.2">
      <c r="B416" s="25"/>
    </row>
    <row r="417" spans="2:2" x14ac:dyDescent="0.2">
      <c r="B417" s="25"/>
    </row>
    <row r="418" spans="2:2" x14ac:dyDescent="0.2">
      <c r="B418" s="25"/>
    </row>
    <row r="419" spans="2:2" x14ac:dyDescent="0.2">
      <c r="B419" s="25"/>
    </row>
    <row r="420" spans="2:2" x14ac:dyDescent="0.2">
      <c r="B420" s="25"/>
    </row>
    <row r="421" spans="2:2" x14ac:dyDescent="0.2">
      <c r="B421" s="25"/>
    </row>
    <row r="422" spans="2:2" x14ac:dyDescent="0.2">
      <c r="B422" s="25"/>
    </row>
    <row r="423" spans="2:2" x14ac:dyDescent="0.2">
      <c r="B423" s="25"/>
    </row>
    <row r="424" spans="2:2" x14ac:dyDescent="0.2">
      <c r="B424" s="25"/>
    </row>
    <row r="425" spans="2:2" x14ac:dyDescent="0.2">
      <c r="B425" s="25"/>
    </row>
    <row r="426" spans="2:2" x14ac:dyDescent="0.2">
      <c r="B426" s="25"/>
    </row>
    <row r="427" spans="2:2" x14ac:dyDescent="0.2">
      <c r="B427" s="25"/>
    </row>
    <row r="428" spans="2:2" x14ac:dyDescent="0.2">
      <c r="B428" s="25"/>
    </row>
    <row r="429" spans="2:2" x14ac:dyDescent="0.2">
      <c r="B429" s="25"/>
    </row>
    <row r="430" spans="2:2" x14ac:dyDescent="0.2">
      <c r="B430" s="25"/>
    </row>
    <row r="431" spans="2:2" x14ac:dyDescent="0.2">
      <c r="B431" s="25"/>
    </row>
    <row r="432" spans="2:2" x14ac:dyDescent="0.2">
      <c r="B432" s="25"/>
    </row>
    <row r="433" spans="2:2" x14ac:dyDescent="0.2">
      <c r="B433" s="25"/>
    </row>
    <row r="434" spans="2:2" x14ac:dyDescent="0.2">
      <c r="B434" s="25"/>
    </row>
    <row r="435" spans="2:2" x14ac:dyDescent="0.2">
      <c r="B435" s="25"/>
    </row>
    <row r="436" spans="2:2" x14ac:dyDescent="0.2">
      <c r="B436" s="25"/>
    </row>
    <row r="437" spans="2:2" x14ac:dyDescent="0.2">
      <c r="B437" s="25"/>
    </row>
    <row r="438" spans="2:2" x14ac:dyDescent="0.2">
      <c r="B438" s="25"/>
    </row>
    <row r="439" spans="2:2" x14ac:dyDescent="0.2">
      <c r="B439" s="25"/>
    </row>
    <row r="440" spans="2:2" x14ac:dyDescent="0.2">
      <c r="B440" s="25"/>
    </row>
    <row r="441" spans="2:2" x14ac:dyDescent="0.2">
      <c r="B441" s="25"/>
    </row>
    <row r="442" spans="2:2" x14ac:dyDescent="0.2">
      <c r="B442" s="25"/>
    </row>
    <row r="443" spans="2:2" x14ac:dyDescent="0.2">
      <c r="B443" s="25"/>
    </row>
    <row r="444" spans="2:2" x14ac:dyDescent="0.2">
      <c r="B444" s="25"/>
    </row>
    <row r="445" spans="2:2" x14ac:dyDescent="0.2">
      <c r="B445" s="25"/>
    </row>
    <row r="446" spans="2:2" x14ac:dyDescent="0.2">
      <c r="B446" s="25"/>
    </row>
    <row r="447" spans="2:2" x14ac:dyDescent="0.2">
      <c r="B447" s="25"/>
    </row>
    <row r="448" spans="2:2" x14ac:dyDescent="0.2">
      <c r="B448" s="25"/>
    </row>
    <row r="449" spans="2:2" x14ac:dyDescent="0.2">
      <c r="B449" s="25"/>
    </row>
    <row r="450" spans="2:2" x14ac:dyDescent="0.2">
      <c r="B450" s="25"/>
    </row>
    <row r="451" spans="2:2" x14ac:dyDescent="0.2">
      <c r="B451" s="25"/>
    </row>
    <row r="452" spans="2:2" x14ac:dyDescent="0.2">
      <c r="B452" s="25"/>
    </row>
    <row r="453" spans="2:2" x14ac:dyDescent="0.2">
      <c r="B453" s="25"/>
    </row>
    <row r="454" spans="2:2" x14ac:dyDescent="0.2">
      <c r="B454" s="25"/>
    </row>
    <row r="455" spans="2:2" x14ac:dyDescent="0.2">
      <c r="B455" s="25"/>
    </row>
    <row r="456" spans="2:2" x14ac:dyDescent="0.2">
      <c r="B456" s="25"/>
    </row>
    <row r="457" spans="2:2" x14ac:dyDescent="0.2">
      <c r="B457" s="25"/>
    </row>
    <row r="458" spans="2:2" x14ac:dyDescent="0.2">
      <c r="B458" s="25"/>
    </row>
    <row r="459" spans="2:2" x14ac:dyDescent="0.2">
      <c r="B459" s="25"/>
    </row>
    <row r="460" spans="2:2" x14ac:dyDescent="0.2">
      <c r="B460" s="25"/>
    </row>
    <row r="461" spans="2:2" x14ac:dyDescent="0.2">
      <c r="B461" s="25"/>
    </row>
    <row r="462" spans="2:2" x14ac:dyDescent="0.2">
      <c r="B462" s="25"/>
    </row>
    <row r="463" spans="2:2" x14ac:dyDescent="0.2">
      <c r="B463" s="25"/>
    </row>
    <row r="464" spans="2:2" x14ac:dyDescent="0.2">
      <c r="B464" s="25"/>
    </row>
    <row r="465" spans="2:2" x14ac:dyDescent="0.2">
      <c r="B465" s="25"/>
    </row>
    <row r="466" spans="2:2" x14ac:dyDescent="0.2">
      <c r="B466" s="25"/>
    </row>
    <row r="467" spans="2:2" x14ac:dyDescent="0.2">
      <c r="B467" s="25"/>
    </row>
    <row r="468" spans="2:2" x14ac:dyDescent="0.2">
      <c r="B468" s="25"/>
    </row>
    <row r="469" spans="2:2" x14ac:dyDescent="0.2">
      <c r="B469" s="25"/>
    </row>
    <row r="470" spans="2:2" x14ac:dyDescent="0.2">
      <c r="B470" s="25"/>
    </row>
    <row r="471" spans="2:2" x14ac:dyDescent="0.2">
      <c r="B471" s="25"/>
    </row>
    <row r="472" spans="2:2" x14ac:dyDescent="0.2">
      <c r="B472" s="25"/>
    </row>
    <row r="473" spans="2:2" x14ac:dyDescent="0.2">
      <c r="B473" s="25"/>
    </row>
    <row r="474" spans="2:2" x14ac:dyDescent="0.2">
      <c r="B474" s="25"/>
    </row>
    <row r="475" spans="2:2" x14ac:dyDescent="0.2">
      <c r="B475" s="25"/>
    </row>
    <row r="476" spans="2:2" x14ac:dyDescent="0.2">
      <c r="B476" s="25"/>
    </row>
    <row r="477" spans="2:2" x14ac:dyDescent="0.2">
      <c r="B477" s="25"/>
    </row>
    <row r="478" spans="2:2" x14ac:dyDescent="0.2">
      <c r="B478" s="25"/>
    </row>
    <row r="479" spans="2:2" x14ac:dyDescent="0.2">
      <c r="B479" s="25"/>
    </row>
    <row r="480" spans="2:2" x14ac:dyDescent="0.2">
      <c r="B480" s="25"/>
    </row>
    <row r="481" spans="2:2" x14ac:dyDescent="0.2">
      <c r="B481" s="25"/>
    </row>
    <row r="482" spans="2:2" x14ac:dyDescent="0.2">
      <c r="B482" s="25"/>
    </row>
    <row r="483" spans="2:2" x14ac:dyDescent="0.2">
      <c r="B483" s="25"/>
    </row>
    <row r="484" spans="2:2" x14ac:dyDescent="0.2">
      <c r="B484" s="25"/>
    </row>
    <row r="485" spans="2:2" x14ac:dyDescent="0.2">
      <c r="B485" s="25"/>
    </row>
    <row r="486" spans="2:2" x14ac:dyDescent="0.2">
      <c r="B486" s="25"/>
    </row>
    <row r="487" spans="2:2" x14ac:dyDescent="0.2">
      <c r="B487" s="25"/>
    </row>
    <row r="488" spans="2:2" x14ac:dyDescent="0.2">
      <c r="B488" s="25"/>
    </row>
    <row r="489" spans="2:2" x14ac:dyDescent="0.2">
      <c r="B489" s="25"/>
    </row>
    <row r="490" spans="2:2" x14ac:dyDescent="0.2">
      <c r="B490" s="25"/>
    </row>
    <row r="491" spans="2:2" x14ac:dyDescent="0.2">
      <c r="B491" s="25"/>
    </row>
    <row r="492" spans="2:2" x14ac:dyDescent="0.2">
      <c r="B492" s="25"/>
    </row>
    <row r="493" spans="2:2" x14ac:dyDescent="0.2">
      <c r="B493" s="25"/>
    </row>
    <row r="494" spans="2:2" x14ac:dyDescent="0.2">
      <c r="B494" s="25"/>
    </row>
    <row r="495" spans="2:2" x14ac:dyDescent="0.2">
      <c r="B495" s="25"/>
    </row>
  </sheetData>
  <conditionalFormatting sqref="B245:B246 D245:IV246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ageMargins left="0.25" right="0.25" top="0.5" bottom="0.5" header="0" footer="0"/>
  <pageSetup scale="44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8"/>
  <sheetViews>
    <sheetView tabSelected="1" zoomScale="65" workbookViewId="0">
      <pane xSplit="6" ySplit="16" topLeftCell="L54" activePane="bottomRight" state="frozen"/>
      <selection pane="topRight" activeCell="E1" sqref="E1"/>
      <selection pane="bottomLeft" activeCell="A13" sqref="A13"/>
      <selection pane="bottomRight" activeCell="AE124" sqref="AE124"/>
    </sheetView>
  </sheetViews>
  <sheetFormatPr defaultRowHeight="12.75" x14ac:dyDescent="0.2"/>
  <cols>
    <col min="1" max="1" width="11.42578125" style="16" hidden="1" customWidth="1"/>
    <col min="2" max="4" width="8.7109375" style="16" hidden="1" customWidth="1"/>
    <col min="5" max="5" width="13.28515625" style="26" customWidth="1"/>
    <col min="6" max="6" width="25.42578125" style="26" customWidth="1"/>
    <col min="7" max="7" width="14.28515625" style="26" customWidth="1"/>
    <col min="8" max="8" width="16.85546875" customWidth="1"/>
    <col min="9" max="11" width="16.85546875" style="58" hidden="1" customWidth="1"/>
    <col min="12" max="12" width="16.85546875" customWidth="1"/>
    <col min="13" max="13" width="5.28515625" customWidth="1"/>
    <col min="14" max="14" width="16.85546875" customWidth="1"/>
    <col min="15" max="17" width="16.85546875" style="58" hidden="1" customWidth="1"/>
    <col min="18" max="18" width="16.85546875" customWidth="1"/>
    <col min="19" max="19" width="5.28515625" customWidth="1"/>
    <col min="20" max="20" width="16.85546875" customWidth="1"/>
    <col min="21" max="23" width="16.85546875" style="58" hidden="1" customWidth="1"/>
    <col min="24" max="24" width="16.85546875" customWidth="1"/>
    <col min="25" max="25" width="5.28515625" customWidth="1"/>
    <col min="26" max="26" width="16.85546875" customWidth="1"/>
    <col min="27" max="29" width="16.85546875" style="58" hidden="1" customWidth="1"/>
    <col min="30" max="30" width="16.85546875" customWidth="1"/>
    <col min="31" max="32" width="16.140625" customWidth="1"/>
    <col min="33" max="34" width="10.28515625" customWidth="1"/>
  </cols>
  <sheetData>
    <row r="1" spans="1:35" s="34" customFormat="1" hidden="1" x14ac:dyDescent="0.2">
      <c r="A1" s="16"/>
      <c r="B1" s="16"/>
      <c r="C1" s="16"/>
      <c r="D1" s="16"/>
      <c r="H1" s="31" t="s">
        <v>49</v>
      </c>
      <c r="I1" s="57"/>
      <c r="J1" s="57"/>
      <c r="K1" s="57"/>
      <c r="L1" s="31"/>
      <c r="M1" s="31"/>
      <c r="N1" s="31" t="s">
        <v>44</v>
      </c>
      <c r="O1" s="57"/>
      <c r="P1" s="57"/>
      <c r="Q1" s="57"/>
      <c r="R1" s="31"/>
      <c r="S1" s="31"/>
      <c r="T1" s="31" t="s">
        <v>69</v>
      </c>
      <c r="U1" s="57"/>
      <c r="V1" s="57"/>
      <c r="W1" s="57"/>
      <c r="X1" s="31"/>
      <c r="Y1" s="31"/>
      <c r="Z1" s="31" t="s">
        <v>39</v>
      </c>
      <c r="AA1" s="57"/>
      <c r="AB1" s="57"/>
      <c r="AC1" s="57"/>
      <c r="AD1" s="31"/>
      <c r="AE1" s="31"/>
      <c r="AF1" s="31"/>
      <c r="AG1" s="31"/>
      <c r="AH1" s="31"/>
      <c r="AI1" s="16"/>
    </row>
    <row r="2" spans="1:35" s="34" customFormat="1" hidden="1" x14ac:dyDescent="0.2">
      <c r="A2" s="16"/>
      <c r="B2" s="16"/>
      <c r="C2" s="16"/>
      <c r="D2" s="16"/>
      <c r="H2" s="34">
        <f>MATCH(H1,VARFINDCOLUMN,0)</f>
        <v>15</v>
      </c>
      <c r="I2" s="58"/>
      <c r="J2" s="58"/>
      <c r="K2" s="58"/>
      <c r="N2" s="34">
        <f>MATCH(N1,VARFINDCOLUMN,0)</f>
        <v>10</v>
      </c>
      <c r="O2" s="58"/>
      <c r="P2" s="58"/>
      <c r="Q2" s="58"/>
      <c r="T2" s="34">
        <f>MATCH(T1,VARFINDCOLUMN,0)</f>
        <v>20</v>
      </c>
      <c r="U2" s="58"/>
      <c r="V2" s="58"/>
      <c r="W2" s="58"/>
      <c r="Z2" s="34">
        <f>MATCH(Z1,VARFINDCOLUMN,0)</f>
        <v>5</v>
      </c>
      <c r="AA2" s="58"/>
      <c r="AB2" s="58"/>
      <c r="AC2" s="58"/>
      <c r="AI2" s="16"/>
    </row>
    <row r="3" spans="1:35" s="34" customFormat="1" hidden="1" x14ac:dyDescent="0.2">
      <c r="A3" s="16"/>
      <c r="B3" s="16"/>
      <c r="C3" s="16"/>
      <c r="D3" s="16"/>
      <c r="H3" s="31" t="s">
        <v>50</v>
      </c>
      <c r="I3" s="57"/>
      <c r="J3" s="57" t="s">
        <v>51</v>
      </c>
      <c r="K3" s="57"/>
      <c r="L3" s="31"/>
      <c r="M3" s="31"/>
      <c r="N3" s="31" t="s">
        <v>45</v>
      </c>
      <c r="O3" s="57"/>
      <c r="P3" s="57" t="s">
        <v>46</v>
      </c>
      <c r="Q3" s="57"/>
      <c r="R3" s="31"/>
      <c r="S3" s="31"/>
      <c r="T3" s="31" t="s">
        <v>70</v>
      </c>
      <c r="U3" s="57"/>
      <c r="V3" s="57" t="s">
        <v>71</v>
      </c>
      <c r="W3" s="57"/>
      <c r="X3" s="31"/>
      <c r="Y3" s="31"/>
      <c r="Z3" s="31" t="s">
        <v>40</v>
      </c>
      <c r="AA3" s="57"/>
      <c r="AB3" s="57" t="s">
        <v>41</v>
      </c>
      <c r="AC3" s="57"/>
      <c r="AD3" s="31"/>
      <c r="AE3" s="31"/>
      <c r="AF3" s="31"/>
      <c r="AG3" s="31"/>
      <c r="AH3" s="31"/>
      <c r="AI3" s="16"/>
    </row>
    <row r="4" spans="1:35" s="34" customFormat="1" hidden="1" x14ac:dyDescent="0.2">
      <c r="A4" s="16"/>
      <c r="B4" s="16"/>
      <c r="C4" s="16"/>
      <c r="D4" s="16"/>
      <c r="H4" s="34">
        <f>MATCH(H3,VARFINDCOLUMN,0)</f>
        <v>16</v>
      </c>
      <c r="I4" s="58"/>
      <c r="J4" s="58">
        <f>MATCH(J3,VARFINDCOLUMN,0)</f>
        <v>17</v>
      </c>
      <c r="K4" s="58"/>
      <c r="N4" s="34">
        <f>MATCH(N3,VARFINDCOLUMN,0)</f>
        <v>11</v>
      </c>
      <c r="O4" s="58"/>
      <c r="P4" s="58">
        <f>MATCH(P3,VARFINDCOLUMN,0)</f>
        <v>12</v>
      </c>
      <c r="Q4" s="58"/>
      <c r="T4" s="34">
        <f>MATCH(T3,VARFINDCOLUMN,0)</f>
        <v>21</v>
      </c>
      <c r="U4" s="58"/>
      <c r="V4" s="58">
        <f>MATCH(V3,VARFINDCOLUMN,0)</f>
        <v>22</v>
      </c>
      <c r="W4" s="58"/>
      <c r="Z4" s="34">
        <f>MATCH(Z3,VARFINDCOLUMN,0)</f>
        <v>6</v>
      </c>
      <c r="AA4" s="58"/>
      <c r="AB4" s="58">
        <f>MATCH(AB3,VARFINDCOLUMN,0)</f>
        <v>7</v>
      </c>
      <c r="AC4" s="58"/>
      <c r="AI4" s="16"/>
    </row>
    <row r="5" spans="1:35" s="34" customFormat="1" hidden="1" x14ac:dyDescent="0.2">
      <c r="A5" s="16"/>
      <c r="B5" s="16"/>
      <c r="C5" s="16"/>
      <c r="D5" s="16"/>
      <c r="H5" s="31" t="s">
        <v>52</v>
      </c>
      <c r="I5" s="57"/>
      <c r="J5" s="57" t="s">
        <v>53</v>
      </c>
      <c r="K5" s="57"/>
      <c r="L5" s="31"/>
      <c r="M5" s="31"/>
      <c r="N5" s="31" t="s">
        <v>47</v>
      </c>
      <c r="O5" s="57"/>
      <c r="P5" s="57" t="s">
        <v>48</v>
      </c>
      <c r="Q5" s="57"/>
      <c r="R5" s="31"/>
      <c r="S5" s="31"/>
      <c r="T5" s="31" t="s">
        <v>72</v>
      </c>
      <c r="U5" s="57"/>
      <c r="V5" s="57" t="s">
        <v>73</v>
      </c>
      <c r="W5" s="57"/>
      <c r="X5" s="31"/>
      <c r="Y5" s="31"/>
      <c r="Z5" s="31" t="s">
        <v>42</v>
      </c>
      <c r="AA5" s="57"/>
      <c r="AB5" s="57" t="s">
        <v>43</v>
      </c>
      <c r="AC5" s="57"/>
      <c r="AD5" s="31"/>
      <c r="AE5" s="31"/>
      <c r="AF5" s="31"/>
      <c r="AG5" s="31"/>
      <c r="AH5" s="31"/>
      <c r="AI5" s="16"/>
    </row>
    <row r="6" spans="1:35" s="34" customFormat="1" hidden="1" x14ac:dyDescent="0.2">
      <c r="A6" s="16"/>
      <c r="B6" s="16"/>
      <c r="C6" s="16"/>
      <c r="D6" s="16"/>
      <c r="H6" s="34">
        <f>MATCH(H5,VARFINDCOLUMN,0)</f>
        <v>18</v>
      </c>
      <c r="I6" s="58"/>
      <c r="J6" s="58">
        <f>MATCH(J5,VARFINDCOLUMN,0)</f>
        <v>19</v>
      </c>
      <c r="K6" s="58"/>
      <c r="N6" s="34">
        <f>MATCH(N5,VARFINDCOLUMN,0)</f>
        <v>13</v>
      </c>
      <c r="O6" s="58"/>
      <c r="P6" s="58">
        <f>MATCH(P5,VARFINDCOLUMN,0)</f>
        <v>14</v>
      </c>
      <c r="Q6" s="58"/>
      <c r="T6" s="34">
        <f>MATCH(T5,VARFINDCOLUMN,0)</f>
        <v>23</v>
      </c>
      <c r="U6" s="58"/>
      <c r="V6" s="58">
        <f>MATCH(V5,VARFINDCOLUMN,0)</f>
        <v>24</v>
      </c>
      <c r="W6" s="58"/>
      <c r="Z6" s="34">
        <f>MATCH(Z5,VARFINDCOLUMN,0)</f>
        <v>8</v>
      </c>
      <c r="AA6" s="58"/>
      <c r="AB6" s="58">
        <f>MATCH(AB5,VARFINDCOLUMN,0)</f>
        <v>9</v>
      </c>
      <c r="AC6" s="58"/>
      <c r="AI6" s="16"/>
    </row>
    <row r="7" spans="1:35" ht="15.75" x14ac:dyDescent="0.25">
      <c r="E7" s="24" t="s">
        <v>2</v>
      </c>
      <c r="AI7" s="16"/>
    </row>
    <row r="8" spans="1:35" ht="15.75" x14ac:dyDescent="0.25">
      <c r="E8" s="24" t="s">
        <v>3</v>
      </c>
      <c r="AI8" s="16"/>
    </row>
    <row r="9" spans="1:35" x14ac:dyDescent="0.2">
      <c r="E9" s="25" t="s">
        <v>4</v>
      </c>
      <c r="AI9" s="16"/>
    </row>
    <row r="10" spans="1:35" x14ac:dyDescent="0.2">
      <c r="E10" s="25" t="s">
        <v>5</v>
      </c>
      <c r="AI10" s="16"/>
    </row>
    <row r="11" spans="1:35" x14ac:dyDescent="0.2">
      <c r="AI11" s="16"/>
    </row>
    <row r="12" spans="1:35" x14ac:dyDescent="0.2">
      <c r="E12" s="27" t="s">
        <v>17</v>
      </c>
      <c r="AI12" s="16"/>
    </row>
    <row r="13" spans="1:35" x14ac:dyDescent="0.2">
      <c r="AI13" s="16"/>
    </row>
    <row r="14" spans="1:35" x14ac:dyDescent="0.2">
      <c r="L14" s="17"/>
      <c r="M14" s="17"/>
      <c r="R14" s="17"/>
      <c r="S14" s="17"/>
      <c r="X14" s="17"/>
      <c r="Y14" s="17"/>
      <c r="AD14" s="17"/>
      <c r="AE14" s="17"/>
      <c r="AF14" s="17"/>
      <c r="AG14" s="17"/>
      <c r="AH14" s="17"/>
      <c r="AI14" s="16"/>
    </row>
    <row r="15" spans="1:35" x14ac:dyDescent="0.2">
      <c r="H15" s="22"/>
      <c r="I15" s="59"/>
      <c r="J15" s="59"/>
      <c r="K15" s="59"/>
      <c r="L15" s="43" t="s">
        <v>76</v>
      </c>
      <c r="M15" s="10"/>
      <c r="N15" s="22"/>
      <c r="O15" s="59"/>
      <c r="P15" s="59"/>
      <c r="Q15" s="59"/>
      <c r="R15" s="43" t="s">
        <v>76</v>
      </c>
      <c r="S15" s="43"/>
      <c r="T15" s="22"/>
      <c r="U15" s="59"/>
      <c r="V15" s="59"/>
      <c r="W15" s="59"/>
      <c r="X15" s="43" t="s">
        <v>76</v>
      </c>
      <c r="Y15" s="10"/>
      <c r="Z15" s="22"/>
      <c r="AA15" s="59"/>
      <c r="AB15" s="59"/>
      <c r="AC15" s="59"/>
      <c r="AD15" s="43" t="s">
        <v>76</v>
      </c>
      <c r="AE15" s="43"/>
      <c r="AF15" s="43"/>
      <c r="AG15" s="10"/>
      <c r="AH15" s="10"/>
      <c r="AI15" s="16"/>
    </row>
    <row r="16" spans="1:35" x14ac:dyDescent="0.2">
      <c r="H16" s="39">
        <f>'RAW DATA'!C1</f>
        <v>36551</v>
      </c>
      <c r="I16" s="90"/>
      <c r="J16" s="60"/>
      <c r="K16" s="60"/>
      <c r="L16" s="55" t="s">
        <v>77</v>
      </c>
      <c r="M16" s="15"/>
      <c r="N16" s="43" t="s">
        <v>54</v>
      </c>
      <c r="O16" s="60"/>
      <c r="P16" s="60"/>
      <c r="Q16" s="60"/>
      <c r="R16" s="55" t="s">
        <v>77</v>
      </c>
      <c r="S16" s="55"/>
      <c r="T16" s="43" t="s">
        <v>78</v>
      </c>
      <c r="U16" s="60"/>
      <c r="V16" s="60"/>
      <c r="W16" s="60"/>
      <c r="X16" s="55" t="s">
        <v>77</v>
      </c>
      <c r="Y16" s="15"/>
      <c r="Z16" s="43" t="s">
        <v>55</v>
      </c>
      <c r="AA16" s="60"/>
      <c r="AB16" s="60"/>
      <c r="AC16" s="60"/>
      <c r="AD16" s="55" t="s">
        <v>77</v>
      </c>
      <c r="AE16" s="55"/>
      <c r="AF16" s="55"/>
      <c r="AG16" s="15"/>
      <c r="AH16" s="15"/>
      <c r="AI16" s="16"/>
    </row>
    <row r="17" spans="1:35" x14ac:dyDescent="0.2">
      <c r="AI17" s="16"/>
    </row>
    <row r="18" spans="1:35" x14ac:dyDescent="0.2">
      <c r="A18" s="16" t="s">
        <v>79</v>
      </c>
      <c r="B18" s="16" t="s">
        <v>18</v>
      </c>
      <c r="C18" s="16" t="s">
        <v>79</v>
      </c>
      <c r="D18" s="16" t="s">
        <v>18</v>
      </c>
      <c r="E18" s="25" t="s">
        <v>98</v>
      </c>
      <c r="H18" s="3"/>
      <c r="I18" s="61"/>
      <c r="J18" s="61"/>
      <c r="K18" s="61"/>
      <c r="L18" s="3"/>
      <c r="M18" s="3"/>
      <c r="N18" s="3"/>
      <c r="O18" s="61"/>
      <c r="P18" s="61"/>
      <c r="Q18" s="61"/>
      <c r="R18" s="3"/>
      <c r="S18" s="3"/>
      <c r="T18" s="3"/>
      <c r="U18" s="61"/>
      <c r="V18" s="61"/>
      <c r="W18" s="61"/>
      <c r="X18" s="3"/>
      <c r="Y18" s="3"/>
      <c r="Z18" s="3"/>
      <c r="AA18" s="61"/>
      <c r="AB18" s="61"/>
      <c r="AC18" s="61"/>
      <c r="AD18" s="3"/>
      <c r="AE18" s="3"/>
      <c r="AF18" s="3"/>
      <c r="AG18" s="3"/>
      <c r="AH18" s="3"/>
      <c r="AI18" s="16"/>
    </row>
    <row r="19" spans="1:35" x14ac:dyDescent="0.2">
      <c r="A19" s="67" t="s">
        <v>74</v>
      </c>
      <c r="B19" s="67" t="s">
        <v>0</v>
      </c>
      <c r="C19" s="67" t="str">
        <f>A19</f>
        <v>GAS</v>
      </c>
      <c r="D19" s="67" t="s">
        <v>1</v>
      </c>
      <c r="E19" s="25"/>
      <c r="F19" s="25" t="s">
        <v>177</v>
      </c>
      <c r="G19" s="25"/>
      <c r="H19" s="29">
        <f>DSUM(VARDATA2,H$2-1,$A18:$B19)</f>
        <v>724</v>
      </c>
      <c r="I19" s="62"/>
      <c r="J19" s="62">
        <f>DSUM(VARDATA2,H$2-1,$C18:$D19)</f>
        <v>841</v>
      </c>
      <c r="K19" s="62"/>
      <c r="L19" s="54">
        <f>IF((J19+H19)=0,"",H19/(J19+H19))</f>
        <v>0.46261980830670929</v>
      </c>
      <c r="M19" s="54"/>
      <c r="N19" s="29">
        <f>DSUM(VARDATA2,N$2-1,$A18:$B19)</f>
        <v>7756</v>
      </c>
      <c r="O19" s="62"/>
      <c r="P19" s="62">
        <f>DSUM(VARDATA2,N$2-1,$C18:$D19)</f>
        <v>8599</v>
      </c>
      <c r="Q19" s="62"/>
      <c r="R19" s="54">
        <f>IF((P19+N19)=0,"",N19/(P19+N19))</f>
        <v>0.4742280648119841</v>
      </c>
      <c r="S19" s="54"/>
      <c r="T19" s="29">
        <f>DSUM(VARDATA2,T$2-1,$A18:$B19)</f>
        <v>7756</v>
      </c>
      <c r="U19" s="62"/>
      <c r="V19" s="62">
        <f>DSUM(VARDATA2,T$2-1,$C18:$D19)</f>
        <v>8599</v>
      </c>
      <c r="W19" s="62"/>
      <c r="X19" s="54">
        <f>IF((V19+T19)=0,"",T19/(V19+T19))</f>
        <v>0.4742280648119841</v>
      </c>
      <c r="Y19" s="54"/>
      <c r="Z19" s="29">
        <f>DSUM(VARDATA2,Z$2-1,$A18:$B19)</f>
        <v>12581</v>
      </c>
      <c r="AA19" s="62"/>
      <c r="AB19" s="62">
        <f>DSUM(VARDATA2,Z$2-1,$C18:$D19)</f>
        <v>20117</v>
      </c>
      <c r="AC19" s="62"/>
      <c r="AD19" s="54">
        <f>IF((AB19+Z19)=0,"",Z19/(AB19+Z19))</f>
        <v>0.38476359410361488</v>
      </c>
      <c r="AE19" s="54"/>
      <c r="AF19" s="54"/>
      <c r="AG19" s="54"/>
      <c r="AH19" s="54"/>
      <c r="AI19" s="16"/>
    </row>
    <row r="20" spans="1:35" hidden="1" x14ac:dyDescent="0.2">
      <c r="A20" s="16" t="s">
        <v>79</v>
      </c>
      <c r="B20" s="16" t="s">
        <v>18</v>
      </c>
      <c r="C20" s="16" t="s">
        <v>79</v>
      </c>
      <c r="D20" s="16" t="s">
        <v>18</v>
      </c>
      <c r="H20" s="3"/>
      <c r="I20" s="61"/>
      <c r="J20" s="62"/>
      <c r="K20" s="62"/>
      <c r="L20" s="3"/>
      <c r="M20" s="3"/>
      <c r="N20" s="3"/>
      <c r="O20" s="61"/>
      <c r="P20" s="62"/>
      <c r="Q20" s="62"/>
      <c r="R20" s="3"/>
      <c r="S20" s="3"/>
      <c r="T20" s="3"/>
      <c r="U20" s="61"/>
      <c r="V20" s="62"/>
      <c r="W20" s="62"/>
      <c r="X20" s="3"/>
      <c r="Y20" s="3"/>
      <c r="Z20" s="3"/>
      <c r="AA20" s="61"/>
      <c r="AB20" s="62"/>
      <c r="AC20" s="62"/>
      <c r="AD20" s="3"/>
      <c r="AE20" s="3"/>
      <c r="AF20" s="3"/>
      <c r="AG20" s="3"/>
      <c r="AH20" s="3"/>
      <c r="AI20" s="16"/>
    </row>
    <row r="21" spans="1:35" x14ac:dyDescent="0.2">
      <c r="A21" s="67" t="s">
        <v>167</v>
      </c>
      <c r="B21" s="67" t="s">
        <v>0</v>
      </c>
      <c r="C21" s="67" t="str">
        <f>A21</f>
        <v>CONTINENTAL GAS</v>
      </c>
      <c r="D21" s="67" t="s">
        <v>1</v>
      </c>
      <c r="E21" s="25"/>
      <c r="F21" s="25" t="s">
        <v>167</v>
      </c>
      <c r="G21" s="25"/>
      <c r="H21" s="29">
        <f>DSUM(VARDATA2,H$2-1,$A20:$B21)</f>
        <v>1</v>
      </c>
      <c r="I21" s="62"/>
      <c r="J21" s="62">
        <f>DSUM(VARDATA2,H$2-1,$C20:$D21)</f>
        <v>13</v>
      </c>
      <c r="K21" s="62"/>
      <c r="L21" s="54">
        <f>IF((J21+H21)=0,"",H21/(J21+H21))</f>
        <v>7.1428571428571425E-2</v>
      </c>
      <c r="M21" s="54"/>
      <c r="N21" s="29">
        <f>DSUM(VARDATA2,N$2-1,$A20:$B21)</f>
        <v>49</v>
      </c>
      <c r="O21" s="62"/>
      <c r="P21" s="62">
        <f>DSUM(VARDATA2,N$2-1,$C20:$D21)</f>
        <v>218</v>
      </c>
      <c r="Q21" s="62"/>
      <c r="R21" s="54">
        <f>IF((P21+N21)=0,"",N21/(P21+N21))</f>
        <v>0.18352059925093633</v>
      </c>
      <c r="S21" s="54"/>
      <c r="T21" s="29">
        <f>DSUM(VARDATA2,T$2-1,$A20:$B21)</f>
        <v>49</v>
      </c>
      <c r="U21" s="62"/>
      <c r="V21" s="62">
        <f>DSUM(VARDATA2,T$2-1,$C20:$D21)</f>
        <v>218</v>
      </c>
      <c r="W21" s="62"/>
      <c r="X21" s="54">
        <f>IF((V21+T21)=0,"",T21/(V21+T21))</f>
        <v>0.18352059925093633</v>
      </c>
      <c r="Y21" s="54"/>
      <c r="Z21" s="29">
        <f>DSUM(VARDATA2,Z$2-1,$A20:$B21)</f>
        <v>49</v>
      </c>
      <c r="AA21" s="62"/>
      <c r="AB21" s="62">
        <f>DSUM(VARDATA2,Z$2-1,$C20:$D21)</f>
        <v>218</v>
      </c>
      <c r="AC21" s="62"/>
      <c r="AD21" s="54">
        <f>IF((AB21+Z21)=0,"",Z21/(AB21+Z21))</f>
        <v>0.18352059925093633</v>
      </c>
      <c r="AE21" s="54"/>
      <c r="AF21" s="54"/>
      <c r="AG21" s="54"/>
      <c r="AH21" s="54"/>
      <c r="AI21" s="16"/>
    </row>
    <row r="22" spans="1:35" hidden="1" x14ac:dyDescent="0.2">
      <c r="A22" s="16" t="s">
        <v>79</v>
      </c>
      <c r="B22" s="16" t="s">
        <v>18</v>
      </c>
      <c r="C22" s="16" t="s">
        <v>79</v>
      </c>
      <c r="D22" s="16" t="s">
        <v>18</v>
      </c>
      <c r="H22" s="3"/>
      <c r="I22" s="61"/>
      <c r="J22" s="62"/>
      <c r="K22" s="62"/>
      <c r="L22" s="3"/>
      <c r="M22" s="3"/>
      <c r="N22" s="3"/>
      <c r="O22" s="61"/>
      <c r="P22" s="62"/>
      <c r="Q22" s="62"/>
      <c r="R22" s="3"/>
      <c r="S22" s="3"/>
      <c r="T22" s="3"/>
      <c r="U22" s="61"/>
      <c r="V22" s="62"/>
      <c r="W22" s="62"/>
      <c r="X22" s="3"/>
      <c r="Y22" s="3"/>
      <c r="Z22" s="3"/>
      <c r="AA22" s="61"/>
      <c r="AB22" s="62"/>
      <c r="AC22" s="62"/>
      <c r="AD22" s="3"/>
      <c r="AE22" s="3"/>
      <c r="AF22" s="3"/>
      <c r="AG22" s="3"/>
      <c r="AH22" s="3"/>
      <c r="AI22" s="16"/>
    </row>
    <row r="23" spans="1:35" x14ac:dyDescent="0.2">
      <c r="A23" s="67" t="s">
        <v>87</v>
      </c>
      <c r="B23" s="67" t="s">
        <v>0</v>
      </c>
      <c r="C23" s="67" t="str">
        <f>A23</f>
        <v>UK GAS</v>
      </c>
      <c r="D23" s="67" t="s">
        <v>1</v>
      </c>
      <c r="E23" s="25"/>
      <c r="F23" s="25" t="s">
        <v>87</v>
      </c>
      <c r="G23" s="25"/>
      <c r="H23" s="29">
        <f>DSUM(VARDATA2,H$2-1,$A22:$B23)</f>
        <v>50</v>
      </c>
      <c r="I23" s="62"/>
      <c r="J23" s="62">
        <f>DSUM(VARDATA2,H$2-1,$C22:$D23)</f>
        <v>46</v>
      </c>
      <c r="K23" s="62"/>
      <c r="L23" s="54">
        <f>IF((J23+H23)=0,"",H23/(J23+H23))</f>
        <v>0.52083333333333337</v>
      </c>
      <c r="M23" s="54"/>
      <c r="N23" s="29">
        <f>DSUM(VARDATA2,N$2-1,$A22:$B23)</f>
        <v>811</v>
      </c>
      <c r="O23" s="62"/>
      <c r="P23" s="62">
        <f>DSUM(VARDATA2,N$2-1,$C22:$D23)</f>
        <v>766</v>
      </c>
      <c r="Q23" s="62"/>
      <c r="R23" s="54">
        <f>IF((P23+N23)=0,"",N23/(P23+N23))</f>
        <v>0.51426759670259992</v>
      </c>
      <c r="S23" s="54"/>
      <c r="T23" s="29">
        <f>DSUM(VARDATA2,T$2-1,$A22:$B23)</f>
        <v>811</v>
      </c>
      <c r="U23" s="62"/>
      <c r="V23" s="62">
        <f>DSUM(VARDATA2,T$2-1,$C22:$D23)</f>
        <v>766</v>
      </c>
      <c r="W23" s="62"/>
      <c r="X23" s="54">
        <f>IF((V23+T23)=0,"",T23/(V23+T23))</f>
        <v>0.51426759670259992</v>
      </c>
      <c r="Y23" s="54"/>
      <c r="Z23" s="29">
        <f>DSUM(VARDATA2,Z$2-1,$A22:$B23)</f>
        <v>811</v>
      </c>
      <c r="AA23" s="62"/>
      <c r="AB23" s="62">
        <f>DSUM(VARDATA2,Z$2-1,$C22:$D23)</f>
        <v>766</v>
      </c>
      <c r="AC23" s="62"/>
      <c r="AD23" s="54">
        <f>IF((AB23+Z23)=0,"",Z23/(AB23+Z23))</f>
        <v>0.51426759670259992</v>
      </c>
      <c r="AE23" s="54"/>
      <c r="AF23" s="54"/>
      <c r="AG23" s="54"/>
      <c r="AH23" s="54"/>
      <c r="AI23" s="16"/>
    </row>
    <row r="24" spans="1:35" hidden="1" x14ac:dyDescent="0.2">
      <c r="A24" s="16" t="s">
        <v>79</v>
      </c>
      <c r="B24" s="16" t="s">
        <v>18</v>
      </c>
      <c r="C24" s="16" t="s">
        <v>79</v>
      </c>
      <c r="D24" s="16" t="s">
        <v>18</v>
      </c>
      <c r="H24" s="3"/>
      <c r="I24" s="61"/>
      <c r="J24" s="62"/>
      <c r="K24" s="62"/>
      <c r="L24" s="3"/>
      <c r="M24" s="3"/>
      <c r="N24" s="3"/>
      <c r="O24" s="61"/>
      <c r="P24" s="62"/>
      <c r="Q24" s="62"/>
      <c r="R24" s="3"/>
      <c r="S24" s="3"/>
      <c r="T24" s="3"/>
      <c r="U24" s="61"/>
      <c r="V24" s="62"/>
      <c r="W24" s="62"/>
      <c r="X24" s="3"/>
      <c r="Y24" s="3"/>
      <c r="Z24" s="3"/>
      <c r="AA24" s="61"/>
      <c r="AB24" s="62"/>
      <c r="AC24" s="62"/>
      <c r="AD24" s="3"/>
      <c r="AE24" s="3"/>
      <c r="AF24" s="3"/>
      <c r="AG24" s="3"/>
      <c r="AH24" s="3"/>
      <c r="AI24" s="16"/>
    </row>
    <row r="25" spans="1:35" x14ac:dyDescent="0.2">
      <c r="A25" s="67" t="s">
        <v>86</v>
      </c>
      <c r="B25" s="67" t="s">
        <v>0</v>
      </c>
      <c r="C25" s="67" t="str">
        <f>A25</f>
        <v>POWER</v>
      </c>
      <c r="D25" s="67" t="s">
        <v>1</v>
      </c>
      <c r="E25" s="25"/>
      <c r="F25" s="25" t="s">
        <v>89</v>
      </c>
      <c r="G25" s="25"/>
      <c r="H25" s="29">
        <f>DSUM(VARDATA2,H$2-1,$A24:$B25)</f>
        <v>72</v>
      </c>
      <c r="I25" s="62"/>
      <c r="J25" s="62">
        <f>DSUM(VARDATA2,H$2-1,$C24:$D25)</f>
        <v>575</v>
      </c>
      <c r="K25" s="62"/>
      <c r="L25" s="54">
        <f>IF((J25+H25)=0,"",H25/(J25+H25))</f>
        <v>0.11128284389489954</v>
      </c>
      <c r="M25" s="54"/>
      <c r="N25" s="29">
        <f>DSUM(VARDATA2,N$2-1,$A24:$B25)</f>
        <v>952</v>
      </c>
      <c r="O25" s="62"/>
      <c r="P25" s="62">
        <f>DSUM(VARDATA2,N$2-1,$C24:$D25)</f>
        <v>7138</v>
      </c>
      <c r="Q25" s="62"/>
      <c r="R25" s="54">
        <f>IF((P25+N25)=0,"",N25/(P25+N25))</f>
        <v>0.1176761433868974</v>
      </c>
      <c r="S25" s="54"/>
      <c r="T25" s="29">
        <f>DSUM(VARDATA2,T$2-1,$A24:$B25)</f>
        <v>952</v>
      </c>
      <c r="U25" s="62"/>
      <c r="V25" s="62">
        <f>DSUM(VARDATA2,T$2-1,$C24:$D25)</f>
        <v>7138</v>
      </c>
      <c r="W25" s="62"/>
      <c r="X25" s="54">
        <f>IF((V25+T25)=0,"",T25/(V25+T25))</f>
        <v>0.1176761433868974</v>
      </c>
      <c r="Y25" s="54"/>
      <c r="Z25" s="29">
        <f>DSUM(VARDATA2,Z$2-1,$A24:$B25)</f>
        <v>1094</v>
      </c>
      <c r="AA25" s="62"/>
      <c r="AB25" s="62">
        <f>DSUM(VARDATA2,Z$2-1,$C24:$D25)</f>
        <v>10590</v>
      </c>
      <c r="AC25" s="62"/>
      <c r="AD25" s="54">
        <f>IF((AB25+Z25)=0,"",Z25/(AB25+Z25))</f>
        <v>9.3632317699418002E-2</v>
      </c>
      <c r="AE25" s="54"/>
      <c r="AF25" s="54"/>
      <c r="AG25" s="54"/>
      <c r="AH25" s="54"/>
      <c r="AI25" s="16"/>
    </row>
    <row r="26" spans="1:35" hidden="1" x14ac:dyDescent="0.2">
      <c r="A26" s="16" t="s">
        <v>79</v>
      </c>
      <c r="B26" s="16" t="s">
        <v>18</v>
      </c>
      <c r="C26" s="16" t="s">
        <v>79</v>
      </c>
      <c r="D26" s="16" t="s">
        <v>18</v>
      </c>
      <c r="H26" s="3"/>
      <c r="I26" s="61"/>
      <c r="J26" s="62"/>
      <c r="K26" s="62"/>
      <c r="L26" s="3"/>
      <c r="M26" s="3"/>
      <c r="N26" s="3"/>
      <c r="O26" s="61"/>
      <c r="P26" s="62"/>
      <c r="Q26" s="62"/>
      <c r="R26" s="3"/>
      <c r="S26" s="3"/>
      <c r="T26" s="3"/>
      <c r="U26" s="61"/>
      <c r="V26" s="62"/>
      <c r="W26" s="62"/>
      <c r="X26" s="3"/>
      <c r="Y26" s="3"/>
      <c r="Z26" s="3"/>
      <c r="AA26" s="61"/>
      <c r="AB26" s="62"/>
      <c r="AC26" s="62"/>
      <c r="AD26" s="3"/>
      <c r="AE26" s="3"/>
      <c r="AF26" s="3"/>
      <c r="AG26" s="3"/>
      <c r="AH26" s="3"/>
      <c r="AI26" s="16"/>
    </row>
    <row r="27" spans="1:35" x14ac:dyDescent="0.2">
      <c r="A27" s="67" t="s">
        <v>80</v>
      </c>
      <c r="B27" s="67" t="s">
        <v>0</v>
      </c>
      <c r="C27" s="67" t="str">
        <f>A27</f>
        <v>CONTINENTAL POWER</v>
      </c>
      <c r="D27" s="67" t="s">
        <v>1</v>
      </c>
      <c r="E27" s="25"/>
      <c r="F27" s="25" t="s">
        <v>80</v>
      </c>
      <c r="G27" s="25"/>
      <c r="H27" s="29">
        <f>DSUM(VARDATA2,H$2-1,$A26:$B27)</f>
        <v>3</v>
      </c>
      <c r="I27" s="62"/>
      <c r="J27" s="62">
        <f>DSUM(VARDATA2,H$2-1,$C26:$D27)</f>
        <v>62</v>
      </c>
      <c r="K27" s="62"/>
      <c r="L27" s="54">
        <f>IF((J27+H27)=0,"",H27/(J27+H27))</f>
        <v>4.6153846153846156E-2</v>
      </c>
      <c r="M27" s="54"/>
      <c r="N27" s="29">
        <f>DSUM(VARDATA2,N$2-1,$A26:$B27)</f>
        <v>30</v>
      </c>
      <c r="O27" s="62"/>
      <c r="P27" s="62">
        <f>DSUM(VARDATA2,N$2-1,$C26:$D27)</f>
        <v>1165</v>
      </c>
      <c r="Q27" s="62"/>
      <c r="R27" s="54">
        <f>IF((P27+N27)=0,"",N27/(P27+N27))</f>
        <v>2.5104602510460251E-2</v>
      </c>
      <c r="S27" s="54"/>
      <c r="T27" s="29">
        <f>DSUM(VARDATA2,T$2-1,$A26:$B27)</f>
        <v>30</v>
      </c>
      <c r="U27" s="62"/>
      <c r="V27" s="62">
        <f>DSUM(VARDATA2,T$2-1,$C26:$D27)</f>
        <v>1165</v>
      </c>
      <c r="W27" s="62"/>
      <c r="X27" s="54">
        <f>IF((V27+T27)=0,"",T27/(V27+T27))</f>
        <v>2.5104602510460251E-2</v>
      </c>
      <c r="Y27" s="54"/>
      <c r="Z27" s="29">
        <f>DSUM(VARDATA2,Z$2-1,$A26:$B27)</f>
        <v>30</v>
      </c>
      <c r="AA27" s="62"/>
      <c r="AB27" s="62">
        <f>DSUM(VARDATA2,Z$2-1,$C26:$D27)</f>
        <v>1165</v>
      </c>
      <c r="AC27" s="62"/>
      <c r="AD27" s="54">
        <f>IF((AB27+Z27)=0,"",Z27/(AB27+Z27))</f>
        <v>2.5104602510460251E-2</v>
      </c>
      <c r="AE27" s="54"/>
      <c r="AF27" s="54"/>
      <c r="AG27" s="54"/>
      <c r="AH27" s="54"/>
      <c r="AI27" s="16"/>
    </row>
    <row r="28" spans="1:35" hidden="1" x14ac:dyDescent="0.2">
      <c r="A28" s="16" t="s">
        <v>79</v>
      </c>
      <c r="B28" s="16" t="s">
        <v>18</v>
      </c>
      <c r="C28" s="16" t="s">
        <v>79</v>
      </c>
      <c r="D28" s="16" t="s">
        <v>18</v>
      </c>
      <c r="H28" s="3"/>
      <c r="I28" s="61"/>
      <c r="J28" s="62"/>
      <c r="K28" s="62"/>
      <c r="L28" s="3"/>
      <c r="M28" s="3"/>
      <c r="N28" s="3"/>
      <c r="O28" s="61"/>
      <c r="P28" s="62"/>
      <c r="Q28" s="62"/>
      <c r="R28" s="3"/>
      <c r="S28" s="3"/>
      <c r="T28" s="3"/>
      <c r="U28" s="61"/>
      <c r="V28" s="62"/>
      <c r="W28" s="62"/>
      <c r="X28" s="3"/>
      <c r="Y28" s="3"/>
      <c r="Z28" s="3"/>
      <c r="AA28" s="61"/>
      <c r="AB28" s="62"/>
      <c r="AC28" s="62"/>
      <c r="AD28" s="3"/>
      <c r="AE28" s="3"/>
      <c r="AF28" s="3"/>
      <c r="AG28" s="3"/>
      <c r="AH28" s="3"/>
      <c r="AI28" s="16"/>
    </row>
    <row r="29" spans="1:35" x14ac:dyDescent="0.2">
      <c r="A29" s="67" t="s">
        <v>104</v>
      </c>
      <c r="B29" s="67" t="s">
        <v>0</v>
      </c>
      <c r="C29" s="67" t="s">
        <v>104</v>
      </c>
      <c r="D29" s="67" t="s">
        <v>1</v>
      </c>
      <c r="F29" s="25" t="s">
        <v>104</v>
      </c>
      <c r="G29" s="25"/>
      <c r="H29" s="29">
        <f>DSUM(VARDATA2,H$2-1,$A28:$B29)</f>
        <v>0</v>
      </c>
      <c r="I29" s="62"/>
      <c r="J29" s="62">
        <f>DSUM(VARDATA2,H$2-1,$C28:$D29)</f>
        <v>31</v>
      </c>
      <c r="K29" s="62"/>
      <c r="L29" s="54">
        <f>IF((J29+H29)=0,"",H29/(J29+H29))</f>
        <v>0</v>
      </c>
      <c r="M29" s="54"/>
      <c r="N29" s="29">
        <f>DSUM(VARDATA2,N$2-1,$A28:$B29)</f>
        <v>23</v>
      </c>
      <c r="O29" s="62"/>
      <c r="P29" s="62">
        <f>DSUM(VARDATA2,N$2-1,$C28:$D29)</f>
        <v>808</v>
      </c>
      <c r="Q29" s="62"/>
      <c r="R29" s="54">
        <f>IF((P29+N29)=0,"",N29/(P29+N29))</f>
        <v>2.7677496991576414E-2</v>
      </c>
      <c r="S29" s="54"/>
      <c r="T29" s="29">
        <f>DSUM(VARDATA2,T$2-1,$A28:$B29)</f>
        <v>23</v>
      </c>
      <c r="U29" s="62"/>
      <c r="V29" s="62">
        <f>DSUM(VARDATA2,T$2-1,$C28:$D29)</f>
        <v>808</v>
      </c>
      <c r="W29" s="62"/>
      <c r="X29" s="54">
        <f>IF((V29+T29)=0,"",T29/(V29+T29))</f>
        <v>2.7677496991576414E-2</v>
      </c>
      <c r="Y29" s="54"/>
      <c r="Z29" s="29">
        <f>DSUM(VARDATA2,Z$2-1,$A28:$B29)</f>
        <v>27</v>
      </c>
      <c r="AA29" s="62"/>
      <c r="AB29" s="62">
        <f>DSUM(VARDATA2,Z$2-1,$C28:$D29)</f>
        <v>1193</v>
      </c>
      <c r="AC29" s="62"/>
      <c r="AD29" s="54">
        <f>IF((AB29+Z29)=0,"",Z29/(AB29+Z29))</f>
        <v>2.2131147540983605E-2</v>
      </c>
      <c r="AE29" s="54"/>
      <c r="AF29" s="54"/>
      <c r="AG29" s="54"/>
      <c r="AH29" s="54"/>
      <c r="AI29" s="16"/>
    </row>
    <row r="30" spans="1:35" hidden="1" x14ac:dyDescent="0.2">
      <c r="A30" s="16" t="s">
        <v>79</v>
      </c>
      <c r="B30" s="16" t="s">
        <v>18</v>
      </c>
      <c r="C30" s="16" t="s">
        <v>79</v>
      </c>
      <c r="D30" s="16" t="s">
        <v>18</v>
      </c>
      <c r="H30" s="3"/>
      <c r="I30" s="61"/>
      <c r="J30" s="62"/>
      <c r="K30" s="62"/>
      <c r="L30" s="3"/>
      <c r="M30" s="3"/>
      <c r="N30" s="3"/>
      <c r="O30" s="61"/>
      <c r="P30" s="62"/>
      <c r="Q30" s="62"/>
      <c r="R30" s="3"/>
      <c r="S30" s="3"/>
      <c r="T30" s="3"/>
      <c r="U30" s="61"/>
      <c r="V30" s="62"/>
      <c r="W30" s="62"/>
      <c r="X30" s="3"/>
      <c r="Y30" s="3"/>
      <c r="Z30" s="3"/>
      <c r="AA30" s="61"/>
      <c r="AB30" s="62"/>
      <c r="AC30" s="62"/>
      <c r="AD30" s="3"/>
      <c r="AE30" s="3"/>
      <c r="AF30" s="3"/>
      <c r="AG30" s="3"/>
      <c r="AH30" s="3"/>
      <c r="AI30" s="16"/>
    </row>
    <row r="31" spans="1:35" x14ac:dyDescent="0.2">
      <c r="A31" s="67" t="s">
        <v>88</v>
      </c>
      <c r="B31" s="67" t="s">
        <v>0</v>
      </c>
      <c r="C31" s="67" t="str">
        <f>A31</f>
        <v>UK POWER</v>
      </c>
      <c r="D31" s="67" t="s">
        <v>1</v>
      </c>
      <c r="E31" s="25"/>
      <c r="F31" s="25" t="s">
        <v>88</v>
      </c>
      <c r="G31" s="25"/>
      <c r="H31" s="29">
        <f>DSUM(VARDATA2,H$2-1,$A30:$B31)</f>
        <v>3</v>
      </c>
      <c r="I31" s="62"/>
      <c r="J31" s="62">
        <f>DSUM(VARDATA2,H$2-1,$C30:$D31)</f>
        <v>11</v>
      </c>
      <c r="K31" s="62"/>
      <c r="L31" s="54">
        <f>IF((J31+H31)=0,"",H31/(J31+H31))</f>
        <v>0.21428571428571427</v>
      </c>
      <c r="M31" s="54"/>
      <c r="N31" s="29">
        <f>DSUM(VARDATA2,N$2-1,$A30:$B31)</f>
        <v>59</v>
      </c>
      <c r="O31" s="62"/>
      <c r="P31" s="62">
        <f>DSUM(VARDATA2,N$2-1,$C30:$D31)</f>
        <v>281</v>
      </c>
      <c r="Q31" s="62"/>
      <c r="R31" s="54">
        <f>IF((P31+N31)=0,"",N31/(P31+N31))</f>
        <v>0.17352941176470588</v>
      </c>
      <c r="S31" s="54"/>
      <c r="T31" s="29">
        <f>DSUM(VARDATA2,T$2-1,$A30:$B31)</f>
        <v>59</v>
      </c>
      <c r="U31" s="62"/>
      <c r="V31" s="62">
        <f>DSUM(VARDATA2,T$2-1,$C30:$D31)</f>
        <v>281</v>
      </c>
      <c r="W31" s="62"/>
      <c r="X31" s="54">
        <f>IF((V31+T31)=0,"",T31/(V31+T31))</f>
        <v>0.17352941176470588</v>
      </c>
      <c r="Y31" s="54"/>
      <c r="Z31" s="29">
        <f>DSUM(VARDATA2,Z$2-1,$A30:$B31)</f>
        <v>59</v>
      </c>
      <c r="AA31" s="62"/>
      <c r="AB31" s="62">
        <f>DSUM(VARDATA2,Z$2-1,$C30:$D31)</f>
        <v>281</v>
      </c>
      <c r="AC31" s="62"/>
      <c r="AD31" s="54">
        <f>IF((AB31+Z31)=0,"",Z31/(AB31+Z31))</f>
        <v>0.17352941176470588</v>
      </c>
      <c r="AE31" s="54"/>
      <c r="AF31" s="54"/>
      <c r="AG31" s="54"/>
      <c r="AH31" s="54"/>
      <c r="AI31" s="16"/>
    </row>
    <row r="32" spans="1:35" hidden="1" x14ac:dyDescent="0.2">
      <c r="A32" s="16" t="s">
        <v>79</v>
      </c>
      <c r="B32" s="16" t="s">
        <v>18</v>
      </c>
      <c r="C32" s="16" t="s">
        <v>79</v>
      </c>
      <c r="D32" s="16" t="s">
        <v>18</v>
      </c>
      <c r="H32" s="3"/>
      <c r="I32" s="61"/>
      <c r="J32" s="62"/>
      <c r="K32" s="62"/>
      <c r="L32" s="3"/>
      <c r="M32" s="3"/>
      <c r="N32" s="3"/>
      <c r="O32" s="61"/>
      <c r="P32" s="62"/>
      <c r="Q32" s="62"/>
      <c r="R32" s="3"/>
      <c r="S32" s="3"/>
      <c r="T32" s="3"/>
      <c r="U32" s="61"/>
      <c r="V32" s="62"/>
      <c r="W32" s="62"/>
      <c r="X32" s="3"/>
      <c r="Y32" s="3"/>
      <c r="Z32" s="3"/>
      <c r="AA32" s="61"/>
      <c r="AB32" s="62"/>
      <c r="AC32" s="62"/>
      <c r="AD32" s="3"/>
      <c r="AE32" s="3"/>
      <c r="AF32" s="3"/>
      <c r="AG32" s="3"/>
      <c r="AH32" s="3"/>
      <c r="AI32" s="16"/>
    </row>
    <row r="33" spans="1:35" x14ac:dyDescent="0.2">
      <c r="A33" s="67" t="s">
        <v>102</v>
      </c>
      <c r="B33" s="67" t="s">
        <v>0</v>
      </c>
      <c r="C33" s="67" t="s">
        <v>102</v>
      </c>
      <c r="D33" s="67" t="s">
        <v>1</v>
      </c>
      <c r="E33" s="25"/>
      <c r="F33" s="25" t="s">
        <v>102</v>
      </c>
      <c r="G33" s="25"/>
      <c r="H33" s="29">
        <f>DSUM(VARDATA2,H$2-1,$A32:$B33)</f>
        <v>4</v>
      </c>
      <c r="I33" s="62"/>
      <c r="J33" s="62">
        <f>DSUM(VARDATA2,H$2-1,$C32:$D33)</f>
        <v>82</v>
      </c>
      <c r="K33" s="62"/>
      <c r="L33" s="54">
        <f>IF((J33+H33)=0,"",H33/(J33+H33))</f>
        <v>4.6511627906976744E-2</v>
      </c>
      <c r="M33" s="54"/>
      <c r="N33" s="29">
        <f>DSUM(VARDATA2,N$2-1,$A32:$B33)</f>
        <v>111</v>
      </c>
      <c r="O33" s="62"/>
      <c r="P33" s="62">
        <f>DSUM(VARDATA2,N$2-1,$C32:$D33)</f>
        <v>1034</v>
      </c>
      <c r="Q33" s="62"/>
      <c r="R33" s="54">
        <f>IF((P33+N33)=0,"",N33/(P33+N33))</f>
        <v>9.6943231441048036E-2</v>
      </c>
      <c r="S33" s="54"/>
      <c r="T33" s="29">
        <f>DSUM(VARDATA2,T$2-1,$A32:$B33)</f>
        <v>111</v>
      </c>
      <c r="U33" s="62"/>
      <c r="V33" s="62">
        <f>DSUM(VARDATA2,T$2-1,$C32:$D33)</f>
        <v>1034</v>
      </c>
      <c r="W33" s="62"/>
      <c r="X33" s="54">
        <f>IF((V33+T33)=0,"",T33/(V33+T33))</f>
        <v>9.6943231441048036E-2</v>
      </c>
      <c r="Y33" s="54"/>
      <c r="Z33" s="29">
        <f>DSUM(VARDATA2,Z$2-1,$A32:$B33)</f>
        <v>111</v>
      </c>
      <c r="AA33" s="62"/>
      <c r="AB33" s="62">
        <f>DSUM(VARDATA2,Z$2-1,$C32:$D33)</f>
        <v>1034</v>
      </c>
      <c r="AC33" s="62"/>
      <c r="AD33" s="54">
        <f>IF((AB33+Z33)=0,"",Z33/(AB33+Z33))</f>
        <v>9.6943231441048036E-2</v>
      </c>
      <c r="AE33" s="54"/>
      <c r="AF33" s="54"/>
      <c r="AG33" s="54"/>
      <c r="AH33" s="54"/>
      <c r="AI33" s="16"/>
    </row>
    <row r="34" spans="1:35" hidden="1" x14ac:dyDescent="0.2">
      <c r="A34" s="16" t="s">
        <v>79</v>
      </c>
      <c r="B34" s="16" t="s">
        <v>18</v>
      </c>
      <c r="C34" s="16" t="s">
        <v>79</v>
      </c>
      <c r="D34" s="16" t="s">
        <v>18</v>
      </c>
      <c r="H34" s="3"/>
      <c r="I34" s="61"/>
      <c r="J34" s="62"/>
      <c r="K34" s="62"/>
      <c r="L34" s="3"/>
      <c r="M34" s="3"/>
      <c r="N34" s="3"/>
      <c r="O34" s="61"/>
      <c r="P34" s="62"/>
      <c r="Q34" s="62"/>
      <c r="R34" s="3"/>
      <c r="S34" s="3"/>
      <c r="T34" s="3"/>
      <c r="U34" s="61"/>
      <c r="V34" s="62"/>
      <c r="W34" s="62"/>
      <c r="X34" s="3"/>
      <c r="Y34" s="3"/>
      <c r="Z34" s="3"/>
      <c r="AA34" s="61"/>
      <c r="AB34" s="62"/>
      <c r="AC34" s="62"/>
      <c r="AD34" s="3"/>
      <c r="AE34" s="3"/>
      <c r="AF34" s="3"/>
      <c r="AG34" s="3"/>
      <c r="AH34" s="3"/>
      <c r="AI34" s="16"/>
    </row>
    <row r="35" spans="1:35" x14ac:dyDescent="0.2">
      <c r="A35" s="67" t="s">
        <v>101</v>
      </c>
      <c r="B35" s="67" t="s">
        <v>0</v>
      </c>
      <c r="C35" s="67" t="s">
        <v>101</v>
      </c>
      <c r="D35" s="67" t="s">
        <v>1</v>
      </c>
      <c r="E35" s="25"/>
      <c r="F35" s="25" t="s">
        <v>101</v>
      </c>
      <c r="G35" s="25"/>
      <c r="H35" s="29">
        <f>DSUM(VARDATA2,H$2-1,$A34:$B35)</f>
        <v>5</v>
      </c>
      <c r="I35" s="62"/>
      <c r="J35" s="62">
        <f>DSUM(VARDATA2,H$2-1,$C34:$D35)</f>
        <v>11</v>
      </c>
      <c r="K35" s="62"/>
      <c r="L35" s="54">
        <f>IF((J35+H35)=0,"",H35/(J35+H35))</f>
        <v>0.3125</v>
      </c>
      <c r="M35" s="54"/>
      <c r="N35" s="29">
        <f>DSUM(VARDATA2,N$2-1,$A34:$B35)</f>
        <v>16</v>
      </c>
      <c r="O35" s="62"/>
      <c r="P35" s="62">
        <f>DSUM(VARDATA2,N$2-1,$C34:$D35)</f>
        <v>236</v>
      </c>
      <c r="Q35" s="62"/>
      <c r="R35" s="54">
        <f>IF((P35+N35)=0,"",N35/(P35+N35))</f>
        <v>6.3492063492063489E-2</v>
      </c>
      <c r="S35" s="54"/>
      <c r="T35" s="29">
        <f>DSUM(VARDATA2,T$2-1,$A34:$B35)</f>
        <v>16</v>
      </c>
      <c r="U35" s="62"/>
      <c r="V35" s="62">
        <f>DSUM(VARDATA2,T$2-1,$C34:$D35)</f>
        <v>236</v>
      </c>
      <c r="W35" s="62"/>
      <c r="X35" s="54">
        <f>IF((V35+T35)=0,"",T35/(V35+T35))</f>
        <v>6.3492063492063489E-2</v>
      </c>
      <c r="Y35" s="54"/>
      <c r="Z35" s="29">
        <f>DSUM(VARDATA2,Z$2-1,$A34:$B35)</f>
        <v>16</v>
      </c>
      <c r="AA35" s="62"/>
      <c r="AB35" s="62">
        <f>DSUM(VARDATA2,Z$2-1,$C34:$D35)</f>
        <v>236</v>
      </c>
      <c r="AC35" s="62"/>
      <c r="AD35" s="54">
        <f>IF((AB35+Z35)=0,"",Z35/(AB35+Z35))</f>
        <v>6.3492063492063489E-2</v>
      </c>
      <c r="AE35" s="54"/>
      <c r="AF35" s="54"/>
      <c r="AG35" s="54"/>
      <c r="AH35" s="54"/>
      <c r="AI35" s="16"/>
    </row>
    <row r="36" spans="1:35" hidden="1" x14ac:dyDescent="0.2">
      <c r="A36" s="16" t="s">
        <v>79</v>
      </c>
      <c r="B36" s="16" t="s">
        <v>18</v>
      </c>
      <c r="C36" s="16" t="s">
        <v>79</v>
      </c>
      <c r="D36" s="16" t="s">
        <v>18</v>
      </c>
      <c r="H36" s="3"/>
      <c r="I36" s="61"/>
      <c r="J36" s="62"/>
      <c r="K36" s="62"/>
      <c r="L36" s="3"/>
      <c r="M36" s="3"/>
      <c r="N36" s="3"/>
      <c r="O36" s="61"/>
      <c r="P36" s="62"/>
      <c r="Q36" s="62"/>
      <c r="R36" s="3"/>
      <c r="S36" s="3"/>
      <c r="T36" s="3"/>
      <c r="U36" s="61"/>
      <c r="V36" s="62"/>
      <c r="W36" s="62"/>
      <c r="X36" s="3"/>
      <c r="Y36" s="3"/>
      <c r="Z36" s="3"/>
      <c r="AA36" s="61"/>
      <c r="AB36" s="62"/>
      <c r="AC36" s="62"/>
      <c r="AD36" s="3"/>
      <c r="AE36" s="3"/>
      <c r="AF36" s="3"/>
      <c r="AG36" s="3"/>
      <c r="AH36" s="3"/>
      <c r="AI36" s="16"/>
    </row>
    <row r="37" spans="1:35" x14ac:dyDescent="0.2">
      <c r="A37" s="67" t="s">
        <v>85</v>
      </c>
      <c r="B37" s="67" t="s">
        <v>0</v>
      </c>
      <c r="C37" s="67" t="str">
        <f>A37</f>
        <v>PLASTICS</v>
      </c>
      <c r="D37" s="67" t="s">
        <v>1</v>
      </c>
      <c r="E37" s="25"/>
      <c r="F37" s="25" t="s">
        <v>85</v>
      </c>
      <c r="G37" s="25"/>
      <c r="H37" s="29">
        <f>DSUM(VARDATA2,H$2-1,$A36:$B37)</f>
        <v>0</v>
      </c>
      <c r="I37" s="62"/>
      <c r="J37" s="62">
        <f>DSUM(VARDATA2,H$2-1,$C36:$D37)</f>
        <v>0</v>
      </c>
      <c r="K37" s="62"/>
      <c r="L37" s="54" t="str">
        <f>IF((J37+H37)=0,"",H37/(J37+H37))</f>
        <v/>
      </c>
      <c r="M37" s="54"/>
      <c r="N37" s="29">
        <f>DSUM(VARDATA2,N$2-1,$A36:$B37)</f>
        <v>0</v>
      </c>
      <c r="O37" s="62"/>
      <c r="P37" s="62">
        <f>DSUM(VARDATA2,N$2-1,$C36:$D37)</f>
        <v>0</v>
      </c>
      <c r="Q37" s="62"/>
      <c r="R37" s="54" t="str">
        <f>IF((P37+N37)=0,"",N37/(P37+N37))</f>
        <v/>
      </c>
      <c r="S37" s="54"/>
      <c r="T37" s="29">
        <f>DSUM(VARDATA2,T$2-1,$A36:$B37)</f>
        <v>0</v>
      </c>
      <c r="U37" s="62"/>
      <c r="V37" s="62">
        <f>DSUM(VARDATA2,T$2-1,$C36:$D37)</f>
        <v>0</v>
      </c>
      <c r="W37" s="62"/>
      <c r="X37" s="54" t="str">
        <f>IF((V37+T37)=0,"",T37/(V37+T37))</f>
        <v/>
      </c>
      <c r="Y37" s="54"/>
      <c r="Z37" s="29">
        <f>DSUM(VARDATA2,Z$2-1,$A36:$B37)</f>
        <v>0</v>
      </c>
      <c r="AA37" s="62"/>
      <c r="AB37" s="62">
        <f>DSUM(VARDATA2,Z$2-1,$C36:$D37)</f>
        <v>52</v>
      </c>
      <c r="AC37" s="62"/>
      <c r="AD37" s="54">
        <f>IF((AB37+Z37)=0,"",Z37/(AB37+Z37))</f>
        <v>0</v>
      </c>
      <c r="AE37" s="54"/>
      <c r="AF37" s="54"/>
      <c r="AG37" s="54"/>
      <c r="AH37" s="54"/>
      <c r="AI37" s="16"/>
    </row>
    <row r="38" spans="1:35" hidden="1" x14ac:dyDescent="0.2">
      <c r="A38" s="16" t="s">
        <v>79</v>
      </c>
      <c r="B38" s="16" t="s">
        <v>18</v>
      </c>
      <c r="C38" s="16" t="s">
        <v>79</v>
      </c>
      <c r="D38" s="16" t="s">
        <v>18</v>
      </c>
      <c r="H38" s="3"/>
      <c r="I38" s="61"/>
      <c r="J38" s="62"/>
      <c r="K38" s="62"/>
      <c r="L38" s="3"/>
      <c r="M38" s="3"/>
      <c r="N38" s="3"/>
      <c r="O38" s="61"/>
      <c r="P38" s="62"/>
      <c r="Q38" s="62"/>
      <c r="R38" s="3"/>
      <c r="S38" s="3"/>
      <c r="T38" s="3"/>
      <c r="U38" s="61"/>
      <c r="V38" s="62"/>
      <c r="W38" s="62"/>
      <c r="X38" s="3"/>
      <c r="Y38" s="3"/>
      <c r="Z38" s="3"/>
      <c r="AA38" s="61"/>
      <c r="AB38" s="62"/>
      <c r="AC38" s="62"/>
      <c r="AD38" s="3"/>
      <c r="AE38" s="3"/>
      <c r="AF38" s="3"/>
      <c r="AG38" s="3"/>
      <c r="AH38" s="3"/>
      <c r="AI38" s="16"/>
    </row>
    <row r="39" spans="1:35" x14ac:dyDescent="0.2">
      <c r="A39" s="67" t="s">
        <v>100</v>
      </c>
      <c r="B39" s="67" t="s">
        <v>0</v>
      </c>
      <c r="C39" s="67" t="s">
        <v>100</v>
      </c>
      <c r="D39" s="67" t="s">
        <v>1</v>
      </c>
      <c r="E39" s="25"/>
      <c r="F39" s="25" t="s">
        <v>100</v>
      </c>
      <c r="G39" s="25"/>
      <c r="H39" s="29">
        <f>DSUM(VARDATA2,H$2-1,$A38:$B39)</f>
        <v>0</v>
      </c>
      <c r="I39" s="62"/>
      <c r="J39" s="62">
        <f>DSUM(VARDATA2,H$2-1,$C38:$D39)</f>
        <v>12</v>
      </c>
      <c r="K39" s="62"/>
      <c r="L39" s="54">
        <f>IF((J39+H39)=0,"",H39/(J39+H39))</f>
        <v>0</v>
      </c>
      <c r="M39" s="54"/>
      <c r="N39" s="29">
        <f>DSUM(VARDATA2,N$2-1,$A38:$B39)</f>
        <v>8</v>
      </c>
      <c r="O39" s="62"/>
      <c r="P39" s="62">
        <f>DSUM(VARDATA2,N$2-1,$C38:$D39)</f>
        <v>73</v>
      </c>
      <c r="Q39" s="62"/>
      <c r="R39" s="54">
        <f>IF((P39+N39)=0,"",N39/(P39+N39))</f>
        <v>9.8765432098765427E-2</v>
      </c>
      <c r="S39" s="54"/>
      <c r="T39" s="29">
        <f>DSUM(VARDATA2,T$2-1,$A38:$B39)</f>
        <v>8</v>
      </c>
      <c r="U39" s="62"/>
      <c r="V39" s="62">
        <f>DSUM(VARDATA2,T$2-1,$C38:$D39)</f>
        <v>73</v>
      </c>
      <c r="W39" s="62"/>
      <c r="X39" s="54">
        <f>IF((V39+T39)=0,"",T39/(V39+T39))</f>
        <v>9.8765432098765427E-2</v>
      </c>
      <c r="Y39" s="54"/>
      <c r="Z39" s="29">
        <f>DSUM(VARDATA2,Z$2-1,$A38:$B39)</f>
        <v>8</v>
      </c>
      <c r="AA39" s="62"/>
      <c r="AB39" s="62">
        <f>DSUM(VARDATA2,Z$2-1,$C38:$D39)</f>
        <v>73</v>
      </c>
      <c r="AC39" s="62"/>
      <c r="AD39" s="54">
        <f>IF((AB39+Z39)=0,"",Z39/(AB39+Z39))</f>
        <v>9.8765432098765427E-2</v>
      </c>
      <c r="AE39" s="54"/>
      <c r="AF39" s="54"/>
      <c r="AG39" s="54"/>
      <c r="AH39" s="54"/>
      <c r="AI39" s="16"/>
    </row>
    <row r="40" spans="1:35" hidden="1" x14ac:dyDescent="0.2">
      <c r="A40" s="16" t="s">
        <v>79</v>
      </c>
      <c r="B40" s="16" t="s">
        <v>18</v>
      </c>
      <c r="C40" s="16" t="s">
        <v>79</v>
      </c>
      <c r="D40" s="16" t="s">
        <v>18</v>
      </c>
      <c r="H40" s="3"/>
      <c r="I40" s="61"/>
      <c r="J40" s="62"/>
      <c r="K40" s="62"/>
      <c r="L40" s="3"/>
      <c r="M40" s="3"/>
      <c r="N40" s="3"/>
      <c r="O40" s="61"/>
      <c r="P40" s="62"/>
      <c r="Q40" s="62"/>
      <c r="R40" s="3"/>
      <c r="S40" s="3"/>
      <c r="T40" s="3"/>
      <c r="U40" s="61"/>
      <c r="V40" s="62"/>
      <c r="W40" s="62"/>
      <c r="X40" s="3"/>
      <c r="Y40" s="3"/>
      <c r="Z40" s="3"/>
      <c r="AA40" s="61"/>
      <c r="AB40" s="62"/>
      <c r="AC40" s="62"/>
      <c r="AD40" s="3"/>
      <c r="AE40" s="3"/>
      <c r="AF40" s="3"/>
      <c r="AG40" s="3"/>
      <c r="AH40" s="3"/>
      <c r="AI40" s="16"/>
    </row>
    <row r="41" spans="1:35" x14ac:dyDescent="0.2">
      <c r="A41" s="67" t="s">
        <v>83</v>
      </c>
      <c r="B41" s="67" t="s">
        <v>0</v>
      </c>
      <c r="C41" s="67" t="s">
        <v>83</v>
      </c>
      <c r="D41" s="67" t="s">
        <v>1</v>
      </c>
      <c r="E41" s="25"/>
      <c r="F41" s="25" t="s">
        <v>83</v>
      </c>
      <c r="G41" s="25"/>
      <c r="H41" s="29">
        <f>DSUM(VARDATA2,H$2-1,$A40:$B41)</f>
        <v>0</v>
      </c>
      <c r="I41" s="62"/>
      <c r="J41" s="62">
        <f>DSUM(VARDATA2,H$2-1,$C40:$D41)</f>
        <v>1</v>
      </c>
      <c r="K41" s="62"/>
      <c r="L41" s="54">
        <f>IF((J41+H41)=0,"",H41/(J41+H41))</f>
        <v>0</v>
      </c>
      <c r="M41" s="54"/>
      <c r="N41" s="29">
        <f>DSUM(VARDATA2,N$2-1,$A40:$B41)</f>
        <v>30</v>
      </c>
      <c r="O41" s="62"/>
      <c r="P41" s="62">
        <f>DSUM(VARDATA2,N$2-1,$C40:$D41)</f>
        <v>52</v>
      </c>
      <c r="Q41" s="62"/>
      <c r="R41" s="54">
        <f>IF((P41+N41)=0,"",N41/(P41+N41))</f>
        <v>0.36585365853658536</v>
      </c>
      <c r="S41" s="54"/>
      <c r="T41" s="29">
        <f>DSUM(VARDATA2,T$2-1,$A40:$B41)</f>
        <v>30</v>
      </c>
      <c r="U41" s="62"/>
      <c r="V41" s="62">
        <f>DSUM(VARDATA2,T$2-1,$C40:$D41)</f>
        <v>52</v>
      </c>
      <c r="W41" s="62"/>
      <c r="X41" s="54">
        <f>IF((V41+T41)=0,"",T41/(V41+T41))</f>
        <v>0.36585365853658536</v>
      </c>
      <c r="Y41" s="54"/>
      <c r="Z41" s="29">
        <f>DSUM(VARDATA2,Z$2-1,$A40:$B41)</f>
        <v>51</v>
      </c>
      <c r="AA41" s="62"/>
      <c r="AB41" s="62">
        <f>DSUM(VARDATA2,Z$2-1,$C40:$D41)</f>
        <v>100</v>
      </c>
      <c r="AC41" s="62"/>
      <c r="AD41" s="54">
        <f>IF((AB41+Z41)=0,"",Z41/(AB41+Z41))</f>
        <v>0.33774834437086093</v>
      </c>
      <c r="AE41" s="54"/>
      <c r="AF41" s="54"/>
      <c r="AG41" s="54"/>
      <c r="AH41" s="54"/>
      <c r="AI41" s="16"/>
    </row>
    <row r="42" spans="1:35" hidden="1" x14ac:dyDescent="0.2">
      <c r="A42" s="16" t="s">
        <v>79</v>
      </c>
      <c r="B42" s="16" t="s">
        <v>18</v>
      </c>
      <c r="C42" s="16" t="s">
        <v>79</v>
      </c>
      <c r="D42" s="16" t="s">
        <v>18</v>
      </c>
      <c r="H42" s="29"/>
      <c r="I42" s="62"/>
      <c r="J42" s="62"/>
      <c r="K42" s="62"/>
      <c r="L42" s="54"/>
      <c r="M42" s="54"/>
      <c r="N42" s="29"/>
      <c r="O42" s="62"/>
      <c r="P42" s="62"/>
      <c r="Q42" s="62"/>
      <c r="R42" s="54"/>
      <c r="S42" s="54"/>
      <c r="T42" s="29"/>
      <c r="U42" s="62"/>
      <c r="V42" s="62"/>
      <c r="W42" s="62"/>
      <c r="X42" s="54"/>
      <c r="Y42" s="54"/>
      <c r="Z42" s="29"/>
      <c r="AA42" s="62"/>
      <c r="AB42" s="62"/>
      <c r="AC42" s="62"/>
      <c r="AD42" s="54"/>
      <c r="AE42" s="54"/>
      <c r="AF42" s="54"/>
      <c r="AG42" s="54"/>
      <c r="AH42" s="54"/>
      <c r="AI42" s="16"/>
    </row>
    <row r="43" spans="1:35" x14ac:dyDescent="0.2">
      <c r="A43" s="67" t="s">
        <v>105</v>
      </c>
      <c r="B43" s="67" t="s">
        <v>0</v>
      </c>
      <c r="C43" s="67" t="s">
        <v>105</v>
      </c>
      <c r="D43" s="67" t="s">
        <v>1</v>
      </c>
      <c r="E43" s="25"/>
      <c r="F43" s="25" t="s">
        <v>105</v>
      </c>
      <c r="G43" s="25"/>
      <c r="H43" s="29">
        <f>DSUM(VARDATA2,H$2-1,$A42:$B43)</f>
        <v>5</v>
      </c>
      <c r="I43" s="62"/>
      <c r="J43" s="62">
        <f>DSUM(VARDATA2,H$2-1,$C42:$D43)</f>
        <v>25</v>
      </c>
      <c r="K43" s="62"/>
      <c r="L43" s="54">
        <f>IF((J43+H43)=0,"",H43/(J43+H43))</f>
        <v>0.16666666666666666</v>
      </c>
      <c r="M43" s="54"/>
      <c r="N43" s="29">
        <f>DSUM(VARDATA2,N$2-1,$A42:$B43)</f>
        <v>32</v>
      </c>
      <c r="O43" s="62"/>
      <c r="P43" s="62">
        <f>DSUM(VARDATA2,N$2-1,$C42:$D43)</f>
        <v>195</v>
      </c>
      <c r="Q43" s="62"/>
      <c r="R43" s="54">
        <f>IF((P43+N43)=0,"",N43/(P43+N43))</f>
        <v>0.14096916299559473</v>
      </c>
      <c r="S43" s="54"/>
      <c r="T43" s="29">
        <f>DSUM(VARDATA2,T$2-1,$A42:$B43)</f>
        <v>32</v>
      </c>
      <c r="U43" s="62"/>
      <c r="V43" s="62">
        <f>DSUM(VARDATA2,T$2-1,$C42:$D43)</f>
        <v>195</v>
      </c>
      <c r="W43" s="62"/>
      <c r="X43" s="54">
        <f>IF((V43+T43)=0,"",T43/(V43+T43))</f>
        <v>0.14096916299559473</v>
      </c>
      <c r="Y43" s="54"/>
      <c r="Z43" s="29">
        <f>DSUM(VARDATA2,Z$2-1,$A42:$B43)</f>
        <v>32</v>
      </c>
      <c r="AA43" s="62"/>
      <c r="AB43" s="62">
        <f>DSUM(VARDATA2,Z$2-1,$C42:$D43)</f>
        <v>195</v>
      </c>
      <c r="AC43" s="62"/>
      <c r="AD43" s="54">
        <f>IF((AB43+Z43)=0,"",Z43/(AB43+Z43))</f>
        <v>0.14096916299559473</v>
      </c>
      <c r="AE43" s="54"/>
      <c r="AF43" s="54"/>
      <c r="AG43" s="54"/>
      <c r="AH43" s="54"/>
      <c r="AI43" s="16"/>
    </row>
    <row r="44" spans="1:35" hidden="1" x14ac:dyDescent="0.2">
      <c r="A44" s="16" t="s">
        <v>79</v>
      </c>
      <c r="B44" s="16" t="s">
        <v>18</v>
      </c>
      <c r="C44" s="16" t="s">
        <v>79</v>
      </c>
      <c r="D44" s="16" t="s">
        <v>18</v>
      </c>
      <c r="H44" s="29"/>
      <c r="I44" s="62"/>
      <c r="J44" s="62"/>
      <c r="K44" s="62"/>
      <c r="L44" s="54"/>
      <c r="M44" s="54"/>
      <c r="N44" s="29"/>
      <c r="O44" s="62"/>
      <c r="P44" s="62"/>
      <c r="Q44" s="62"/>
      <c r="R44" s="54"/>
      <c r="S44" s="54"/>
      <c r="T44" s="29"/>
      <c r="U44" s="62"/>
      <c r="V44" s="62"/>
      <c r="W44" s="62"/>
      <c r="X44" s="54"/>
      <c r="Y44" s="54"/>
      <c r="Z44" s="29"/>
      <c r="AA44" s="62"/>
      <c r="AB44" s="62"/>
      <c r="AC44" s="62"/>
      <c r="AD44" s="54"/>
      <c r="AE44" s="54"/>
      <c r="AF44" s="54"/>
      <c r="AG44" s="54"/>
      <c r="AH44" s="54"/>
      <c r="AI44" s="16"/>
    </row>
    <row r="45" spans="1:35" x14ac:dyDescent="0.2">
      <c r="A45" s="67" t="s">
        <v>84</v>
      </c>
      <c r="B45" s="67" t="s">
        <v>0</v>
      </c>
      <c r="C45" s="67" t="s">
        <v>84</v>
      </c>
      <c r="D45" s="67" t="s">
        <v>1</v>
      </c>
      <c r="E45" s="25"/>
      <c r="F45" s="25" t="s">
        <v>84</v>
      </c>
      <c r="G45" s="25"/>
      <c r="H45" s="29">
        <f>DSUM(VARDATA2,H$2-1,$A44:$B45)</f>
        <v>0</v>
      </c>
      <c r="I45" s="62"/>
      <c r="J45" s="62">
        <f>DSUM(VARDATA2,H$2-1,$C44:$D45)</f>
        <v>0</v>
      </c>
      <c r="K45" s="62"/>
      <c r="L45" s="54" t="str">
        <f>IF((J45+H45)=0,"",H45/(J45+H45))</f>
        <v/>
      </c>
      <c r="M45" s="54"/>
      <c r="N45" s="29">
        <f>DSUM(VARDATA2,N$2-1,$A44:$B45)</f>
        <v>1</v>
      </c>
      <c r="O45" s="62"/>
      <c r="P45" s="62">
        <f>DSUM(VARDATA2,N$2-1,$C44:$D45)</f>
        <v>60</v>
      </c>
      <c r="Q45" s="62"/>
      <c r="R45" s="54">
        <f>IF((P45+N45)=0,"",N45/(P45+N45))</f>
        <v>1.6393442622950821E-2</v>
      </c>
      <c r="S45" s="54"/>
      <c r="T45" s="29">
        <f>DSUM(VARDATA2,T$2-1,$A44:$B45)</f>
        <v>1</v>
      </c>
      <c r="U45" s="62"/>
      <c r="V45" s="62">
        <f>DSUM(VARDATA2,T$2-1,$C44:$D45)</f>
        <v>60</v>
      </c>
      <c r="W45" s="62"/>
      <c r="X45" s="54">
        <f>IF((V45+T45)=0,"",T45/(V45+T45))</f>
        <v>1.6393442622950821E-2</v>
      </c>
      <c r="Y45" s="54"/>
      <c r="Z45" s="29">
        <f>DSUM(VARDATA2,Z$2-1,$A44:$B45)</f>
        <v>4</v>
      </c>
      <c r="AA45" s="62"/>
      <c r="AB45" s="62">
        <f>DSUM(VARDATA2,Z$2-1,$C44:$D45)</f>
        <v>119</v>
      </c>
      <c r="AC45" s="62"/>
      <c r="AD45" s="54">
        <f>IF((AB45+Z45)=0,"",Z45/(AB45+Z45))</f>
        <v>3.2520325203252036E-2</v>
      </c>
      <c r="AE45" s="54"/>
      <c r="AF45" s="54"/>
      <c r="AG45" s="54"/>
      <c r="AH45" s="54"/>
      <c r="AI45" s="16"/>
    </row>
    <row r="46" spans="1:35" hidden="1" x14ac:dyDescent="0.2">
      <c r="A46" s="16" t="s">
        <v>79</v>
      </c>
      <c r="B46" s="16" t="s">
        <v>18</v>
      </c>
      <c r="C46" s="16" t="s">
        <v>79</v>
      </c>
      <c r="D46" s="16" t="s">
        <v>18</v>
      </c>
      <c r="H46" s="3"/>
      <c r="I46" s="61"/>
      <c r="J46" s="62"/>
      <c r="K46" s="62"/>
      <c r="L46" s="3"/>
      <c r="M46" s="3"/>
      <c r="N46" s="3"/>
      <c r="O46" s="61"/>
      <c r="P46" s="62"/>
      <c r="Q46" s="62"/>
      <c r="R46" s="3"/>
      <c r="S46" s="3"/>
      <c r="T46" s="3"/>
      <c r="U46" s="61"/>
      <c r="V46" s="62"/>
      <c r="W46" s="62"/>
      <c r="X46" s="3"/>
      <c r="Y46" s="3"/>
      <c r="Z46" s="3"/>
      <c r="AA46" s="61"/>
      <c r="AB46" s="62"/>
      <c r="AC46" s="62"/>
      <c r="AD46" s="3"/>
      <c r="AE46" s="3"/>
      <c r="AF46" s="3"/>
      <c r="AG46" s="3"/>
      <c r="AH46" s="3"/>
      <c r="AI46" s="16"/>
    </row>
    <row r="47" spans="1:35" x14ac:dyDescent="0.2">
      <c r="A47" s="67" t="s">
        <v>106</v>
      </c>
      <c r="B47" s="67" t="s">
        <v>0</v>
      </c>
      <c r="C47" s="67" t="s">
        <v>106</v>
      </c>
      <c r="D47" s="67" t="s">
        <v>1</v>
      </c>
      <c r="E47" s="25"/>
      <c r="F47" s="25" t="s">
        <v>106</v>
      </c>
      <c r="G47" s="25"/>
      <c r="H47" s="29">
        <f>DSUM(VARDATA2,H$2-1,$A46:$B47)</f>
        <v>1</v>
      </c>
      <c r="I47" s="62"/>
      <c r="J47" s="62">
        <f>DSUM(VARDATA2,H$2-1,$C46:$D47)</f>
        <v>2</v>
      </c>
      <c r="K47" s="62"/>
      <c r="L47" s="54">
        <f>IF((J47+H47)=0,"",H47/(J47+H47))</f>
        <v>0.33333333333333331</v>
      </c>
      <c r="M47" s="54"/>
      <c r="N47" s="29">
        <f>DSUM(VARDATA2,N$2-1,$A46:$B47)</f>
        <v>29</v>
      </c>
      <c r="O47" s="62"/>
      <c r="P47" s="62">
        <f>DSUM(VARDATA2,N$2-1,$C46:$D47)</f>
        <v>12</v>
      </c>
      <c r="Q47" s="62"/>
      <c r="R47" s="54">
        <f>IF((P47+N47)=0,"",N47/(P47+N47))</f>
        <v>0.70731707317073167</v>
      </c>
      <c r="S47" s="54"/>
      <c r="T47" s="29">
        <f>DSUM(VARDATA2,T$2-1,$A46:$B47)</f>
        <v>29</v>
      </c>
      <c r="U47" s="62"/>
      <c r="V47" s="62">
        <f>DSUM(VARDATA2,T$2-1,$C46:$D47)</f>
        <v>12</v>
      </c>
      <c r="W47" s="62"/>
      <c r="X47" s="54">
        <f>IF((V47+T47)=0,"",T47/(V47+T47))</f>
        <v>0.70731707317073167</v>
      </c>
      <c r="Y47" s="54"/>
      <c r="Z47" s="29">
        <f>DSUM(VARDATA2,Z$2-1,$A46:$B47)</f>
        <v>29</v>
      </c>
      <c r="AA47" s="62"/>
      <c r="AB47" s="62">
        <f>DSUM(VARDATA2,Z$2-1,$C46:$D47)</f>
        <v>12</v>
      </c>
      <c r="AC47" s="62"/>
      <c r="AD47" s="54">
        <f>IF((AB47+Z47)=0,"",Z47/(AB47+Z47))</f>
        <v>0.70731707317073167</v>
      </c>
      <c r="AE47" s="54"/>
      <c r="AF47" s="54"/>
      <c r="AG47" s="54"/>
      <c r="AH47" s="54"/>
      <c r="AI47" s="16"/>
    </row>
    <row r="48" spans="1:35" s="4" customFormat="1" x14ac:dyDescent="0.2">
      <c r="A48" s="63"/>
      <c r="B48" s="63"/>
      <c r="C48" s="63"/>
      <c r="D48" s="63"/>
      <c r="E48" s="25" t="s">
        <v>10</v>
      </c>
      <c r="F48" s="25"/>
      <c r="G48" s="25"/>
      <c r="H48" s="64">
        <f>SUM(H19:H47)</f>
        <v>868</v>
      </c>
      <c r="I48" s="65"/>
      <c r="J48" s="65">
        <f>SUM(J19:J47)</f>
        <v>1712</v>
      </c>
      <c r="K48" s="65"/>
      <c r="L48" s="66">
        <f>IF((J48+H48)=0,"",H48/(J48+H48))</f>
        <v>0.33643410852713179</v>
      </c>
      <c r="M48" s="53"/>
      <c r="N48" s="64">
        <f>SUM(N19:N47)</f>
        <v>9907</v>
      </c>
      <c r="O48" s="65"/>
      <c r="P48" s="65">
        <f>SUM(P19:P47)</f>
        <v>20637</v>
      </c>
      <c r="Q48" s="65"/>
      <c r="R48" s="66">
        <f>IF((P48+N48)=0,"",N48/(P48+N48))</f>
        <v>0.32435175484546885</v>
      </c>
      <c r="S48" s="53"/>
      <c r="T48" s="64">
        <f>SUM(T19:T47)</f>
        <v>9907</v>
      </c>
      <c r="U48" s="65"/>
      <c r="V48" s="65">
        <f>SUM(V19:V47)</f>
        <v>20637</v>
      </c>
      <c r="W48" s="65"/>
      <c r="X48" s="66">
        <f>IF((V48+T48)=0,"",T48/(V48+T48))</f>
        <v>0.32435175484546885</v>
      </c>
      <c r="Y48" s="53"/>
      <c r="Z48" s="64">
        <f>SUM(Z19:Z47)</f>
        <v>14902</v>
      </c>
      <c r="AA48" s="65"/>
      <c r="AB48" s="65">
        <f>SUM(AB19:AB47)</f>
        <v>36151</v>
      </c>
      <c r="AC48" s="65"/>
      <c r="AD48" s="66">
        <f>IF((AB48+Z48)=0,"",Z48/(AB48+Z48))</f>
        <v>0.29189273891837891</v>
      </c>
      <c r="AE48" s="53"/>
      <c r="AF48" s="53"/>
      <c r="AG48" s="53"/>
      <c r="AH48" s="53"/>
      <c r="AI48" s="63"/>
    </row>
    <row r="49" spans="1:35" x14ac:dyDescent="0.2">
      <c r="H49" s="29"/>
      <c r="I49" s="62"/>
      <c r="J49" s="62"/>
      <c r="K49" s="62"/>
      <c r="L49" s="48"/>
      <c r="M49" s="48"/>
      <c r="N49" s="29"/>
      <c r="O49" s="62"/>
      <c r="P49" s="62"/>
      <c r="Q49" s="62"/>
      <c r="R49" s="48"/>
      <c r="S49" s="48"/>
      <c r="T49" s="29"/>
      <c r="U49" s="62"/>
      <c r="V49" s="62"/>
      <c r="W49" s="62"/>
      <c r="X49" s="48"/>
      <c r="Y49" s="48"/>
      <c r="Z49" s="29"/>
      <c r="AA49" s="62"/>
      <c r="AB49" s="62"/>
      <c r="AC49" s="62"/>
      <c r="AD49" s="48"/>
      <c r="AE49" s="48"/>
      <c r="AF49" s="48"/>
      <c r="AG49" s="48"/>
      <c r="AH49" s="48"/>
      <c r="AI49" s="16"/>
    </row>
    <row r="50" spans="1:35" x14ac:dyDescent="0.2">
      <c r="H50" s="29"/>
      <c r="I50" s="62"/>
      <c r="J50" s="62"/>
      <c r="K50" s="62"/>
      <c r="L50" s="48"/>
      <c r="M50" s="48"/>
      <c r="N50" s="29"/>
      <c r="O50" s="62"/>
      <c r="P50" s="62"/>
      <c r="Q50" s="62"/>
      <c r="R50" s="48"/>
      <c r="S50" s="48"/>
      <c r="T50" s="29"/>
      <c r="U50" s="62"/>
      <c r="V50" s="62"/>
      <c r="W50" s="62"/>
      <c r="X50" s="48"/>
      <c r="Y50" s="48"/>
      <c r="Z50" s="29"/>
      <c r="AA50" s="62"/>
      <c r="AB50" s="62"/>
      <c r="AC50" s="62"/>
      <c r="AD50" s="48"/>
      <c r="AE50" s="48"/>
      <c r="AF50" s="48"/>
      <c r="AG50" s="48"/>
      <c r="AH50" s="48"/>
      <c r="AI50" s="16"/>
    </row>
    <row r="51" spans="1:35" x14ac:dyDescent="0.2">
      <c r="A51" s="16" t="s">
        <v>79</v>
      </c>
      <c r="B51" s="16" t="s">
        <v>18</v>
      </c>
      <c r="C51" s="16" t="s">
        <v>79</v>
      </c>
      <c r="D51" s="16" t="s">
        <v>18</v>
      </c>
      <c r="E51" s="25" t="s">
        <v>99</v>
      </c>
      <c r="G51" s="25" t="s">
        <v>155</v>
      </c>
      <c r="H51" s="3"/>
      <c r="I51" s="61"/>
      <c r="J51" s="61"/>
      <c r="K51" s="61"/>
      <c r="L51" s="3"/>
      <c r="M51" s="3"/>
      <c r="N51" s="3"/>
      <c r="O51" s="61"/>
      <c r="P51" s="61"/>
      <c r="Q51" s="61"/>
      <c r="R51" s="3"/>
      <c r="S51" s="3"/>
      <c r="T51" s="3"/>
      <c r="U51" s="61"/>
      <c r="V51" s="61"/>
      <c r="W51" s="61"/>
      <c r="X51" s="3"/>
      <c r="Y51" s="3"/>
      <c r="Z51" s="3"/>
      <c r="AA51" s="61"/>
      <c r="AB51" s="61"/>
      <c r="AC51" s="61"/>
      <c r="AD51" s="3"/>
      <c r="AE51" s="3"/>
      <c r="AF51" s="3"/>
      <c r="AG51" s="3"/>
      <c r="AH51" s="3"/>
      <c r="AI51" s="16"/>
    </row>
    <row r="52" spans="1:35" x14ac:dyDescent="0.2">
      <c r="A52" s="67" t="s">
        <v>74</v>
      </c>
      <c r="B52" s="67" t="s">
        <v>0</v>
      </c>
      <c r="C52" s="67" t="str">
        <f>A52</f>
        <v>GAS</v>
      </c>
      <c r="D52" s="67" t="s">
        <v>1</v>
      </c>
      <c r="E52" s="25"/>
      <c r="F52" s="25" t="s">
        <v>177</v>
      </c>
      <c r="G52" s="25" t="str">
        <f>VLOOKUP(A52,'CONVERSION FACTORS'!$A$1:$D$40,4,FALSE)</f>
        <v>MMBTU</v>
      </c>
      <c r="H52" s="29">
        <f>ABS(DSUM(VARDATA2,J$4-1,$A51:$B52))+ABS(DSUM(VARDATA2,H$4-1,$A51:$B52))</f>
        <v>140327720.72</v>
      </c>
      <c r="I52" s="62">
        <f>H52*VLOOKUP($A52,'CONVERSION FACTORS'!$A$1:$E$41,5,FALSE)</f>
        <v>140327720.72</v>
      </c>
      <c r="J52" s="62">
        <f>ABS(DSUM(VARDATA2,H$4-1,$C51:$D52))+ABS(DSUM(VARDATA2,J$4-1,$C51:$D52))</f>
        <v>231149391</v>
      </c>
      <c r="K52" s="62">
        <f>J52*VLOOKUP($A52,'CONVERSION FACTORS'!$A$1:$E$41,5,FALSE)</f>
        <v>231149391</v>
      </c>
      <c r="L52" s="54">
        <f>IF((J52+H52)=0,"",H52/(J52+H52))</f>
        <v>0.37775603473995911</v>
      </c>
      <c r="M52" s="54"/>
      <c r="N52" s="29">
        <f>ABS(DSUM(VARDATA2,P$4-1,$A51:$B52))+ABS(DSUM(VARDATA2,N$4-1,$A51:$B52))</f>
        <v>1371675236.47</v>
      </c>
      <c r="O52" s="62">
        <f>N52*VLOOKUP($A52,'CONVERSION FACTORS'!$A$1:$E$41,5,FALSE)</f>
        <v>1371675236.47</v>
      </c>
      <c r="P52" s="62">
        <f>ABS(DSUM(VARDATA2,N$4-1,$C51:$D52))+ABS(DSUM(VARDATA2,P$4-1,$C51:$D52))</f>
        <v>3171416225.8599997</v>
      </c>
      <c r="Q52" s="62">
        <f>P52*VLOOKUP($A52,'CONVERSION FACTORS'!$A$1:$E$41,5,FALSE)</f>
        <v>3171416225.8599997</v>
      </c>
      <c r="R52" s="54">
        <f>IF((P52+N52)=0,"",N52/(P52+N52))</f>
        <v>0.30192551654386318</v>
      </c>
      <c r="S52" s="54"/>
      <c r="T52" s="29">
        <f>ABS(DSUM(VARDATA2,V$4-1,$A51:$B52))+ABS(DSUM(VARDATA2,T$4-1,$A51:$B52))</f>
        <v>1371675236.4659629</v>
      </c>
      <c r="U52" s="62">
        <f>T52*VLOOKUP($A52,'CONVERSION FACTORS'!$A$1:$E$41,5,FALSE)</f>
        <v>1371675236.4659629</v>
      </c>
      <c r="V52" s="62">
        <f>ABS(DSUM(VARDATA2,T$4-1,$C51:$D52))+ABS(DSUM(VARDATA2,V$4-1,$C51:$D52))</f>
        <v>3171416225.8535929</v>
      </c>
      <c r="W52" s="62">
        <f>V52*VLOOKUP($A52,'CONVERSION FACTORS'!$A$1:$E$41,5,FALSE)</f>
        <v>3171416225.8535929</v>
      </c>
      <c r="X52" s="54">
        <f>IF((V52+T52)=0,"",T52/(V52+T52))</f>
        <v>0.30192551654366867</v>
      </c>
      <c r="Y52" s="54"/>
      <c r="Z52" s="29">
        <f>ABS(DSUM(VARDATA2,AB$4-1,$A51:$B52))+ABS(DSUM(VARDATA2,Z$4-1,$A51:$B52))</f>
        <v>2269685726.8599997</v>
      </c>
      <c r="AA52" s="62">
        <f>Z52*VLOOKUP($A52,'CONVERSION FACTORS'!$A$1:$E$41,5,FALSE)</f>
        <v>2269685726.8599997</v>
      </c>
      <c r="AB52" s="62">
        <f>ABS(DSUM(VARDATA2,Z$4-1,$C51:$D52))+ABS(DSUM(VARDATA2,AB$4-1,$C51:$D52))</f>
        <v>7571007873.1999998</v>
      </c>
      <c r="AC52" s="62">
        <f>AB52*VLOOKUP($A52,'CONVERSION FACTORS'!$A$1:$E$41,5,FALSE)</f>
        <v>7571007873.1999998</v>
      </c>
      <c r="AD52" s="54">
        <f>IF((AB52+Z52)=0,"",Z52/(AB52+Z52))</f>
        <v>0.23064286107293913</v>
      </c>
      <c r="AE52" s="54"/>
      <c r="AF52" s="54"/>
      <c r="AG52" s="54"/>
      <c r="AH52" s="54"/>
      <c r="AI52" s="16"/>
    </row>
    <row r="53" spans="1:35" hidden="1" x14ac:dyDescent="0.2">
      <c r="A53" s="16" t="s">
        <v>79</v>
      </c>
      <c r="B53" s="16" t="s">
        <v>18</v>
      </c>
      <c r="C53" s="16" t="s">
        <v>79</v>
      </c>
      <c r="D53" s="16" t="s">
        <v>18</v>
      </c>
      <c r="G53" s="25" t="str">
        <f>VLOOKUP(A53,'CONVERSION FACTORS'!$A$1:$D$40,4,FALSE)</f>
        <v>UNIT TO</v>
      </c>
      <c r="H53" s="29">
        <f t="shared" ref="H53:H80" si="0">ABS(DSUM(VARDATA2,J$4-1,$A52:$B53))+ABS(DSUM(VARDATA2,H$4-1,$A52:$B53))</f>
        <v>0</v>
      </c>
      <c r="I53" s="62">
        <f>H53*VLOOKUP($A53,'CONVERSION FACTORS'!$A$1:$E$41,5,FALSE)</f>
        <v>0</v>
      </c>
      <c r="J53" s="62">
        <f t="shared" ref="J53:J80" si="1">ABS(DSUM(VARDATA2,H$4-1,$C52:$D53))+ABS(DSUM(VARDATA2,J$4-1,$C52:$D53))</f>
        <v>0</v>
      </c>
      <c r="K53" s="62">
        <f>J53*VLOOKUP($A53,'CONVERSION FACTORS'!$A$1:$E$41,5,FALSE)</f>
        <v>0</v>
      </c>
      <c r="L53" s="54" t="str">
        <f t="shared" ref="L53:L80" si="2">IF((J53+H53)=0,"",H53/(J53+H53))</f>
        <v/>
      </c>
      <c r="M53" s="3"/>
      <c r="N53" s="29">
        <f t="shared" ref="N53:N80" si="3">ABS(DSUM(VARDATA2,P$4-1,$A52:$B53))+ABS(DSUM(VARDATA2,N$4-1,$A52:$B53))</f>
        <v>0</v>
      </c>
      <c r="O53" s="62">
        <f>N53*VLOOKUP($A53,'CONVERSION FACTORS'!$A$1:$E$41,5,FALSE)</f>
        <v>0</v>
      </c>
      <c r="P53" s="62">
        <f t="shared" ref="P53:P80" si="4">ABS(DSUM(VARDATA2,N$4-1,$C52:$D53))+ABS(DSUM(VARDATA2,P$4-1,$C52:$D53))</f>
        <v>0</v>
      </c>
      <c r="Q53" s="62">
        <f>P53*VLOOKUP($A53,'CONVERSION FACTORS'!$A$1:$E$41,5,FALSE)</f>
        <v>0</v>
      </c>
      <c r="R53" s="54" t="str">
        <f t="shared" ref="R53:R80" si="5">IF((P53+N53)=0,"",N53/(P53+N53))</f>
        <v/>
      </c>
      <c r="S53" s="3"/>
      <c r="T53" s="29">
        <f t="shared" ref="T53:T80" si="6">ABS(DSUM(VARDATA2,V$4-1,$A52:$B53))+ABS(DSUM(VARDATA2,T$4-1,$A52:$B53))</f>
        <v>0</v>
      </c>
      <c r="U53" s="62">
        <f>T53*VLOOKUP($A53,'CONVERSION FACTORS'!$A$1:$E$41,5,FALSE)</f>
        <v>0</v>
      </c>
      <c r="V53" s="62">
        <f t="shared" ref="V53:V80" si="7">ABS(DSUM(VARDATA2,T$4-1,$C52:$D53))+ABS(DSUM(VARDATA2,V$4-1,$C52:$D53))</f>
        <v>0</v>
      </c>
      <c r="W53" s="62">
        <f>V53*VLOOKUP($A53,'CONVERSION FACTORS'!$A$1:$E$41,5,FALSE)</f>
        <v>0</v>
      </c>
      <c r="X53" s="54" t="str">
        <f t="shared" ref="X53:X80" si="8">IF((V53+T53)=0,"",T53/(V53+T53))</f>
        <v/>
      </c>
      <c r="Y53" s="3"/>
      <c r="Z53" s="29">
        <f t="shared" ref="Z53:Z80" si="9">ABS(DSUM(VARDATA2,AB$4-1,$A52:$B53))+ABS(DSUM(VARDATA2,Z$4-1,$A52:$B53))</f>
        <v>0</v>
      </c>
      <c r="AA53" s="62">
        <f>Z53*VLOOKUP($A53,'CONVERSION FACTORS'!$A$1:$E$41,5,FALSE)</f>
        <v>0</v>
      </c>
      <c r="AB53" s="62">
        <f t="shared" ref="AB53:AB80" si="10">ABS(DSUM(VARDATA2,Z$4-1,$C52:$D53))+ABS(DSUM(VARDATA2,AB$4-1,$C52:$D53))</f>
        <v>0</v>
      </c>
      <c r="AC53" s="62">
        <f>AB53*VLOOKUP($A53,'CONVERSION FACTORS'!$A$1:$E$41,5,FALSE)</f>
        <v>0</v>
      </c>
      <c r="AD53" s="54" t="str">
        <f t="shared" ref="AD53:AD80" si="11">IF((AB53+Z53)=0,"",Z53/(AB53+Z53))</f>
        <v/>
      </c>
      <c r="AE53" s="3"/>
      <c r="AF53" s="3"/>
      <c r="AG53" s="3"/>
      <c r="AH53" s="3"/>
      <c r="AI53" s="16"/>
    </row>
    <row r="54" spans="1:35" x14ac:dyDescent="0.2">
      <c r="A54" s="67" t="s">
        <v>167</v>
      </c>
      <c r="B54" s="67" t="s">
        <v>0</v>
      </c>
      <c r="C54" s="67" t="str">
        <f>A54</f>
        <v>CONTINENTAL GAS</v>
      </c>
      <c r="D54" s="67" t="s">
        <v>1</v>
      </c>
      <c r="E54" s="25"/>
      <c r="F54" s="25" t="s">
        <v>167</v>
      </c>
      <c r="G54" s="25" t="str">
        <f>VLOOKUP(A54,'CONVERSION FACTORS'!$A$1:$D$40,4,FALSE)</f>
        <v>MMBTU</v>
      </c>
      <c r="H54" s="29">
        <f t="shared" si="0"/>
        <v>72500</v>
      </c>
      <c r="I54" s="62">
        <f>H54*VLOOKUP($A54,'CONVERSION FACTORS'!$A$1:$E$41,5,FALSE)</f>
        <v>72500</v>
      </c>
      <c r="J54" s="62">
        <f t="shared" si="1"/>
        <v>1013457.72</v>
      </c>
      <c r="K54" s="62">
        <f>J54*VLOOKUP($A54,'CONVERSION FACTORS'!$A$1:$E$41,5,FALSE)</f>
        <v>1013457.72</v>
      </c>
      <c r="L54" s="54">
        <f t="shared" si="2"/>
        <v>6.6761346841385322E-2</v>
      </c>
      <c r="M54" s="54"/>
      <c r="N54" s="29">
        <f t="shared" si="3"/>
        <v>11152500</v>
      </c>
      <c r="O54" s="62">
        <f>N54*VLOOKUP($A54,'CONVERSION FACTORS'!$A$1:$E$41,5,FALSE)</f>
        <v>11152500</v>
      </c>
      <c r="P54" s="62">
        <f t="shared" si="4"/>
        <v>31220470.52</v>
      </c>
      <c r="Q54" s="62">
        <f>P54*VLOOKUP($A54,'CONVERSION FACTORS'!$A$1:$E$41,5,FALSE)</f>
        <v>31220470.52</v>
      </c>
      <c r="R54" s="54">
        <f t="shared" si="5"/>
        <v>0.26319844615887933</v>
      </c>
      <c r="S54" s="54"/>
      <c r="T54" s="29">
        <f t="shared" si="6"/>
        <v>11152500</v>
      </c>
      <c r="U54" s="62">
        <f>T54*VLOOKUP($A54,'CONVERSION FACTORS'!$A$1:$E$41,5,FALSE)</f>
        <v>11152500</v>
      </c>
      <c r="V54" s="62">
        <f t="shared" si="7"/>
        <v>31220470.51698</v>
      </c>
      <c r="W54" s="62">
        <f>V54*VLOOKUP($A54,'CONVERSION FACTORS'!$A$1:$E$41,5,FALSE)</f>
        <v>31220470.51698</v>
      </c>
      <c r="X54" s="54">
        <f t="shared" si="8"/>
        <v>0.26319844617763793</v>
      </c>
      <c r="Y54" s="54"/>
      <c r="Z54" s="29">
        <f t="shared" si="9"/>
        <v>11152500</v>
      </c>
      <c r="AA54" s="62">
        <f>Z54*VLOOKUP($A54,'CONVERSION FACTORS'!$A$1:$E$41,5,FALSE)</f>
        <v>11152500</v>
      </c>
      <c r="AB54" s="62">
        <f t="shared" si="10"/>
        <v>31220470.52</v>
      </c>
      <c r="AC54" s="62">
        <f>AB54*VLOOKUP($A54,'CONVERSION FACTORS'!$A$1:$E$41,5,FALSE)</f>
        <v>31220470.52</v>
      </c>
      <c r="AD54" s="54">
        <f t="shared" si="11"/>
        <v>0.26319844615887933</v>
      </c>
      <c r="AE54" s="54"/>
      <c r="AF54" s="54"/>
      <c r="AG54" s="54"/>
      <c r="AH54" s="54"/>
      <c r="AI54" s="16"/>
    </row>
    <row r="55" spans="1:35" hidden="1" x14ac:dyDescent="0.2">
      <c r="A55" s="16" t="s">
        <v>79</v>
      </c>
      <c r="B55" s="16" t="s">
        <v>18</v>
      </c>
      <c r="C55" s="16" t="s">
        <v>79</v>
      </c>
      <c r="D55" s="16" t="s">
        <v>18</v>
      </c>
      <c r="G55" s="25" t="str">
        <f>VLOOKUP(A55,'CONVERSION FACTORS'!$A$1:$D$40,4,FALSE)</f>
        <v>UNIT TO</v>
      </c>
      <c r="H55" s="29">
        <f t="shared" si="0"/>
        <v>0</v>
      </c>
      <c r="I55" s="62">
        <f>H55*VLOOKUP($A55,'CONVERSION FACTORS'!$A$1:$E$41,5,FALSE)</f>
        <v>0</v>
      </c>
      <c r="J55" s="62">
        <f t="shared" si="1"/>
        <v>0</v>
      </c>
      <c r="K55" s="62">
        <f>J55*VLOOKUP($A55,'CONVERSION FACTORS'!$A$1:$E$41,5,FALSE)</f>
        <v>0</v>
      </c>
      <c r="L55" s="54" t="str">
        <f t="shared" si="2"/>
        <v/>
      </c>
      <c r="M55" s="3"/>
      <c r="N55" s="29">
        <f t="shared" si="3"/>
        <v>0</v>
      </c>
      <c r="O55" s="62">
        <f>N55*VLOOKUP($A55,'CONVERSION FACTORS'!$A$1:$E$41,5,FALSE)</f>
        <v>0</v>
      </c>
      <c r="P55" s="62">
        <f t="shared" si="4"/>
        <v>0</v>
      </c>
      <c r="Q55" s="62">
        <f>P55*VLOOKUP($A55,'CONVERSION FACTORS'!$A$1:$E$41,5,FALSE)</f>
        <v>0</v>
      </c>
      <c r="R55" s="54" t="str">
        <f t="shared" si="5"/>
        <v/>
      </c>
      <c r="S55" s="3"/>
      <c r="T55" s="29">
        <f t="shared" si="6"/>
        <v>0</v>
      </c>
      <c r="U55" s="62">
        <f>T55*VLOOKUP($A55,'CONVERSION FACTORS'!$A$1:$E$41,5,FALSE)</f>
        <v>0</v>
      </c>
      <c r="V55" s="62">
        <f t="shared" si="7"/>
        <v>0</v>
      </c>
      <c r="W55" s="62">
        <f>V55*VLOOKUP($A55,'CONVERSION FACTORS'!$A$1:$E$41,5,FALSE)</f>
        <v>0</v>
      </c>
      <c r="X55" s="54" t="str">
        <f t="shared" si="8"/>
        <v/>
      </c>
      <c r="Y55" s="3"/>
      <c r="Z55" s="29">
        <f t="shared" si="9"/>
        <v>0</v>
      </c>
      <c r="AA55" s="62">
        <f>Z55*VLOOKUP($A55,'CONVERSION FACTORS'!$A$1:$E$41,5,FALSE)</f>
        <v>0</v>
      </c>
      <c r="AB55" s="62">
        <f t="shared" si="10"/>
        <v>0</v>
      </c>
      <c r="AC55" s="62">
        <f>AB55*VLOOKUP($A55,'CONVERSION FACTORS'!$A$1:$E$41,5,FALSE)</f>
        <v>0</v>
      </c>
      <c r="AD55" s="54" t="str">
        <f t="shared" si="11"/>
        <v/>
      </c>
      <c r="AE55" s="3"/>
      <c r="AF55" s="3"/>
      <c r="AG55" s="3"/>
      <c r="AH55" s="3"/>
      <c r="AI55" s="16"/>
    </row>
    <row r="56" spans="1:35" x14ac:dyDescent="0.2">
      <c r="A56" s="67" t="s">
        <v>87</v>
      </c>
      <c r="B56" s="67" t="s">
        <v>0</v>
      </c>
      <c r="C56" s="67" t="str">
        <f>A56</f>
        <v>UK GAS</v>
      </c>
      <c r="D56" s="67" t="s">
        <v>1</v>
      </c>
      <c r="E56" s="25"/>
      <c r="F56" s="25" t="s">
        <v>87</v>
      </c>
      <c r="G56" s="25" t="str">
        <f>VLOOKUP(A56,'CONVERSION FACTORS'!$A$1:$D$40,4,FALSE)</f>
        <v>MMBTU</v>
      </c>
      <c r="H56" s="29">
        <f t="shared" si="0"/>
        <v>6282500</v>
      </c>
      <c r="I56" s="62">
        <f>H56*VLOOKUP($A56,'CONVERSION FACTORS'!$A$1:$E$41,5,FALSE)</f>
        <v>6282500</v>
      </c>
      <c r="J56" s="62">
        <f t="shared" si="1"/>
        <v>9017120.2800000012</v>
      </c>
      <c r="K56" s="62">
        <f>J56*VLOOKUP($A56,'CONVERSION FACTORS'!$A$1:$E$41,5,FALSE)</f>
        <v>9017120.2800000012</v>
      </c>
      <c r="L56" s="54">
        <f t="shared" si="2"/>
        <v>0.41063110619893106</v>
      </c>
      <c r="M56" s="54"/>
      <c r="N56" s="29">
        <f t="shared" si="3"/>
        <v>79194000</v>
      </c>
      <c r="O56" s="62">
        <f>N56*VLOOKUP($A56,'CONVERSION FACTORS'!$A$1:$E$41,5,FALSE)</f>
        <v>79194000</v>
      </c>
      <c r="P56" s="62">
        <f t="shared" si="4"/>
        <v>242543800.86000001</v>
      </c>
      <c r="Q56" s="62">
        <f>P56*VLOOKUP($A56,'CONVERSION FACTORS'!$A$1:$E$41,5,FALSE)</f>
        <v>242543800.86000001</v>
      </c>
      <c r="R56" s="54">
        <f t="shared" si="5"/>
        <v>0.24614453069647302</v>
      </c>
      <c r="S56" s="54"/>
      <c r="T56" s="29">
        <f t="shared" si="6"/>
        <v>79194000</v>
      </c>
      <c r="U56" s="62">
        <f>T56*VLOOKUP($A56,'CONVERSION FACTORS'!$A$1:$E$41,5,FALSE)</f>
        <v>79194000</v>
      </c>
      <c r="V56" s="62">
        <f t="shared" si="7"/>
        <v>242543800.85427999</v>
      </c>
      <c r="W56" s="62">
        <f>V56*VLOOKUP($A56,'CONVERSION FACTORS'!$A$1:$E$41,5,FALSE)</f>
        <v>242543800.85427999</v>
      </c>
      <c r="X56" s="54">
        <f t="shared" si="8"/>
        <v>0.2461445307008491</v>
      </c>
      <c r="Y56" s="54"/>
      <c r="Z56" s="29">
        <f t="shared" si="9"/>
        <v>79194000</v>
      </c>
      <c r="AA56" s="62">
        <f>Z56*VLOOKUP($A56,'CONVERSION FACTORS'!$A$1:$E$41,5,FALSE)</f>
        <v>79194000</v>
      </c>
      <c r="AB56" s="62">
        <f t="shared" si="10"/>
        <v>242543800.86000001</v>
      </c>
      <c r="AC56" s="62">
        <f>AB56*VLOOKUP($A56,'CONVERSION FACTORS'!$A$1:$E$41,5,FALSE)</f>
        <v>242543800.86000001</v>
      </c>
      <c r="AD56" s="54">
        <f t="shared" si="11"/>
        <v>0.24614453069647302</v>
      </c>
      <c r="AE56" s="54"/>
      <c r="AF56" s="54"/>
      <c r="AG56" s="54"/>
      <c r="AH56" s="54"/>
      <c r="AI56" s="16"/>
    </row>
    <row r="57" spans="1:35" hidden="1" x14ac:dyDescent="0.2">
      <c r="A57" s="16" t="s">
        <v>79</v>
      </c>
      <c r="B57" s="16" t="s">
        <v>18</v>
      </c>
      <c r="C57" s="16" t="s">
        <v>79</v>
      </c>
      <c r="D57" s="16" t="s">
        <v>18</v>
      </c>
      <c r="G57" s="25" t="str">
        <f>VLOOKUP(A57,'CONVERSION FACTORS'!$A$1:$D$40,4,FALSE)</f>
        <v>UNIT TO</v>
      </c>
      <c r="H57" s="29">
        <f t="shared" si="0"/>
        <v>0</v>
      </c>
      <c r="I57" s="62">
        <f>H57*VLOOKUP($A57,'CONVERSION FACTORS'!$A$1:$E$41,5,FALSE)</f>
        <v>0</v>
      </c>
      <c r="J57" s="62">
        <f t="shared" si="1"/>
        <v>0</v>
      </c>
      <c r="K57" s="62">
        <f>J57*VLOOKUP($A57,'CONVERSION FACTORS'!$A$1:$E$41,5,FALSE)</f>
        <v>0</v>
      </c>
      <c r="L57" s="54" t="str">
        <f t="shared" si="2"/>
        <v/>
      </c>
      <c r="M57" s="3"/>
      <c r="N57" s="29">
        <f t="shared" si="3"/>
        <v>0</v>
      </c>
      <c r="O57" s="62">
        <f>N57*VLOOKUP($A57,'CONVERSION FACTORS'!$A$1:$E$41,5,FALSE)</f>
        <v>0</v>
      </c>
      <c r="P57" s="62">
        <f t="shared" si="4"/>
        <v>0</v>
      </c>
      <c r="Q57" s="62">
        <f>P57*VLOOKUP($A57,'CONVERSION FACTORS'!$A$1:$E$41,5,FALSE)</f>
        <v>0</v>
      </c>
      <c r="R57" s="54" t="str">
        <f t="shared" si="5"/>
        <v/>
      </c>
      <c r="S57" s="3"/>
      <c r="T57" s="29">
        <f t="shared" si="6"/>
        <v>0</v>
      </c>
      <c r="U57" s="62">
        <f>T57*VLOOKUP($A57,'CONVERSION FACTORS'!$A$1:$E$41,5,FALSE)</f>
        <v>0</v>
      </c>
      <c r="V57" s="62">
        <f t="shared" si="7"/>
        <v>0</v>
      </c>
      <c r="W57" s="62">
        <f>V57*VLOOKUP($A57,'CONVERSION FACTORS'!$A$1:$E$41,5,FALSE)</f>
        <v>0</v>
      </c>
      <c r="X57" s="54" t="str">
        <f t="shared" si="8"/>
        <v/>
      </c>
      <c r="Y57" s="3"/>
      <c r="Z57" s="29">
        <f t="shared" si="9"/>
        <v>0</v>
      </c>
      <c r="AA57" s="62">
        <f>Z57*VLOOKUP($A57,'CONVERSION FACTORS'!$A$1:$E$41,5,FALSE)</f>
        <v>0</v>
      </c>
      <c r="AB57" s="62">
        <f t="shared" si="10"/>
        <v>0</v>
      </c>
      <c r="AC57" s="62">
        <f>AB57*VLOOKUP($A57,'CONVERSION FACTORS'!$A$1:$E$41,5,FALSE)</f>
        <v>0</v>
      </c>
      <c r="AD57" s="54" t="str">
        <f t="shared" si="11"/>
        <v/>
      </c>
      <c r="AE57" s="3"/>
      <c r="AF57" s="3"/>
      <c r="AG57" s="3"/>
      <c r="AH57" s="3"/>
      <c r="AI57" s="16"/>
    </row>
    <row r="58" spans="1:35" x14ac:dyDescent="0.2">
      <c r="A58" s="67" t="s">
        <v>86</v>
      </c>
      <c r="B58" s="67" t="s">
        <v>0</v>
      </c>
      <c r="C58" s="67" t="str">
        <f>A58</f>
        <v>POWER</v>
      </c>
      <c r="D58" s="67" t="s">
        <v>1</v>
      </c>
      <c r="E58" s="25"/>
      <c r="F58" s="25" t="s">
        <v>89</v>
      </c>
      <c r="G58" s="25" t="str">
        <f>VLOOKUP(A58,'CONVERSION FACTORS'!$A$1:$D$40,4,FALSE)</f>
        <v>MWH</v>
      </c>
      <c r="H58" s="29">
        <f t="shared" si="0"/>
        <v>776800</v>
      </c>
      <c r="I58" s="62">
        <f>H58*VLOOKUP($A58,'CONVERSION FACTORS'!$A$1:$E$41,5,FALSE)</f>
        <v>7768000</v>
      </c>
      <c r="J58" s="62">
        <f t="shared" si="1"/>
        <v>8487864.6799999997</v>
      </c>
      <c r="K58" s="62">
        <f>J58*VLOOKUP($A58,'CONVERSION FACTORS'!$A$1:$E$41,5,FALSE)</f>
        <v>84878646.799999997</v>
      </c>
      <c r="L58" s="54">
        <f t="shared" si="2"/>
        <v>8.3845452245768712E-2</v>
      </c>
      <c r="M58" s="54"/>
      <c r="N58" s="29">
        <f t="shared" si="3"/>
        <v>6703500</v>
      </c>
      <c r="O58" s="62">
        <f>N58*VLOOKUP($A58,'CONVERSION FACTORS'!$A$1:$E$41,5,FALSE)</f>
        <v>67035000</v>
      </c>
      <c r="P58" s="62">
        <f t="shared" si="4"/>
        <v>69273663.99000001</v>
      </c>
      <c r="Q58" s="62">
        <f>P58*VLOOKUP($A58,'CONVERSION FACTORS'!$A$1:$E$41,5,FALSE)</f>
        <v>692736639.9000001</v>
      </c>
      <c r="R58" s="54">
        <f t="shared" si="5"/>
        <v>8.8230458310898568E-2</v>
      </c>
      <c r="S58" s="54"/>
      <c r="T58" s="29">
        <f t="shared" si="6"/>
        <v>6703500</v>
      </c>
      <c r="U58" s="62">
        <f>T58*VLOOKUP($A58,'CONVERSION FACTORS'!$A$1:$E$41,5,FALSE)</f>
        <v>67035000</v>
      </c>
      <c r="V58" s="62">
        <f t="shared" si="7"/>
        <v>69273663.99000001</v>
      </c>
      <c r="W58" s="62">
        <f>V58*VLOOKUP($A58,'CONVERSION FACTORS'!$A$1:$E$41,5,FALSE)</f>
        <v>692736639.9000001</v>
      </c>
      <c r="X58" s="54">
        <f t="shared" si="8"/>
        <v>8.8230458310898568E-2</v>
      </c>
      <c r="Y58" s="54"/>
      <c r="Z58" s="29">
        <f t="shared" si="9"/>
        <v>8333100</v>
      </c>
      <c r="AA58" s="62">
        <f>Z58*VLOOKUP($A58,'CONVERSION FACTORS'!$A$1:$E$41,5,FALSE)</f>
        <v>83331000</v>
      </c>
      <c r="AB58" s="62">
        <f t="shared" si="10"/>
        <v>138646023.94</v>
      </c>
      <c r="AC58" s="62">
        <f>AB58*VLOOKUP($A58,'CONVERSION FACTORS'!$A$1:$E$41,5,FALSE)</f>
        <v>1386460239.4000001</v>
      </c>
      <c r="AD58" s="54">
        <f t="shared" si="11"/>
        <v>5.6695806701105037E-2</v>
      </c>
      <c r="AE58" s="54"/>
      <c r="AF58" s="54"/>
      <c r="AG58" s="54"/>
      <c r="AH58" s="54"/>
      <c r="AI58" s="16"/>
    </row>
    <row r="59" spans="1:35" hidden="1" x14ac:dyDescent="0.2">
      <c r="A59" s="16" t="s">
        <v>79</v>
      </c>
      <c r="B59" s="16" t="s">
        <v>18</v>
      </c>
      <c r="C59" s="16" t="s">
        <v>79</v>
      </c>
      <c r="D59" s="16" t="s">
        <v>18</v>
      </c>
      <c r="G59" s="25" t="str">
        <f>VLOOKUP(A59,'CONVERSION FACTORS'!$A$1:$D$40,4,FALSE)</f>
        <v>UNIT TO</v>
      </c>
      <c r="H59" s="29">
        <f t="shared" si="0"/>
        <v>0</v>
      </c>
      <c r="I59" s="62">
        <f>H59*VLOOKUP($A59,'CONVERSION FACTORS'!$A$1:$E$41,5,FALSE)</f>
        <v>0</v>
      </c>
      <c r="J59" s="62">
        <f t="shared" si="1"/>
        <v>0</v>
      </c>
      <c r="K59" s="62">
        <f>J59*VLOOKUP($A59,'CONVERSION FACTORS'!$A$1:$E$41,5,FALSE)</f>
        <v>0</v>
      </c>
      <c r="L59" s="54" t="str">
        <f t="shared" si="2"/>
        <v/>
      </c>
      <c r="M59" s="3"/>
      <c r="N59" s="29">
        <f t="shared" si="3"/>
        <v>0</v>
      </c>
      <c r="O59" s="62">
        <f>N59*VLOOKUP($A59,'CONVERSION FACTORS'!$A$1:$E$41,5,FALSE)</f>
        <v>0</v>
      </c>
      <c r="P59" s="62">
        <f t="shared" si="4"/>
        <v>0</v>
      </c>
      <c r="Q59" s="62">
        <f>P59*VLOOKUP($A59,'CONVERSION FACTORS'!$A$1:$E$41,5,FALSE)</f>
        <v>0</v>
      </c>
      <c r="R59" s="54" t="str">
        <f t="shared" si="5"/>
        <v/>
      </c>
      <c r="S59" s="3"/>
      <c r="T59" s="29">
        <f t="shared" si="6"/>
        <v>0</v>
      </c>
      <c r="U59" s="62">
        <f>T59*VLOOKUP($A59,'CONVERSION FACTORS'!$A$1:$E$41,5,FALSE)</f>
        <v>0</v>
      </c>
      <c r="V59" s="62">
        <f t="shared" si="7"/>
        <v>0</v>
      </c>
      <c r="W59" s="62">
        <f>V59*VLOOKUP($A59,'CONVERSION FACTORS'!$A$1:$E$41,5,FALSE)</f>
        <v>0</v>
      </c>
      <c r="X59" s="54" t="str">
        <f t="shared" si="8"/>
        <v/>
      </c>
      <c r="Y59" s="3"/>
      <c r="Z59" s="29">
        <f t="shared" si="9"/>
        <v>0</v>
      </c>
      <c r="AA59" s="62">
        <f>Z59*VLOOKUP($A59,'CONVERSION FACTORS'!$A$1:$E$41,5,FALSE)</f>
        <v>0</v>
      </c>
      <c r="AB59" s="62">
        <f t="shared" si="10"/>
        <v>0</v>
      </c>
      <c r="AC59" s="62">
        <f>AB59*VLOOKUP($A59,'CONVERSION FACTORS'!$A$1:$E$41,5,FALSE)</f>
        <v>0</v>
      </c>
      <c r="AD59" s="54" t="str">
        <f t="shared" si="11"/>
        <v/>
      </c>
      <c r="AE59" s="3"/>
      <c r="AF59" s="3"/>
      <c r="AG59" s="3"/>
      <c r="AH59" s="3"/>
      <c r="AI59" s="16"/>
    </row>
    <row r="60" spans="1:35" x14ac:dyDescent="0.2">
      <c r="A60" s="67" t="s">
        <v>80</v>
      </c>
      <c r="B60" s="67" t="s">
        <v>0</v>
      </c>
      <c r="C60" s="67" t="str">
        <f>A60</f>
        <v>CONTINENTAL POWER</v>
      </c>
      <c r="D60" s="67" t="s">
        <v>1</v>
      </c>
      <c r="E60" s="25"/>
      <c r="F60" s="25" t="s">
        <v>80</v>
      </c>
      <c r="G60" s="25" t="str">
        <f>VLOOKUP(A60,'CONVERSION FACTORS'!$A$1:$D$40,4,FALSE)</f>
        <v>MWH</v>
      </c>
      <c r="H60" s="29">
        <f t="shared" si="0"/>
        <v>11220</v>
      </c>
      <c r="I60" s="62">
        <f>H60*VLOOKUP($A60,'CONVERSION FACTORS'!$A$1:$E$41,5,FALSE)</f>
        <v>112200</v>
      </c>
      <c r="J60" s="62">
        <f t="shared" si="1"/>
        <v>64939.9</v>
      </c>
      <c r="K60" s="62">
        <f>J60*VLOOKUP($A60,'CONVERSION FACTORS'!$A$1:$E$41,5,FALSE)</f>
        <v>649399</v>
      </c>
      <c r="L60" s="54">
        <f t="shared" si="2"/>
        <v>0.14732162200843227</v>
      </c>
      <c r="M60" s="54"/>
      <c r="N60" s="29">
        <f t="shared" si="3"/>
        <v>97520</v>
      </c>
      <c r="O60" s="62">
        <f>N60*VLOOKUP($A60,'CONVERSION FACTORS'!$A$1:$E$41,5,FALSE)</f>
        <v>975200</v>
      </c>
      <c r="P60" s="62">
        <f t="shared" si="4"/>
        <v>4168454.8</v>
      </c>
      <c r="Q60" s="62">
        <f>P60*VLOOKUP($A60,'CONVERSION FACTORS'!$A$1:$E$41,5,FALSE)</f>
        <v>41684548</v>
      </c>
      <c r="R60" s="54">
        <f t="shared" si="5"/>
        <v>2.2859956884883615E-2</v>
      </c>
      <c r="S60" s="54"/>
      <c r="T60" s="29">
        <f t="shared" si="6"/>
        <v>97520</v>
      </c>
      <c r="U60" s="62">
        <f>T60*VLOOKUP($A60,'CONVERSION FACTORS'!$A$1:$E$41,5,FALSE)</f>
        <v>975200</v>
      </c>
      <c r="V60" s="62">
        <f t="shared" si="7"/>
        <v>4168454.8</v>
      </c>
      <c r="W60" s="62">
        <f>V60*VLOOKUP($A60,'CONVERSION FACTORS'!$A$1:$E$41,5,FALSE)</f>
        <v>41684548</v>
      </c>
      <c r="X60" s="54">
        <f t="shared" si="8"/>
        <v>2.2859956884883615E-2</v>
      </c>
      <c r="Y60" s="54"/>
      <c r="Z60" s="29">
        <f t="shared" si="9"/>
        <v>97520</v>
      </c>
      <c r="AA60" s="62">
        <f>Z60*VLOOKUP($A60,'CONVERSION FACTORS'!$A$1:$E$41,5,FALSE)</f>
        <v>975200</v>
      </c>
      <c r="AB60" s="62">
        <f t="shared" si="10"/>
        <v>4168454.8</v>
      </c>
      <c r="AC60" s="62">
        <f>AB60*VLOOKUP($A60,'CONVERSION FACTORS'!$A$1:$E$41,5,FALSE)</f>
        <v>41684548</v>
      </c>
      <c r="AD60" s="54">
        <f t="shared" si="11"/>
        <v>2.2859956884883615E-2</v>
      </c>
      <c r="AE60" s="54"/>
      <c r="AF60" s="54"/>
      <c r="AG60" s="54"/>
      <c r="AH60" s="54"/>
      <c r="AI60" s="16"/>
    </row>
    <row r="61" spans="1:35" hidden="1" x14ac:dyDescent="0.2">
      <c r="A61" s="16" t="s">
        <v>79</v>
      </c>
      <c r="B61" s="16" t="s">
        <v>18</v>
      </c>
      <c r="C61" s="16" t="s">
        <v>79</v>
      </c>
      <c r="D61" s="16" t="s">
        <v>18</v>
      </c>
      <c r="G61" s="25" t="str">
        <f>VLOOKUP(A61,'CONVERSION FACTORS'!$A$1:$D$40,4,FALSE)</f>
        <v>UNIT TO</v>
      </c>
      <c r="H61" s="29">
        <f t="shared" si="0"/>
        <v>0</v>
      </c>
      <c r="I61" s="62">
        <f>H61*VLOOKUP($A61,'CONVERSION FACTORS'!$A$1:$E$41,5,FALSE)</f>
        <v>0</v>
      </c>
      <c r="J61" s="62">
        <f t="shared" si="1"/>
        <v>0</v>
      </c>
      <c r="K61" s="62">
        <f>J61*VLOOKUP($A61,'CONVERSION FACTORS'!$A$1:$E$41,5,FALSE)</f>
        <v>0</v>
      </c>
      <c r="L61" s="54" t="str">
        <f t="shared" si="2"/>
        <v/>
      </c>
      <c r="M61" s="3"/>
      <c r="N61" s="29">
        <f t="shared" si="3"/>
        <v>0</v>
      </c>
      <c r="O61" s="62">
        <f>N61*VLOOKUP($A61,'CONVERSION FACTORS'!$A$1:$E$41,5,FALSE)</f>
        <v>0</v>
      </c>
      <c r="P61" s="62">
        <f t="shared" si="4"/>
        <v>0</v>
      </c>
      <c r="Q61" s="62">
        <f>P61*VLOOKUP($A61,'CONVERSION FACTORS'!$A$1:$E$41,5,FALSE)</f>
        <v>0</v>
      </c>
      <c r="R61" s="54" t="str">
        <f t="shared" si="5"/>
        <v/>
      </c>
      <c r="S61" s="3"/>
      <c r="T61" s="29">
        <f t="shared" si="6"/>
        <v>0</v>
      </c>
      <c r="U61" s="62">
        <f>T61*VLOOKUP($A61,'CONVERSION FACTORS'!$A$1:$E$41,5,FALSE)</f>
        <v>0</v>
      </c>
      <c r="V61" s="62">
        <f t="shared" si="7"/>
        <v>0</v>
      </c>
      <c r="W61" s="62">
        <f>V61*VLOOKUP($A61,'CONVERSION FACTORS'!$A$1:$E$41,5,FALSE)</f>
        <v>0</v>
      </c>
      <c r="X61" s="54" t="str">
        <f t="shared" si="8"/>
        <v/>
      </c>
      <c r="Y61" s="3"/>
      <c r="Z61" s="29">
        <f t="shared" si="9"/>
        <v>0</v>
      </c>
      <c r="AA61" s="62">
        <f>Z61*VLOOKUP($A61,'CONVERSION FACTORS'!$A$1:$E$41,5,FALSE)</f>
        <v>0</v>
      </c>
      <c r="AB61" s="62">
        <f t="shared" si="10"/>
        <v>0</v>
      </c>
      <c r="AC61" s="62">
        <f>AB61*VLOOKUP($A61,'CONVERSION FACTORS'!$A$1:$E$41,5,FALSE)</f>
        <v>0</v>
      </c>
      <c r="AD61" s="54" t="str">
        <f t="shared" si="11"/>
        <v/>
      </c>
      <c r="AE61" s="3"/>
      <c r="AF61" s="3"/>
      <c r="AG61" s="3"/>
      <c r="AH61" s="3"/>
      <c r="AI61" s="16"/>
    </row>
    <row r="62" spans="1:35" x14ac:dyDescent="0.2">
      <c r="A62" s="67" t="s">
        <v>104</v>
      </c>
      <c r="B62" s="67" t="s">
        <v>0</v>
      </c>
      <c r="C62" s="67" t="s">
        <v>104</v>
      </c>
      <c r="D62" s="67" t="s">
        <v>1</v>
      </c>
      <c r="F62" s="25" t="s">
        <v>104</v>
      </c>
      <c r="G62" s="25" t="str">
        <f>VLOOKUP(A62,'CONVERSION FACTORS'!$A$1:$D$40,4,FALSE)</f>
        <v>MWH</v>
      </c>
      <c r="H62" s="29">
        <f t="shared" si="0"/>
        <v>0</v>
      </c>
      <c r="I62" s="62">
        <f>H62*VLOOKUP($A62,'CONVERSION FACTORS'!$A$1:$E$41,5,FALSE)</f>
        <v>0</v>
      </c>
      <c r="J62" s="62">
        <f t="shared" si="1"/>
        <v>487413</v>
      </c>
      <c r="K62" s="62">
        <f>J62*VLOOKUP($A62,'CONVERSION FACTORS'!$A$1:$E$41,5,FALSE)</f>
        <v>4874130</v>
      </c>
      <c r="L62" s="54">
        <f t="shared" si="2"/>
        <v>0</v>
      </c>
      <c r="M62" s="54"/>
      <c r="N62" s="29">
        <f t="shared" si="3"/>
        <v>439845</v>
      </c>
      <c r="O62" s="62">
        <f>N62*VLOOKUP($A62,'CONVERSION FACTORS'!$A$1:$E$41,5,FALSE)</f>
        <v>4398450</v>
      </c>
      <c r="P62" s="62">
        <f t="shared" si="4"/>
        <v>14845604.630000001</v>
      </c>
      <c r="Q62" s="62">
        <f>P62*VLOOKUP($A62,'CONVERSION FACTORS'!$A$1:$E$41,5,FALSE)</f>
        <v>148456046.30000001</v>
      </c>
      <c r="R62" s="54">
        <f t="shared" si="5"/>
        <v>2.8775404757262608E-2</v>
      </c>
      <c r="S62" s="54"/>
      <c r="T62" s="29">
        <f t="shared" si="6"/>
        <v>439845</v>
      </c>
      <c r="U62" s="62">
        <f>T62*VLOOKUP($A62,'CONVERSION FACTORS'!$A$1:$E$41,5,FALSE)</f>
        <v>4398450</v>
      </c>
      <c r="V62" s="62">
        <f t="shared" si="7"/>
        <v>14845604.630000001</v>
      </c>
      <c r="W62" s="62">
        <f>V62*VLOOKUP($A62,'CONVERSION FACTORS'!$A$1:$E$41,5,FALSE)</f>
        <v>148456046.30000001</v>
      </c>
      <c r="X62" s="54">
        <f t="shared" si="8"/>
        <v>2.8775404757262608E-2</v>
      </c>
      <c r="Y62" s="54"/>
      <c r="Z62" s="29">
        <f t="shared" si="9"/>
        <v>502125</v>
      </c>
      <c r="AA62" s="62">
        <f>Z62*VLOOKUP($A62,'CONVERSION FACTORS'!$A$1:$E$41,5,FALSE)</f>
        <v>5021250</v>
      </c>
      <c r="AB62" s="62">
        <f t="shared" si="10"/>
        <v>23094475.350000001</v>
      </c>
      <c r="AC62" s="62">
        <f>AB62*VLOOKUP($A62,'CONVERSION FACTORS'!$A$1:$E$41,5,FALSE)</f>
        <v>230944753.5</v>
      </c>
      <c r="AD62" s="54">
        <f t="shared" si="11"/>
        <v>2.1279548432916521E-2</v>
      </c>
      <c r="AE62" s="54"/>
      <c r="AF62" s="54"/>
      <c r="AG62" s="54"/>
      <c r="AH62" s="54"/>
      <c r="AI62" s="16"/>
    </row>
    <row r="63" spans="1:35" hidden="1" x14ac:dyDescent="0.2">
      <c r="A63" s="16" t="s">
        <v>79</v>
      </c>
      <c r="B63" s="16" t="s">
        <v>18</v>
      </c>
      <c r="C63" s="16" t="s">
        <v>79</v>
      </c>
      <c r="D63" s="16" t="s">
        <v>18</v>
      </c>
      <c r="G63" s="25" t="str">
        <f>VLOOKUP(A63,'CONVERSION FACTORS'!$A$1:$D$40,4,FALSE)</f>
        <v>UNIT TO</v>
      </c>
      <c r="H63" s="29">
        <f t="shared" si="0"/>
        <v>0</v>
      </c>
      <c r="I63" s="62">
        <f>H63*VLOOKUP($A63,'CONVERSION FACTORS'!$A$1:$E$41,5,FALSE)</f>
        <v>0</v>
      </c>
      <c r="J63" s="62">
        <f t="shared" si="1"/>
        <v>0</v>
      </c>
      <c r="K63" s="62">
        <f>J63*VLOOKUP($A63,'CONVERSION FACTORS'!$A$1:$E$41,5,FALSE)</f>
        <v>0</v>
      </c>
      <c r="L63" s="54" t="str">
        <f t="shared" si="2"/>
        <v/>
      </c>
      <c r="M63" s="3"/>
      <c r="N63" s="29">
        <f t="shared" si="3"/>
        <v>0</v>
      </c>
      <c r="O63" s="62">
        <f>N63*VLOOKUP($A63,'CONVERSION FACTORS'!$A$1:$E$41,5,FALSE)</f>
        <v>0</v>
      </c>
      <c r="P63" s="62">
        <f t="shared" si="4"/>
        <v>0</v>
      </c>
      <c r="Q63" s="62">
        <f>P63*VLOOKUP($A63,'CONVERSION FACTORS'!$A$1:$E$41,5,FALSE)</f>
        <v>0</v>
      </c>
      <c r="R63" s="54" t="str">
        <f t="shared" si="5"/>
        <v/>
      </c>
      <c r="S63" s="3"/>
      <c r="T63" s="29">
        <f t="shared" si="6"/>
        <v>0</v>
      </c>
      <c r="U63" s="62">
        <f>T63*VLOOKUP($A63,'CONVERSION FACTORS'!$A$1:$E$41,5,FALSE)</f>
        <v>0</v>
      </c>
      <c r="V63" s="62">
        <f t="shared" si="7"/>
        <v>0</v>
      </c>
      <c r="W63" s="62">
        <f>V63*VLOOKUP($A63,'CONVERSION FACTORS'!$A$1:$E$41,5,FALSE)</f>
        <v>0</v>
      </c>
      <c r="X63" s="54" t="str">
        <f t="shared" si="8"/>
        <v/>
      </c>
      <c r="Y63" s="3"/>
      <c r="Z63" s="29">
        <f t="shared" si="9"/>
        <v>0</v>
      </c>
      <c r="AA63" s="62">
        <f>Z63*VLOOKUP($A63,'CONVERSION FACTORS'!$A$1:$E$41,5,FALSE)</f>
        <v>0</v>
      </c>
      <c r="AB63" s="62">
        <f t="shared" si="10"/>
        <v>0</v>
      </c>
      <c r="AC63" s="62">
        <f>AB63*VLOOKUP($A63,'CONVERSION FACTORS'!$A$1:$E$41,5,FALSE)</f>
        <v>0</v>
      </c>
      <c r="AD63" s="54" t="str">
        <f t="shared" si="11"/>
        <v/>
      </c>
      <c r="AE63" s="3"/>
      <c r="AF63" s="3"/>
      <c r="AG63" s="3"/>
      <c r="AH63" s="3"/>
      <c r="AI63" s="16"/>
    </row>
    <row r="64" spans="1:35" x14ac:dyDescent="0.2">
      <c r="A64" s="67" t="s">
        <v>88</v>
      </c>
      <c r="B64" s="67" t="s">
        <v>0</v>
      </c>
      <c r="C64" s="67" t="str">
        <f>A64</f>
        <v>UK POWER</v>
      </c>
      <c r="D64" s="67" t="s">
        <v>1</v>
      </c>
      <c r="E64" s="25"/>
      <c r="F64" s="25" t="s">
        <v>88</v>
      </c>
      <c r="G64" s="25" t="str">
        <f>VLOOKUP(A64,'CONVERSION FACTORS'!$A$1:$D$40,4,FALSE)</f>
        <v>MWH</v>
      </c>
      <c r="H64" s="29">
        <f t="shared" si="0"/>
        <v>43660</v>
      </c>
      <c r="I64" s="62">
        <f>H64*VLOOKUP($A64,'CONVERSION FACTORS'!$A$1:$E$41,5,FALSE)</f>
        <v>436600</v>
      </c>
      <c r="J64" s="62">
        <f t="shared" si="1"/>
        <v>308940</v>
      </c>
      <c r="K64" s="62">
        <f>J64*VLOOKUP($A64,'CONVERSION FACTORS'!$A$1:$E$41,5,FALSE)</f>
        <v>3089400</v>
      </c>
      <c r="L64" s="54">
        <f t="shared" si="2"/>
        <v>0.12382302892796369</v>
      </c>
      <c r="M64" s="54"/>
      <c r="N64" s="29">
        <f t="shared" si="3"/>
        <v>2164300</v>
      </c>
      <c r="O64" s="62">
        <f>N64*VLOOKUP($A64,'CONVERSION FACTORS'!$A$1:$E$41,5,FALSE)</f>
        <v>21643000</v>
      </c>
      <c r="P64" s="62">
        <f t="shared" si="4"/>
        <v>14421742.699999999</v>
      </c>
      <c r="Q64" s="62">
        <f>P64*VLOOKUP($A64,'CONVERSION FACTORS'!$A$1:$E$41,5,FALSE)</f>
        <v>144217427</v>
      </c>
      <c r="R64" s="54">
        <f t="shared" si="5"/>
        <v>0.13048923357709674</v>
      </c>
      <c r="S64" s="54"/>
      <c r="T64" s="29">
        <f t="shared" si="6"/>
        <v>2164300</v>
      </c>
      <c r="U64" s="62">
        <f>T64*VLOOKUP($A64,'CONVERSION FACTORS'!$A$1:$E$41,5,FALSE)</f>
        <v>21643000</v>
      </c>
      <c r="V64" s="62">
        <f t="shared" si="7"/>
        <v>14421742.6992824</v>
      </c>
      <c r="W64" s="62">
        <f>V64*VLOOKUP($A64,'CONVERSION FACTORS'!$A$1:$E$41,5,FALSE)</f>
        <v>144217426.99282402</v>
      </c>
      <c r="X64" s="54">
        <f t="shared" si="8"/>
        <v>0.13048923358274236</v>
      </c>
      <c r="Y64" s="54"/>
      <c r="Z64" s="29">
        <f t="shared" si="9"/>
        <v>2164300</v>
      </c>
      <c r="AA64" s="62">
        <f>Z64*VLOOKUP($A64,'CONVERSION FACTORS'!$A$1:$E$41,5,FALSE)</f>
        <v>21643000</v>
      </c>
      <c r="AB64" s="62">
        <f t="shared" si="10"/>
        <v>14421742.699999999</v>
      </c>
      <c r="AC64" s="62">
        <f>AB64*VLOOKUP($A64,'CONVERSION FACTORS'!$A$1:$E$41,5,FALSE)</f>
        <v>144217427</v>
      </c>
      <c r="AD64" s="54">
        <f t="shared" si="11"/>
        <v>0.13048923357709674</v>
      </c>
      <c r="AE64" s="54"/>
      <c r="AF64" s="54"/>
      <c r="AG64" s="54"/>
      <c r="AH64" s="54"/>
      <c r="AI64" s="16"/>
    </row>
    <row r="65" spans="1:35" hidden="1" x14ac:dyDescent="0.2">
      <c r="A65" s="16" t="s">
        <v>79</v>
      </c>
      <c r="B65" s="16" t="s">
        <v>18</v>
      </c>
      <c r="C65" s="16" t="s">
        <v>79</v>
      </c>
      <c r="D65" s="16" t="s">
        <v>18</v>
      </c>
      <c r="G65" s="25" t="str">
        <f>VLOOKUP(A65,'CONVERSION FACTORS'!$A$1:$D$40,4,FALSE)</f>
        <v>UNIT TO</v>
      </c>
      <c r="H65" s="29">
        <f t="shared" si="0"/>
        <v>0</v>
      </c>
      <c r="I65" s="62">
        <f>H65*VLOOKUP($A65,'CONVERSION FACTORS'!$A$1:$E$41,5,FALSE)</f>
        <v>0</v>
      </c>
      <c r="J65" s="62">
        <f t="shared" si="1"/>
        <v>0</v>
      </c>
      <c r="K65" s="62">
        <f>J65*VLOOKUP($A65,'CONVERSION FACTORS'!$A$1:$E$41,5,FALSE)</f>
        <v>0</v>
      </c>
      <c r="L65" s="54" t="str">
        <f t="shared" si="2"/>
        <v/>
      </c>
      <c r="M65" s="3"/>
      <c r="N65" s="29">
        <f t="shared" si="3"/>
        <v>0</v>
      </c>
      <c r="O65" s="62">
        <f>N65*VLOOKUP($A65,'CONVERSION FACTORS'!$A$1:$E$41,5,FALSE)</f>
        <v>0</v>
      </c>
      <c r="P65" s="62">
        <f t="shared" si="4"/>
        <v>0</v>
      </c>
      <c r="Q65" s="62">
        <f>P65*VLOOKUP($A65,'CONVERSION FACTORS'!$A$1:$E$41,5,FALSE)</f>
        <v>0</v>
      </c>
      <c r="R65" s="54" t="str">
        <f t="shared" si="5"/>
        <v/>
      </c>
      <c r="S65" s="3"/>
      <c r="T65" s="29">
        <f t="shared" si="6"/>
        <v>0</v>
      </c>
      <c r="U65" s="62">
        <f>T65*VLOOKUP($A65,'CONVERSION FACTORS'!$A$1:$E$41,5,FALSE)</f>
        <v>0</v>
      </c>
      <c r="V65" s="62">
        <f t="shared" si="7"/>
        <v>0</v>
      </c>
      <c r="W65" s="62">
        <f>V65*VLOOKUP($A65,'CONVERSION FACTORS'!$A$1:$E$41,5,FALSE)</f>
        <v>0</v>
      </c>
      <c r="X65" s="54" t="str">
        <f t="shared" si="8"/>
        <v/>
      </c>
      <c r="Y65" s="3"/>
      <c r="Z65" s="29">
        <f t="shared" si="9"/>
        <v>0</v>
      </c>
      <c r="AA65" s="62">
        <f>Z65*VLOOKUP($A65,'CONVERSION FACTORS'!$A$1:$E$41,5,FALSE)</f>
        <v>0</v>
      </c>
      <c r="AB65" s="62">
        <f t="shared" si="10"/>
        <v>0</v>
      </c>
      <c r="AC65" s="62">
        <f>AB65*VLOOKUP($A65,'CONVERSION FACTORS'!$A$1:$E$41,5,FALSE)</f>
        <v>0</v>
      </c>
      <c r="AD65" s="54" t="str">
        <f t="shared" si="11"/>
        <v/>
      </c>
      <c r="AE65" s="3"/>
      <c r="AF65" s="3"/>
      <c r="AG65" s="3"/>
      <c r="AH65" s="3"/>
      <c r="AI65" s="16"/>
    </row>
    <row r="66" spans="1:35" x14ac:dyDescent="0.2">
      <c r="A66" s="67" t="s">
        <v>102</v>
      </c>
      <c r="B66" s="67" t="s">
        <v>0</v>
      </c>
      <c r="C66" s="67" t="s">
        <v>102</v>
      </c>
      <c r="D66" s="67" t="s">
        <v>1</v>
      </c>
      <c r="E66" s="25"/>
      <c r="F66" s="25" t="s">
        <v>102</v>
      </c>
      <c r="G66" s="25" t="str">
        <f>VLOOKUP(A66,'CONVERSION FACTORS'!$A$1:$D$40,4,FALSE)</f>
        <v>BBL</v>
      </c>
      <c r="H66" s="29">
        <f t="shared" si="0"/>
        <v>602000</v>
      </c>
      <c r="I66" s="62">
        <f>H66*VLOOKUP($A66,'CONVERSION FACTORS'!$A$1:$E$41,5,FALSE)</f>
        <v>3507252</v>
      </c>
      <c r="J66" s="62">
        <f t="shared" si="1"/>
        <v>6966071.9900000002</v>
      </c>
      <c r="K66" s="62">
        <f>J66*VLOOKUP($A66,'CONVERSION FACTORS'!$A$1:$E$41,5,FALSE)</f>
        <v>40584335.413740002</v>
      </c>
      <c r="L66" s="54">
        <f t="shared" si="2"/>
        <v>7.9544697882822327E-2</v>
      </c>
      <c r="M66" s="54"/>
      <c r="N66" s="29">
        <f t="shared" si="3"/>
        <v>12482999.960000001</v>
      </c>
      <c r="O66" s="62">
        <f>N66*VLOOKUP($A66,'CONVERSION FACTORS'!$A$1:$E$41,5,FALSE)</f>
        <v>72725957.766959995</v>
      </c>
      <c r="P66" s="62">
        <f t="shared" si="4"/>
        <v>95843672.230000019</v>
      </c>
      <c r="Q66" s="62">
        <f>P66*VLOOKUP($A66,'CONVERSION FACTORS'!$A$1:$E$41,5,FALSE)</f>
        <v>558385234.41198003</v>
      </c>
      <c r="R66" s="54">
        <f t="shared" si="5"/>
        <v>0.11523477743417974</v>
      </c>
      <c r="S66" s="54"/>
      <c r="T66" s="29">
        <f t="shared" si="6"/>
        <v>12482999.9619</v>
      </c>
      <c r="U66" s="62">
        <f>T66*VLOOKUP($A66,'CONVERSION FACTORS'!$A$1:$E$41,5,FALSE)</f>
        <v>72725957.778029397</v>
      </c>
      <c r="V66" s="62">
        <f t="shared" si="7"/>
        <v>95843672.226899996</v>
      </c>
      <c r="W66" s="62">
        <f>V66*VLOOKUP($A66,'CONVERSION FACTORS'!$A$1:$E$41,5,FALSE)</f>
        <v>558385234.39391935</v>
      </c>
      <c r="X66" s="54">
        <f t="shared" si="8"/>
        <v>0.11523477745299583</v>
      </c>
      <c r="Y66" s="54"/>
      <c r="Z66" s="29">
        <f t="shared" si="9"/>
        <v>12482999.960000001</v>
      </c>
      <c r="AA66" s="62">
        <f>Z66*VLOOKUP($A66,'CONVERSION FACTORS'!$A$1:$E$41,5,FALSE)</f>
        <v>72725957.766959995</v>
      </c>
      <c r="AB66" s="62">
        <f t="shared" si="10"/>
        <v>95843672.230000019</v>
      </c>
      <c r="AC66" s="62">
        <f>AB66*VLOOKUP($A66,'CONVERSION FACTORS'!$A$1:$E$41,5,FALSE)</f>
        <v>558385234.41198003</v>
      </c>
      <c r="AD66" s="54">
        <f t="shared" si="11"/>
        <v>0.11523477743417974</v>
      </c>
      <c r="AE66" s="54"/>
      <c r="AF66" s="54"/>
      <c r="AG66" s="54"/>
      <c r="AH66" s="54"/>
      <c r="AI66" s="16"/>
    </row>
    <row r="67" spans="1:35" hidden="1" x14ac:dyDescent="0.2">
      <c r="A67" s="16" t="s">
        <v>79</v>
      </c>
      <c r="B67" s="16" t="s">
        <v>18</v>
      </c>
      <c r="C67" s="16" t="s">
        <v>79</v>
      </c>
      <c r="D67" s="16" t="s">
        <v>18</v>
      </c>
      <c r="G67" s="25" t="str">
        <f>VLOOKUP(A67,'CONVERSION FACTORS'!$A$1:$D$40,4,FALSE)</f>
        <v>UNIT TO</v>
      </c>
      <c r="H67" s="29">
        <f t="shared" si="0"/>
        <v>0</v>
      </c>
      <c r="I67" s="62">
        <f>H67*VLOOKUP($A67,'CONVERSION FACTORS'!$A$1:$E$41,5,FALSE)</f>
        <v>0</v>
      </c>
      <c r="J67" s="62">
        <f t="shared" si="1"/>
        <v>0</v>
      </c>
      <c r="K67" s="62">
        <f>J67*VLOOKUP($A67,'CONVERSION FACTORS'!$A$1:$E$41,5,FALSE)</f>
        <v>0</v>
      </c>
      <c r="L67" s="54" t="str">
        <f t="shared" si="2"/>
        <v/>
      </c>
      <c r="M67" s="3"/>
      <c r="N67" s="29">
        <f t="shared" si="3"/>
        <v>0</v>
      </c>
      <c r="O67" s="62">
        <f>N67*VLOOKUP($A67,'CONVERSION FACTORS'!$A$1:$E$41,5,FALSE)</f>
        <v>0</v>
      </c>
      <c r="P67" s="62">
        <f t="shared" si="4"/>
        <v>0</v>
      </c>
      <c r="Q67" s="62">
        <f>P67*VLOOKUP($A67,'CONVERSION FACTORS'!$A$1:$E$41,5,FALSE)</f>
        <v>0</v>
      </c>
      <c r="R67" s="54" t="str">
        <f t="shared" si="5"/>
        <v/>
      </c>
      <c r="S67" s="3"/>
      <c r="T67" s="29">
        <f t="shared" si="6"/>
        <v>0</v>
      </c>
      <c r="U67" s="62">
        <f>T67*VLOOKUP($A67,'CONVERSION FACTORS'!$A$1:$E$41,5,FALSE)</f>
        <v>0</v>
      </c>
      <c r="V67" s="62">
        <f t="shared" si="7"/>
        <v>0</v>
      </c>
      <c r="W67" s="62">
        <f>V67*VLOOKUP($A67,'CONVERSION FACTORS'!$A$1:$E$41,5,FALSE)</f>
        <v>0</v>
      </c>
      <c r="X67" s="54" t="str">
        <f t="shared" si="8"/>
        <v/>
      </c>
      <c r="Y67" s="3"/>
      <c r="Z67" s="29">
        <f t="shared" si="9"/>
        <v>0</v>
      </c>
      <c r="AA67" s="62">
        <f>Z67*VLOOKUP($A67,'CONVERSION FACTORS'!$A$1:$E$41,5,FALSE)</f>
        <v>0</v>
      </c>
      <c r="AB67" s="62">
        <f t="shared" si="10"/>
        <v>0</v>
      </c>
      <c r="AC67" s="62">
        <f>AB67*VLOOKUP($A67,'CONVERSION FACTORS'!$A$1:$E$41,5,FALSE)</f>
        <v>0</v>
      </c>
      <c r="AD67" s="54" t="str">
        <f t="shared" si="11"/>
        <v/>
      </c>
      <c r="AE67" s="3"/>
      <c r="AF67" s="3"/>
      <c r="AG67" s="3"/>
      <c r="AH67" s="3"/>
      <c r="AI67" s="16"/>
    </row>
    <row r="68" spans="1:35" x14ac:dyDescent="0.2">
      <c r="A68" s="67" t="s">
        <v>101</v>
      </c>
      <c r="B68" s="67" t="s">
        <v>0</v>
      </c>
      <c r="C68" s="67" t="s">
        <v>101</v>
      </c>
      <c r="D68" s="67" t="s">
        <v>1</v>
      </c>
      <c r="E68" s="25"/>
      <c r="F68" s="25" t="s">
        <v>101</v>
      </c>
      <c r="G68" s="25" t="str">
        <f>VLOOKUP(A68,'CONVERSION FACTORS'!$A$1:$D$40,4,FALSE)</f>
        <v>BBL</v>
      </c>
      <c r="H68" s="29">
        <f t="shared" si="0"/>
        <v>56000</v>
      </c>
      <c r="I68" s="62">
        <f>H68*VLOOKUP($A68,'CONVERSION FACTORS'!$A$1:$E$41,5,FALSE)</f>
        <v>226800</v>
      </c>
      <c r="J68" s="62">
        <f t="shared" si="1"/>
        <v>189383</v>
      </c>
      <c r="K68" s="62">
        <f>J68*VLOOKUP($A68,'CONVERSION FACTORS'!$A$1:$E$41,5,FALSE)</f>
        <v>767001.15</v>
      </c>
      <c r="L68" s="54">
        <f t="shared" si="2"/>
        <v>0.22821466849781769</v>
      </c>
      <c r="M68" s="54"/>
      <c r="N68" s="29">
        <f t="shared" si="3"/>
        <v>216000</v>
      </c>
      <c r="O68" s="62">
        <f>N68*VLOOKUP($A68,'CONVERSION FACTORS'!$A$1:$E$41,5,FALSE)</f>
        <v>874800</v>
      </c>
      <c r="P68" s="62">
        <f t="shared" si="4"/>
        <v>5858352.3700000001</v>
      </c>
      <c r="Q68" s="62">
        <f>P68*VLOOKUP($A68,'CONVERSION FACTORS'!$A$1:$E$41,5,FALSE)</f>
        <v>23726327.098499998</v>
      </c>
      <c r="R68" s="54">
        <f t="shared" si="5"/>
        <v>3.5559346386749048E-2</v>
      </c>
      <c r="S68" s="54"/>
      <c r="T68" s="29">
        <f t="shared" si="6"/>
        <v>216000</v>
      </c>
      <c r="U68" s="62">
        <f>T68*VLOOKUP($A68,'CONVERSION FACTORS'!$A$1:$E$41,5,FALSE)</f>
        <v>874800</v>
      </c>
      <c r="V68" s="62">
        <f t="shared" si="7"/>
        <v>5858352.3733999999</v>
      </c>
      <c r="W68" s="62">
        <f>V68*VLOOKUP($A68,'CONVERSION FACTORS'!$A$1:$E$41,5,FALSE)</f>
        <v>23726327.112269998</v>
      </c>
      <c r="X68" s="54">
        <f t="shared" si="8"/>
        <v>3.55593463668454E-2</v>
      </c>
      <c r="Y68" s="54"/>
      <c r="Z68" s="29">
        <f t="shared" si="9"/>
        <v>216000</v>
      </c>
      <c r="AA68" s="62">
        <f>Z68*VLOOKUP($A68,'CONVERSION FACTORS'!$A$1:$E$41,5,FALSE)</f>
        <v>874800</v>
      </c>
      <c r="AB68" s="62">
        <f t="shared" si="10"/>
        <v>5858352.3700000001</v>
      </c>
      <c r="AC68" s="62">
        <f>AB68*VLOOKUP($A68,'CONVERSION FACTORS'!$A$1:$E$41,5,FALSE)</f>
        <v>23726327.098499998</v>
      </c>
      <c r="AD68" s="54">
        <f t="shared" si="11"/>
        <v>3.5559346386749048E-2</v>
      </c>
      <c r="AE68" s="54"/>
      <c r="AF68" s="54"/>
      <c r="AG68" s="54"/>
      <c r="AH68" s="54"/>
      <c r="AI68" s="16"/>
    </row>
    <row r="69" spans="1:35" hidden="1" x14ac:dyDescent="0.2">
      <c r="A69" s="16" t="s">
        <v>79</v>
      </c>
      <c r="B69" s="16" t="s">
        <v>18</v>
      </c>
      <c r="C69" s="16" t="s">
        <v>79</v>
      </c>
      <c r="D69" s="16" t="s">
        <v>18</v>
      </c>
      <c r="G69" s="25" t="str">
        <f>VLOOKUP(A69,'CONVERSION FACTORS'!$A$1:$D$40,4,FALSE)</f>
        <v>UNIT TO</v>
      </c>
      <c r="H69" s="29">
        <f t="shared" si="0"/>
        <v>0</v>
      </c>
      <c r="I69" s="62">
        <f>H69*VLOOKUP($A69,'CONVERSION FACTORS'!$A$1:$E$41,5,FALSE)</f>
        <v>0</v>
      </c>
      <c r="J69" s="62">
        <f t="shared" si="1"/>
        <v>0</v>
      </c>
      <c r="K69" s="62">
        <f>J69*VLOOKUP($A69,'CONVERSION FACTORS'!$A$1:$E$41,5,FALSE)</f>
        <v>0</v>
      </c>
      <c r="L69" s="54" t="str">
        <f t="shared" si="2"/>
        <v/>
      </c>
      <c r="M69" s="3"/>
      <c r="N69" s="29">
        <f t="shared" si="3"/>
        <v>0</v>
      </c>
      <c r="O69" s="62">
        <f>N69*VLOOKUP($A69,'CONVERSION FACTORS'!$A$1:$E$41,5,FALSE)</f>
        <v>0</v>
      </c>
      <c r="P69" s="62">
        <f t="shared" si="4"/>
        <v>0</v>
      </c>
      <c r="Q69" s="62">
        <f>P69*VLOOKUP($A69,'CONVERSION FACTORS'!$A$1:$E$41,5,FALSE)</f>
        <v>0</v>
      </c>
      <c r="R69" s="54" t="str">
        <f t="shared" si="5"/>
        <v/>
      </c>
      <c r="S69" s="3"/>
      <c r="T69" s="29">
        <f t="shared" si="6"/>
        <v>0</v>
      </c>
      <c r="U69" s="62">
        <f>T69*VLOOKUP($A69,'CONVERSION FACTORS'!$A$1:$E$41,5,FALSE)</f>
        <v>0</v>
      </c>
      <c r="V69" s="62">
        <f t="shared" si="7"/>
        <v>0</v>
      </c>
      <c r="W69" s="62">
        <f>V69*VLOOKUP($A69,'CONVERSION FACTORS'!$A$1:$E$41,5,FALSE)</f>
        <v>0</v>
      </c>
      <c r="X69" s="54" t="str">
        <f t="shared" si="8"/>
        <v/>
      </c>
      <c r="Y69" s="3"/>
      <c r="Z69" s="29">
        <f t="shared" si="9"/>
        <v>0</v>
      </c>
      <c r="AA69" s="62">
        <f>Z69*VLOOKUP($A69,'CONVERSION FACTORS'!$A$1:$E$41,5,FALSE)</f>
        <v>0</v>
      </c>
      <c r="AB69" s="62">
        <f t="shared" si="10"/>
        <v>0</v>
      </c>
      <c r="AC69" s="62">
        <f>AB69*VLOOKUP($A69,'CONVERSION FACTORS'!$A$1:$E$41,5,FALSE)</f>
        <v>0</v>
      </c>
      <c r="AD69" s="54" t="str">
        <f t="shared" si="11"/>
        <v/>
      </c>
      <c r="AE69" s="3"/>
      <c r="AF69" s="3"/>
      <c r="AG69" s="3"/>
      <c r="AH69" s="3"/>
      <c r="AI69" s="16"/>
    </row>
    <row r="70" spans="1:35" x14ac:dyDescent="0.2">
      <c r="A70" s="67" t="s">
        <v>85</v>
      </c>
      <c r="B70" s="67" t="s">
        <v>0</v>
      </c>
      <c r="C70" s="67" t="str">
        <f>A70</f>
        <v>PLASTICS</v>
      </c>
      <c r="D70" s="67" t="s">
        <v>1</v>
      </c>
      <c r="E70" s="25"/>
      <c r="F70" s="25" t="s">
        <v>85</v>
      </c>
      <c r="G70" s="25" t="str">
        <f>VLOOKUP(A70,'CONVERSION FACTORS'!$A$1:$D$40,4,FALSE)</f>
        <v>LB</v>
      </c>
      <c r="H70" s="29">
        <f t="shared" si="0"/>
        <v>0</v>
      </c>
      <c r="I70" s="62">
        <f>H70*VLOOKUP($A70,'CONVERSION FACTORS'!$A$1:$E$41,5,FALSE)</f>
        <v>0</v>
      </c>
      <c r="J70" s="62">
        <f t="shared" si="1"/>
        <v>0</v>
      </c>
      <c r="K70" s="62">
        <f>J70*VLOOKUP($A70,'CONVERSION FACTORS'!$A$1:$E$41,5,FALSE)</f>
        <v>0</v>
      </c>
      <c r="L70" s="54" t="str">
        <f t="shared" si="2"/>
        <v/>
      </c>
      <c r="M70" s="54"/>
      <c r="N70" s="29">
        <f t="shared" si="3"/>
        <v>0</v>
      </c>
      <c r="O70" s="62">
        <f>N70*VLOOKUP($A70,'CONVERSION FACTORS'!$A$1:$E$41,5,FALSE)</f>
        <v>0</v>
      </c>
      <c r="P70" s="62">
        <f t="shared" si="4"/>
        <v>0</v>
      </c>
      <c r="Q70" s="62">
        <f>P70*VLOOKUP($A70,'CONVERSION FACTORS'!$A$1:$E$41,5,FALSE)</f>
        <v>0</v>
      </c>
      <c r="R70" s="54" t="str">
        <f t="shared" si="5"/>
        <v/>
      </c>
      <c r="S70" s="54"/>
      <c r="T70" s="29">
        <f t="shared" si="6"/>
        <v>0</v>
      </c>
      <c r="U70" s="62">
        <f>T70*VLOOKUP($A70,'CONVERSION FACTORS'!$A$1:$E$41,5,FALSE)</f>
        <v>0</v>
      </c>
      <c r="V70" s="62">
        <f t="shared" si="7"/>
        <v>0</v>
      </c>
      <c r="W70" s="62">
        <f>V70*VLOOKUP($A70,'CONVERSION FACTORS'!$A$1:$E$41,5,FALSE)</f>
        <v>0</v>
      </c>
      <c r="X70" s="54" t="str">
        <f t="shared" si="8"/>
        <v/>
      </c>
      <c r="Y70" s="54"/>
      <c r="Z70" s="29">
        <f t="shared" si="9"/>
        <v>0</v>
      </c>
      <c r="AA70" s="62">
        <f>Z70*VLOOKUP($A70,'CONVERSION FACTORS'!$A$1:$E$41,5,FALSE)</f>
        <v>0</v>
      </c>
      <c r="AB70" s="62">
        <f t="shared" si="10"/>
        <v>17118012</v>
      </c>
      <c r="AC70" s="62">
        <f>AB70*VLOOKUP($A70,'CONVERSION FACTORS'!$A$1:$E$41,5,FALSE)</f>
        <v>0</v>
      </c>
      <c r="AD70" s="54">
        <f t="shared" si="11"/>
        <v>0</v>
      </c>
      <c r="AE70" s="54"/>
      <c r="AF70" s="54"/>
      <c r="AG70" s="54"/>
      <c r="AH70" s="54"/>
      <c r="AI70" s="16"/>
    </row>
    <row r="71" spans="1:35" hidden="1" x14ac:dyDescent="0.2">
      <c r="A71" s="16" t="s">
        <v>79</v>
      </c>
      <c r="B71" s="16" t="s">
        <v>18</v>
      </c>
      <c r="C71" s="16" t="s">
        <v>79</v>
      </c>
      <c r="D71" s="16" t="s">
        <v>18</v>
      </c>
      <c r="G71" s="25" t="str">
        <f>VLOOKUP(A71,'CONVERSION FACTORS'!$A$1:$D$40,4,FALSE)</f>
        <v>UNIT TO</v>
      </c>
      <c r="H71" s="29">
        <f t="shared" si="0"/>
        <v>0</v>
      </c>
      <c r="I71" s="62">
        <f>H71*VLOOKUP($A71,'CONVERSION FACTORS'!$A$1:$E$41,5,FALSE)</f>
        <v>0</v>
      </c>
      <c r="J71" s="62">
        <f t="shared" si="1"/>
        <v>0</v>
      </c>
      <c r="K71" s="62">
        <f>J71*VLOOKUP($A71,'CONVERSION FACTORS'!$A$1:$E$41,5,FALSE)</f>
        <v>0</v>
      </c>
      <c r="L71" s="54" t="str">
        <f t="shared" si="2"/>
        <v/>
      </c>
      <c r="M71" s="3"/>
      <c r="N71" s="29">
        <f t="shared" si="3"/>
        <v>0</v>
      </c>
      <c r="O71" s="62">
        <f>N71*VLOOKUP($A71,'CONVERSION FACTORS'!$A$1:$E$41,5,FALSE)</f>
        <v>0</v>
      </c>
      <c r="P71" s="62">
        <f t="shared" si="4"/>
        <v>0</v>
      </c>
      <c r="Q71" s="62">
        <f>P71*VLOOKUP($A71,'CONVERSION FACTORS'!$A$1:$E$41,5,FALSE)</f>
        <v>0</v>
      </c>
      <c r="R71" s="54" t="str">
        <f t="shared" si="5"/>
        <v/>
      </c>
      <c r="S71" s="3"/>
      <c r="T71" s="29">
        <f t="shared" si="6"/>
        <v>0</v>
      </c>
      <c r="U71" s="62">
        <f>T71*VLOOKUP($A71,'CONVERSION FACTORS'!$A$1:$E$41,5,FALSE)</f>
        <v>0</v>
      </c>
      <c r="V71" s="62">
        <f t="shared" si="7"/>
        <v>0</v>
      </c>
      <c r="W71" s="62">
        <f>V71*VLOOKUP($A71,'CONVERSION FACTORS'!$A$1:$E$41,5,FALSE)</f>
        <v>0</v>
      </c>
      <c r="X71" s="54" t="str">
        <f t="shared" si="8"/>
        <v/>
      </c>
      <c r="Y71" s="3"/>
      <c r="Z71" s="29">
        <f t="shared" si="9"/>
        <v>0</v>
      </c>
      <c r="AA71" s="62">
        <f>Z71*VLOOKUP($A71,'CONVERSION FACTORS'!$A$1:$E$41,5,FALSE)</f>
        <v>0</v>
      </c>
      <c r="AB71" s="62">
        <f t="shared" si="10"/>
        <v>0</v>
      </c>
      <c r="AC71" s="62">
        <f>AB71*VLOOKUP($A71,'CONVERSION FACTORS'!$A$1:$E$41,5,FALSE)</f>
        <v>0</v>
      </c>
      <c r="AD71" s="54" t="str">
        <f t="shared" si="11"/>
        <v/>
      </c>
      <c r="AE71" s="3"/>
      <c r="AF71" s="3"/>
      <c r="AG71" s="3"/>
      <c r="AH71" s="3"/>
      <c r="AI71" s="16"/>
    </row>
    <row r="72" spans="1:35" x14ac:dyDescent="0.2">
      <c r="A72" s="67" t="s">
        <v>100</v>
      </c>
      <c r="B72" s="67" t="s">
        <v>0</v>
      </c>
      <c r="C72" s="67" t="s">
        <v>100</v>
      </c>
      <c r="D72" s="67" t="s">
        <v>1</v>
      </c>
      <c r="E72" s="25"/>
      <c r="F72" s="25" t="s">
        <v>100</v>
      </c>
      <c r="G72" s="25" t="str">
        <f>VLOOKUP(A72,'CONVERSION FACTORS'!$A$1:$D$40,4,FALSE)</f>
        <v>BBL</v>
      </c>
      <c r="H72" s="29">
        <f t="shared" si="0"/>
        <v>0</v>
      </c>
      <c r="I72" s="62">
        <f>H72*VLOOKUP($A72,'CONVERSION FACTORS'!$A$1:$E$41,5,FALSE)</f>
        <v>0</v>
      </c>
      <c r="J72" s="62">
        <f t="shared" si="1"/>
        <v>81200</v>
      </c>
      <c r="K72" s="62">
        <f>J72*VLOOKUP($A72,'CONVERSION FACTORS'!$A$1:$E$41,5,FALSE)</f>
        <v>365400</v>
      </c>
      <c r="L72" s="54">
        <f t="shared" si="2"/>
        <v>0</v>
      </c>
      <c r="M72" s="54"/>
      <c r="N72" s="29">
        <f t="shared" si="3"/>
        <v>64000</v>
      </c>
      <c r="O72" s="62">
        <f>N72*VLOOKUP($A72,'CONVERSION FACTORS'!$A$1:$E$41,5,FALSE)</f>
        <v>288000</v>
      </c>
      <c r="P72" s="62">
        <f t="shared" si="4"/>
        <v>1219986.2399999998</v>
      </c>
      <c r="Q72" s="62">
        <f>P72*VLOOKUP($A72,'CONVERSION FACTORS'!$A$1:$E$41,5,FALSE)</f>
        <v>5489938.0799999991</v>
      </c>
      <c r="R72" s="54">
        <f t="shared" si="5"/>
        <v>4.9844770922155689E-2</v>
      </c>
      <c r="S72" s="54"/>
      <c r="T72" s="29">
        <f t="shared" si="6"/>
        <v>64000</v>
      </c>
      <c r="U72" s="62">
        <f>T72*VLOOKUP($A72,'CONVERSION FACTORS'!$A$1:$E$41,5,FALSE)</f>
        <v>288000</v>
      </c>
      <c r="V72" s="62">
        <f t="shared" si="7"/>
        <v>1219986.2399999998</v>
      </c>
      <c r="W72" s="62">
        <f>V72*VLOOKUP($A72,'CONVERSION FACTORS'!$A$1:$E$41,5,FALSE)</f>
        <v>5489938.0799999991</v>
      </c>
      <c r="X72" s="54">
        <f t="shared" si="8"/>
        <v>4.9844770922155689E-2</v>
      </c>
      <c r="Y72" s="54"/>
      <c r="Z72" s="29">
        <f t="shared" si="9"/>
        <v>64000</v>
      </c>
      <c r="AA72" s="62">
        <f>Z72*VLOOKUP($A72,'CONVERSION FACTORS'!$A$1:$E$41,5,FALSE)</f>
        <v>288000</v>
      </c>
      <c r="AB72" s="62">
        <f t="shared" si="10"/>
        <v>1219986.2399999998</v>
      </c>
      <c r="AC72" s="62">
        <f>AB72*VLOOKUP($A72,'CONVERSION FACTORS'!$A$1:$E$41,5,FALSE)</f>
        <v>5489938.0799999991</v>
      </c>
      <c r="AD72" s="54">
        <f t="shared" si="11"/>
        <v>4.9844770922155689E-2</v>
      </c>
      <c r="AE72" s="54"/>
      <c r="AF72" s="54"/>
      <c r="AG72" s="54"/>
      <c r="AH72" s="54"/>
      <c r="AI72" s="16"/>
    </row>
    <row r="73" spans="1:35" hidden="1" x14ac:dyDescent="0.2">
      <c r="A73" s="16" t="s">
        <v>79</v>
      </c>
      <c r="B73" s="16" t="s">
        <v>18</v>
      </c>
      <c r="C73" s="16" t="s">
        <v>79</v>
      </c>
      <c r="D73" s="16" t="s">
        <v>18</v>
      </c>
      <c r="G73" s="25" t="str">
        <f>VLOOKUP(A73,'CONVERSION FACTORS'!$A$1:$D$40,4,FALSE)</f>
        <v>UNIT TO</v>
      </c>
      <c r="H73" s="29">
        <f t="shared" si="0"/>
        <v>0</v>
      </c>
      <c r="I73" s="62">
        <f>H73*VLOOKUP($A73,'CONVERSION FACTORS'!$A$1:$E$41,5,FALSE)</f>
        <v>0</v>
      </c>
      <c r="J73" s="62">
        <f t="shared" si="1"/>
        <v>0</v>
      </c>
      <c r="K73" s="62">
        <f>J73*VLOOKUP($A73,'CONVERSION FACTORS'!$A$1:$E$41,5,FALSE)</f>
        <v>0</v>
      </c>
      <c r="L73" s="54" t="str">
        <f t="shared" si="2"/>
        <v/>
      </c>
      <c r="M73" s="3"/>
      <c r="N73" s="29">
        <f t="shared" si="3"/>
        <v>0</v>
      </c>
      <c r="O73" s="62">
        <f>N73*VLOOKUP($A73,'CONVERSION FACTORS'!$A$1:$E$41,5,FALSE)</f>
        <v>0</v>
      </c>
      <c r="P73" s="62">
        <f t="shared" si="4"/>
        <v>0</v>
      </c>
      <c r="Q73" s="62">
        <f>P73*VLOOKUP($A73,'CONVERSION FACTORS'!$A$1:$E$41,5,FALSE)</f>
        <v>0</v>
      </c>
      <c r="R73" s="54" t="str">
        <f t="shared" si="5"/>
        <v/>
      </c>
      <c r="S73" s="3"/>
      <c r="T73" s="29">
        <f t="shared" si="6"/>
        <v>0</v>
      </c>
      <c r="U73" s="62">
        <f>T73*VLOOKUP($A73,'CONVERSION FACTORS'!$A$1:$E$41,5,FALSE)</f>
        <v>0</v>
      </c>
      <c r="V73" s="62">
        <f t="shared" si="7"/>
        <v>0</v>
      </c>
      <c r="W73" s="62">
        <f>V73*VLOOKUP($A73,'CONVERSION FACTORS'!$A$1:$E$41,5,FALSE)</f>
        <v>0</v>
      </c>
      <c r="X73" s="54" t="str">
        <f t="shared" si="8"/>
        <v/>
      </c>
      <c r="Y73" s="3"/>
      <c r="Z73" s="29">
        <f t="shared" si="9"/>
        <v>0</v>
      </c>
      <c r="AA73" s="62">
        <f>Z73*VLOOKUP($A73,'CONVERSION FACTORS'!$A$1:$E$41,5,FALSE)</f>
        <v>0</v>
      </c>
      <c r="AB73" s="62">
        <f t="shared" si="10"/>
        <v>0</v>
      </c>
      <c r="AC73" s="62">
        <f>AB73*VLOOKUP($A73,'CONVERSION FACTORS'!$A$1:$E$41,5,FALSE)</f>
        <v>0</v>
      </c>
      <c r="AD73" s="54" t="str">
        <f t="shared" si="11"/>
        <v/>
      </c>
      <c r="AE73" s="3"/>
      <c r="AF73" s="3"/>
      <c r="AG73" s="3"/>
      <c r="AH73" s="3"/>
      <c r="AI73" s="16"/>
    </row>
    <row r="74" spans="1:35" x14ac:dyDescent="0.2">
      <c r="A74" s="67" t="s">
        <v>83</v>
      </c>
      <c r="B74" s="67" t="s">
        <v>0</v>
      </c>
      <c r="C74" s="67" t="s">
        <v>83</v>
      </c>
      <c r="D74" s="67" t="s">
        <v>1</v>
      </c>
      <c r="E74" s="25"/>
      <c r="F74" s="25" t="s">
        <v>83</v>
      </c>
      <c r="G74" s="25" t="str">
        <f>VLOOKUP(A74,'CONVERSION FACTORS'!$A$1:$D$40,4,FALSE)</f>
        <v>TONNE</v>
      </c>
      <c r="H74" s="29">
        <f t="shared" si="0"/>
        <v>0</v>
      </c>
      <c r="I74" s="62">
        <f>H74*VLOOKUP($A74,'CONVERSION FACTORS'!$A$1:$E$41,5,FALSE)</f>
        <v>0</v>
      </c>
      <c r="J74" s="62">
        <f t="shared" si="1"/>
        <v>23250</v>
      </c>
      <c r="K74" s="62">
        <f>J74*VLOOKUP($A74,'CONVERSION FACTORS'!$A$1:$E$41,5,FALSE)</f>
        <v>452600.00000000006</v>
      </c>
      <c r="L74" s="54">
        <f t="shared" si="2"/>
        <v>0</v>
      </c>
      <c r="M74" s="54"/>
      <c r="N74" s="29">
        <f t="shared" si="3"/>
        <v>882750</v>
      </c>
      <c r="O74" s="62">
        <f>N74*VLOOKUP($A74,'CONVERSION FACTORS'!$A$1:$E$41,5,FALSE)</f>
        <v>17184200</v>
      </c>
      <c r="P74" s="62">
        <f t="shared" si="4"/>
        <v>2437592</v>
      </c>
      <c r="Q74" s="62">
        <f>P74*VLOOKUP($A74,'CONVERSION FACTORS'!$A$1:$E$41,5,FALSE)</f>
        <v>47451790.933333337</v>
      </c>
      <c r="R74" s="54">
        <f t="shared" si="5"/>
        <v>0.26586116731348758</v>
      </c>
      <c r="S74" s="54"/>
      <c r="T74" s="29">
        <f t="shared" si="6"/>
        <v>882750</v>
      </c>
      <c r="U74" s="62">
        <f>T74*VLOOKUP($A74,'CONVERSION FACTORS'!$A$1:$E$41,5,FALSE)</f>
        <v>17184200</v>
      </c>
      <c r="V74" s="62">
        <f t="shared" si="7"/>
        <v>2437592</v>
      </c>
      <c r="W74" s="62">
        <f>V74*VLOOKUP($A74,'CONVERSION FACTORS'!$A$1:$E$41,5,FALSE)</f>
        <v>47451790.933333337</v>
      </c>
      <c r="X74" s="54">
        <f t="shared" si="8"/>
        <v>0.26586116731348758</v>
      </c>
      <c r="Y74" s="54"/>
      <c r="Z74" s="29">
        <f t="shared" si="9"/>
        <v>1513500</v>
      </c>
      <c r="AA74" s="62">
        <f>Z74*VLOOKUP($A74,'CONVERSION FACTORS'!$A$1:$E$41,5,FALSE)</f>
        <v>29462800.000000004</v>
      </c>
      <c r="AB74" s="62">
        <f t="shared" si="10"/>
        <v>8422542.0999999996</v>
      </c>
      <c r="AC74" s="62">
        <f>AB74*VLOOKUP($A74,'CONVERSION FACTORS'!$A$1:$E$41,5,FALSE)</f>
        <v>163958819.54666668</v>
      </c>
      <c r="AD74" s="54">
        <f t="shared" si="11"/>
        <v>0.15232423381136842</v>
      </c>
      <c r="AE74" s="54"/>
      <c r="AF74" s="54"/>
      <c r="AG74" s="54"/>
      <c r="AH74" s="54"/>
      <c r="AI74" s="16"/>
    </row>
    <row r="75" spans="1:35" hidden="1" x14ac:dyDescent="0.2">
      <c r="A75" s="16" t="s">
        <v>79</v>
      </c>
      <c r="B75" s="16" t="s">
        <v>18</v>
      </c>
      <c r="C75" s="16" t="s">
        <v>79</v>
      </c>
      <c r="D75" s="16" t="s">
        <v>18</v>
      </c>
      <c r="G75" s="25" t="str">
        <f>VLOOKUP(A75,'CONVERSION FACTORS'!$A$1:$D$40,4,FALSE)</f>
        <v>UNIT TO</v>
      </c>
      <c r="H75" s="29">
        <f t="shared" si="0"/>
        <v>0</v>
      </c>
      <c r="I75" s="62">
        <f>H75*VLOOKUP($A75,'CONVERSION FACTORS'!$A$1:$E$41,5,FALSE)</f>
        <v>0</v>
      </c>
      <c r="J75" s="62">
        <f t="shared" si="1"/>
        <v>0</v>
      </c>
      <c r="K75" s="62">
        <f>J75*VLOOKUP($A75,'CONVERSION FACTORS'!$A$1:$E$41,5,FALSE)</f>
        <v>0</v>
      </c>
      <c r="L75" s="54" t="str">
        <f t="shared" si="2"/>
        <v/>
      </c>
      <c r="M75" s="54"/>
      <c r="N75" s="29">
        <f t="shared" si="3"/>
        <v>0</v>
      </c>
      <c r="O75" s="62">
        <f>N75*VLOOKUP($A75,'CONVERSION FACTORS'!$A$1:$E$41,5,FALSE)</f>
        <v>0</v>
      </c>
      <c r="P75" s="62">
        <f t="shared" si="4"/>
        <v>0</v>
      </c>
      <c r="Q75" s="62">
        <f>P75*VLOOKUP($A75,'CONVERSION FACTORS'!$A$1:$E$41,5,FALSE)</f>
        <v>0</v>
      </c>
      <c r="R75" s="54" t="str">
        <f t="shared" si="5"/>
        <v/>
      </c>
      <c r="S75" s="54"/>
      <c r="T75" s="29">
        <f t="shared" si="6"/>
        <v>0</v>
      </c>
      <c r="U75" s="62">
        <f>T75*VLOOKUP($A75,'CONVERSION FACTORS'!$A$1:$E$41,5,FALSE)</f>
        <v>0</v>
      </c>
      <c r="V75" s="62">
        <f t="shared" si="7"/>
        <v>0</v>
      </c>
      <c r="W75" s="62">
        <f>V75*VLOOKUP($A75,'CONVERSION FACTORS'!$A$1:$E$41,5,FALSE)</f>
        <v>0</v>
      </c>
      <c r="X75" s="54" t="str">
        <f t="shared" si="8"/>
        <v/>
      </c>
      <c r="Y75" s="54"/>
      <c r="Z75" s="29">
        <f t="shared" si="9"/>
        <v>0</v>
      </c>
      <c r="AA75" s="62">
        <f>Z75*VLOOKUP($A75,'CONVERSION FACTORS'!$A$1:$E$41,5,FALSE)</f>
        <v>0</v>
      </c>
      <c r="AB75" s="62">
        <f t="shared" si="10"/>
        <v>0</v>
      </c>
      <c r="AC75" s="62">
        <f>AB75*VLOOKUP($A75,'CONVERSION FACTORS'!$A$1:$E$41,5,FALSE)</f>
        <v>0</v>
      </c>
      <c r="AD75" s="54" t="str">
        <f t="shared" si="11"/>
        <v/>
      </c>
      <c r="AE75" s="54"/>
      <c r="AF75" s="54"/>
      <c r="AG75" s="54"/>
      <c r="AH75" s="54"/>
      <c r="AI75" s="16"/>
    </row>
    <row r="76" spans="1:35" x14ac:dyDescent="0.2">
      <c r="A76" s="67" t="s">
        <v>105</v>
      </c>
      <c r="B76" s="67" t="s">
        <v>0</v>
      </c>
      <c r="C76" s="67" t="s">
        <v>105</v>
      </c>
      <c r="D76" s="67" t="s">
        <v>1</v>
      </c>
      <c r="E76" s="25"/>
      <c r="F76" s="25" t="s">
        <v>105</v>
      </c>
      <c r="G76" s="25" t="str">
        <f>VLOOKUP(A76,'CONVERSION FACTORS'!$A$1:$D$40,4,FALSE)</f>
        <v>CONTRACTS</v>
      </c>
      <c r="H76" s="29">
        <f t="shared" si="0"/>
        <v>12500</v>
      </c>
      <c r="I76" s="62">
        <f>H76*VLOOKUP($A76,'CONVERSION FACTORS'!$A$1:$E$41,5,FALSE)</f>
        <v>0</v>
      </c>
      <c r="J76" s="62">
        <f t="shared" si="1"/>
        <v>102500</v>
      </c>
      <c r="K76" s="62">
        <f>J76*VLOOKUP($A76,'CONVERSION FACTORS'!$A$1:$E$41,5,FALSE)</f>
        <v>0</v>
      </c>
      <c r="L76" s="54">
        <f t="shared" si="2"/>
        <v>0.10869565217391304</v>
      </c>
      <c r="M76" s="54"/>
      <c r="N76" s="29">
        <f t="shared" si="3"/>
        <v>80000</v>
      </c>
      <c r="O76" s="62">
        <f>N76*VLOOKUP($A76,'CONVERSION FACTORS'!$A$1:$E$41,5,FALSE)</f>
        <v>0</v>
      </c>
      <c r="P76" s="62">
        <f t="shared" si="4"/>
        <v>681424</v>
      </c>
      <c r="Q76" s="62">
        <f>P76*VLOOKUP($A76,'CONVERSION FACTORS'!$A$1:$E$41,5,FALSE)</f>
        <v>0</v>
      </c>
      <c r="R76" s="54">
        <f t="shared" si="5"/>
        <v>0.10506629683330182</v>
      </c>
      <c r="S76" s="54"/>
      <c r="T76" s="29">
        <f t="shared" si="6"/>
        <v>80000</v>
      </c>
      <c r="U76" s="62">
        <f>T76*VLOOKUP($A76,'CONVERSION FACTORS'!$A$1:$E$41,5,FALSE)</f>
        <v>0</v>
      </c>
      <c r="V76" s="62">
        <f t="shared" si="7"/>
        <v>681424</v>
      </c>
      <c r="W76" s="62">
        <f>V76*VLOOKUP($A76,'CONVERSION FACTORS'!$A$1:$E$41,5,FALSE)</f>
        <v>0</v>
      </c>
      <c r="X76" s="54">
        <f t="shared" si="8"/>
        <v>0.10506629683330182</v>
      </c>
      <c r="Y76" s="54"/>
      <c r="Z76" s="29">
        <f t="shared" si="9"/>
        <v>80000</v>
      </c>
      <c r="AA76" s="62">
        <f>Z76*VLOOKUP($A76,'CONVERSION FACTORS'!$A$1:$E$41,5,FALSE)</f>
        <v>0</v>
      </c>
      <c r="AB76" s="62">
        <f t="shared" si="10"/>
        <v>681424</v>
      </c>
      <c r="AC76" s="62">
        <f>AB76*VLOOKUP($A76,'CONVERSION FACTORS'!$A$1:$E$41,5,FALSE)</f>
        <v>0</v>
      </c>
      <c r="AD76" s="54">
        <f t="shared" si="11"/>
        <v>0.10506629683330182</v>
      </c>
      <c r="AE76" s="54"/>
      <c r="AF76" s="54"/>
      <c r="AG76" s="54"/>
      <c r="AH76" s="54"/>
      <c r="AI76" s="16"/>
    </row>
    <row r="77" spans="1:35" hidden="1" x14ac:dyDescent="0.2">
      <c r="A77" s="16" t="s">
        <v>79</v>
      </c>
      <c r="B77" s="16" t="s">
        <v>18</v>
      </c>
      <c r="C77" s="16" t="s">
        <v>79</v>
      </c>
      <c r="D77" s="16" t="s">
        <v>18</v>
      </c>
      <c r="G77" s="25" t="str">
        <f>VLOOKUP(A77,'CONVERSION FACTORS'!$A$1:$D$40,4,FALSE)</f>
        <v>UNIT TO</v>
      </c>
      <c r="H77" s="29">
        <f t="shared" si="0"/>
        <v>0</v>
      </c>
      <c r="I77" s="62">
        <f>H77*VLOOKUP($A77,'CONVERSION FACTORS'!$A$1:$E$41,5,FALSE)</f>
        <v>0</v>
      </c>
      <c r="J77" s="62">
        <f t="shared" si="1"/>
        <v>0</v>
      </c>
      <c r="K77" s="62">
        <f>J77*VLOOKUP($A77,'CONVERSION FACTORS'!$A$1:$E$41,5,FALSE)</f>
        <v>0</v>
      </c>
      <c r="L77" s="54" t="str">
        <f t="shared" si="2"/>
        <v/>
      </c>
      <c r="M77" s="54"/>
      <c r="N77" s="29">
        <f t="shared" si="3"/>
        <v>0</v>
      </c>
      <c r="O77" s="62">
        <f>N77*VLOOKUP($A77,'CONVERSION FACTORS'!$A$1:$E$41,5,FALSE)</f>
        <v>0</v>
      </c>
      <c r="P77" s="62">
        <f t="shared" si="4"/>
        <v>0</v>
      </c>
      <c r="Q77" s="62">
        <f>P77*VLOOKUP($A77,'CONVERSION FACTORS'!$A$1:$E$41,5,FALSE)</f>
        <v>0</v>
      </c>
      <c r="R77" s="54" t="str">
        <f t="shared" si="5"/>
        <v/>
      </c>
      <c r="S77" s="54"/>
      <c r="T77" s="29">
        <f t="shared" si="6"/>
        <v>0</v>
      </c>
      <c r="U77" s="62">
        <f>T77*VLOOKUP($A77,'CONVERSION FACTORS'!$A$1:$E$41,5,FALSE)</f>
        <v>0</v>
      </c>
      <c r="V77" s="62">
        <f t="shared" si="7"/>
        <v>0</v>
      </c>
      <c r="W77" s="62">
        <f>V77*VLOOKUP($A77,'CONVERSION FACTORS'!$A$1:$E$41,5,FALSE)</f>
        <v>0</v>
      </c>
      <c r="X77" s="54" t="str">
        <f t="shared" si="8"/>
        <v/>
      </c>
      <c r="Y77" s="54"/>
      <c r="Z77" s="29">
        <f t="shared" si="9"/>
        <v>0</v>
      </c>
      <c r="AA77" s="62">
        <f>Z77*VLOOKUP($A77,'CONVERSION FACTORS'!$A$1:$E$41,5,FALSE)</f>
        <v>0</v>
      </c>
      <c r="AB77" s="62">
        <f t="shared" si="10"/>
        <v>0</v>
      </c>
      <c r="AC77" s="62">
        <f>AB77*VLOOKUP($A77,'CONVERSION FACTORS'!$A$1:$E$41,5,FALSE)</f>
        <v>0</v>
      </c>
      <c r="AD77" s="54" t="str">
        <f t="shared" si="11"/>
        <v/>
      </c>
      <c r="AE77" s="54"/>
      <c r="AF77" s="54"/>
      <c r="AG77" s="54"/>
      <c r="AH77" s="54"/>
      <c r="AI77" s="16"/>
    </row>
    <row r="78" spans="1:35" x14ac:dyDescent="0.2">
      <c r="A78" s="67" t="s">
        <v>84</v>
      </c>
      <c r="B78" s="67" t="s">
        <v>0</v>
      </c>
      <c r="C78" s="67" t="s">
        <v>84</v>
      </c>
      <c r="D78" s="67" t="s">
        <v>1</v>
      </c>
      <c r="E78" s="25"/>
      <c r="F78" s="25" t="s">
        <v>84</v>
      </c>
      <c r="G78" s="25" t="str">
        <f>VLOOKUP(A78,'CONVERSION FACTORS'!$A$1:$D$40,4,FALSE)</f>
        <v>TONNE</v>
      </c>
      <c r="H78" s="29">
        <f t="shared" si="0"/>
        <v>0</v>
      </c>
      <c r="I78" s="62">
        <f>H78*VLOOKUP($A78,'CONVERSION FACTORS'!$A$1:$E$41,5,FALSE)</f>
        <v>0</v>
      </c>
      <c r="J78" s="62">
        <f t="shared" si="1"/>
        <v>0</v>
      </c>
      <c r="K78" s="62">
        <f>J78*VLOOKUP($A78,'CONVERSION FACTORS'!$A$1:$E$41,5,FALSE)</f>
        <v>0</v>
      </c>
      <c r="L78" s="54" t="str">
        <f t="shared" si="2"/>
        <v/>
      </c>
      <c r="M78" s="54"/>
      <c r="N78" s="29">
        <f t="shared" si="3"/>
        <v>750</v>
      </c>
      <c r="O78" s="62">
        <f>N78*VLOOKUP($A78,'CONVERSION FACTORS'!$A$1:$E$41,5,FALSE)</f>
        <v>0</v>
      </c>
      <c r="P78" s="62">
        <f t="shared" si="4"/>
        <v>308227</v>
      </c>
      <c r="Q78" s="62">
        <f>P78*VLOOKUP($A78,'CONVERSION FACTORS'!$A$1:$E$41,5,FALSE)</f>
        <v>0</v>
      </c>
      <c r="R78" s="54">
        <f t="shared" si="5"/>
        <v>2.4273651436838343E-3</v>
      </c>
      <c r="S78" s="54"/>
      <c r="T78" s="29">
        <f t="shared" si="6"/>
        <v>750</v>
      </c>
      <c r="U78" s="62">
        <f>T78*VLOOKUP($A78,'CONVERSION FACTORS'!$A$1:$E$41,5,FALSE)</f>
        <v>0</v>
      </c>
      <c r="V78" s="62">
        <f t="shared" si="7"/>
        <v>308227</v>
      </c>
      <c r="W78" s="62">
        <f>V78*VLOOKUP($A78,'CONVERSION FACTORS'!$A$1:$E$41,5,FALSE)</f>
        <v>0</v>
      </c>
      <c r="X78" s="54">
        <f t="shared" si="8"/>
        <v>2.4273651436838343E-3</v>
      </c>
      <c r="Y78" s="54"/>
      <c r="Z78" s="29">
        <f t="shared" si="9"/>
        <v>2550</v>
      </c>
      <c r="AA78" s="62">
        <f>Z78*VLOOKUP($A78,'CONVERSION FACTORS'!$A$1:$E$41,5,FALSE)</f>
        <v>0</v>
      </c>
      <c r="AB78" s="62">
        <f t="shared" si="10"/>
        <v>535141.04</v>
      </c>
      <c r="AC78" s="62">
        <f>AB78*VLOOKUP($A78,'CONVERSION FACTORS'!$A$1:$E$41,5,FALSE)</f>
        <v>0</v>
      </c>
      <c r="AD78" s="54">
        <f t="shared" si="11"/>
        <v>4.7425004515604351E-3</v>
      </c>
      <c r="AE78" s="54"/>
      <c r="AF78" s="54"/>
      <c r="AG78" s="54"/>
      <c r="AH78" s="54"/>
      <c r="AI78" s="16"/>
    </row>
    <row r="79" spans="1:35" hidden="1" x14ac:dyDescent="0.2">
      <c r="A79" s="16" t="s">
        <v>79</v>
      </c>
      <c r="B79" s="16" t="s">
        <v>18</v>
      </c>
      <c r="C79" s="16" t="s">
        <v>79</v>
      </c>
      <c r="D79" s="16" t="s">
        <v>18</v>
      </c>
      <c r="G79" s="25" t="str">
        <f>VLOOKUP(A79,'CONVERSION FACTORS'!$A$1:$D$40,4,FALSE)</f>
        <v>UNIT TO</v>
      </c>
      <c r="H79" s="29">
        <f t="shared" si="0"/>
        <v>0</v>
      </c>
      <c r="I79" s="62">
        <f>H79*VLOOKUP($A79,'CONVERSION FACTORS'!$A$1:$E$41,5,FALSE)</f>
        <v>0</v>
      </c>
      <c r="J79" s="62">
        <f t="shared" si="1"/>
        <v>0</v>
      </c>
      <c r="K79" s="62">
        <f>J79*VLOOKUP($A79,'CONVERSION FACTORS'!$A$1:$E$41,5,FALSE)</f>
        <v>0</v>
      </c>
      <c r="L79" s="54" t="str">
        <f t="shared" si="2"/>
        <v/>
      </c>
      <c r="M79" s="3"/>
      <c r="N79" s="29">
        <f t="shared" si="3"/>
        <v>0</v>
      </c>
      <c r="O79" s="62">
        <f>N79*VLOOKUP($A79,'CONVERSION FACTORS'!$A$1:$E$41,5,FALSE)</f>
        <v>0</v>
      </c>
      <c r="P79" s="62">
        <f t="shared" si="4"/>
        <v>0</v>
      </c>
      <c r="Q79" s="62">
        <f>P79*VLOOKUP($A79,'CONVERSION FACTORS'!$A$1:$E$41,5,FALSE)</f>
        <v>0</v>
      </c>
      <c r="R79" s="54" t="str">
        <f t="shared" si="5"/>
        <v/>
      </c>
      <c r="S79" s="3"/>
      <c r="T79" s="29">
        <f t="shared" si="6"/>
        <v>0</v>
      </c>
      <c r="U79" s="62">
        <f>T79*VLOOKUP($A79,'CONVERSION FACTORS'!$A$1:$E$41,5,FALSE)</f>
        <v>0</v>
      </c>
      <c r="V79" s="62">
        <f t="shared" si="7"/>
        <v>0</v>
      </c>
      <c r="W79" s="62">
        <f>V79*VLOOKUP($A79,'CONVERSION FACTORS'!$A$1:$E$41,5,FALSE)</f>
        <v>0</v>
      </c>
      <c r="X79" s="54" t="str">
        <f t="shared" si="8"/>
        <v/>
      </c>
      <c r="Y79" s="3"/>
      <c r="Z79" s="29">
        <f t="shared" si="9"/>
        <v>0</v>
      </c>
      <c r="AA79" s="62">
        <f>Z79*VLOOKUP($A79,'CONVERSION FACTORS'!$A$1:$E$41,5,FALSE)</f>
        <v>0</v>
      </c>
      <c r="AB79" s="62">
        <f t="shared" si="10"/>
        <v>0</v>
      </c>
      <c r="AC79" s="62">
        <f>AB79*VLOOKUP($A79,'CONVERSION FACTORS'!$A$1:$E$41,5,FALSE)</f>
        <v>0</v>
      </c>
      <c r="AD79" s="54" t="str">
        <f t="shared" si="11"/>
        <v/>
      </c>
      <c r="AE79" s="3"/>
      <c r="AF79" s="3"/>
      <c r="AG79" s="3"/>
      <c r="AH79" s="3"/>
      <c r="AI79" s="16"/>
    </row>
    <row r="80" spans="1:35" x14ac:dyDescent="0.2">
      <c r="A80" s="67" t="s">
        <v>106</v>
      </c>
      <c r="B80" s="67" t="s">
        <v>0</v>
      </c>
      <c r="C80" s="67" t="s">
        <v>106</v>
      </c>
      <c r="D80" s="67" t="s">
        <v>1</v>
      </c>
      <c r="E80" s="25"/>
      <c r="F80" s="25" t="s">
        <v>106</v>
      </c>
      <c r="G80" s="25" t="str">
        <f>VLOOKUP(A80,'CONVERSION FACTORS'!$A$1:$D$40,4,FALSE)</f>
        <v>CONTRACTS</v>
      </c>
      <c r="H80" s="29">
        <f t="shared" si="0"/>
        <v>1</v>
      </c>
      <c r="I80" s="62">
        <f>H80*VLOOKUP($A80,'CONVERSION FACTORS'!$A$1:$E$41,5,FALSE)</f>
        <v>0</v>
      </c>
      <c r="J80" s="62">
        <f t="shared" si="1"/>
        <v>2</v>
      </c>
      <c r="K80" s="62">
        <f>J80*VLOOKUP($A80,'CONVERSION FACTORS'!$A$1:$E$41,5,FALSE)</f>
        <v>0</v>
      </c>
      <c r="L80" s="54">
        <f t="shared" si="2"/>
        <v>0.33333333333333331</v>
      </c>
      <c r="M80" s="54"/>
      <c r="N80" s="29">
        <f t="shared" si="3"/>
        <v>29</v>
      </c>
      <c r="O80" s="62">
        <f>N80*VLOOKUP($A80,'CONVERSION FACTORS'!$A$1:$E$41,5,FALSE)</f>
        <v>0</v>
      </c>
      <c r="P80" s="62">
        <f t="shared" si="4"/>
        <v>12</v>
      </c>
      <c r="Q80" s="62">
        <f>P80*VLOOKUP($A80,'CONVERSION FACTORS'!$A$1:$E$41,5,FALSE)</f>
        <v>0</v>
      </c>
      <c r="R80" s="54">
        <f t="shared" si="5"/>
        <v>0.70731707317073167</v>
      </c>
      <c r="S80" s="54"/>
      <c r="T80" s="29">
        <f t="shared" si="6"/>
        <v>29</v>
      </c>
      <c r="U80" s="62">
        <f>T80*VLOOKUP($A80,'CONVERSION FACTORS'!$A$1:$E$41,5,FALSE)</f>
        <v>0</v>
      </c>
      <c r="V80" s="62">
        <f t="shared" si="7"/>
        <v>12</v>
      </c>
      <c r="W80" s="62">
        <f>V80*VLOOKUP($A80,'CONVERSION FACTORS'!$A$1:$E$41,5,FALSE)</f>
        <v>0</v>
      </c>
      <c r="X80" s="54">
        <f t="shared" si="8"/>
        <v>0.70731707317073167</v>
      </c>
      <c r="Y80" s="54"/>
      <c r="Z80" s="29">
        <f t="shared" si="9"/>
        <v>29</v>
      </c>
      <c r="AA80" s="62">
        <f>Z80*VLOOKUP($A80,'CONVERSION FACTORS'!$A$1:$E$41,5,FALSE)</f>
        <v>0</v>
      </c>
      <c r="AB80" s="62">
        <f t="shared" si="10"/>
        <v>12</v>
      </c>
      <c r="AC80" s="62">
        <f>AB80*VLOOKUP($A80,'CONVERSION FACTORS'!$A$1:$E$41,5,FALSE)</f>
        <v>0</v>
      </c>
      <c r="AD80" s="54">
        <f t="shared" si="11"/>
        <v>0.70731707317073167</v>
      </c>
      <c r="AE80" s="54"/>
      <c r="AF80" s="54"/>
      <c r="AG80" s="54"/>
      <c r="AH80" s="54"/>
      <c r="AI80" s="16"/>
    </row>
    <row r="81" spans="1:35" s="4" customFormat="1" x14ac:dyDescent="0.2">
      <c r="A81" s="63"/>
      <c r="B81" s="63"/>
      <c r="C81" s="63"/>
      <c r="D81" s="63"/>
      <c r="E81" s="25" t="s">
        <v>158</v>
      </c>
      <c r="F81" s="25"/>
      <c r="G81" s="25"/>
      <c r="H81" s="64">
        <f>SUM(I52:I80)</f>
        <v>158733572.72</v>
      </c>
      <c r="I81" s="65"/>
      <c r="J81" s="65"/>
      <c r="K81" s="65">
        <f>SUM(K52:K80)</f>
        <v>376840881.36373997</v>
      </c>
      <c r="L81" s="66">
        <f>IF((K81+H81)=0,"",H81/(K81+H81))</f>
        <v>0.29638002990930767</v>
      </c>
      <c r="M81" s="53"/>
      <c r="N81" s="64">
        <f>SUM(O52:O80)</f>
        <v>1647146344.2369599</v>
      </c>
      <c r="O81" s="65"/>
      <c r="P81" s="65"/>
      <c r="Q81" s="65">
        <f>SUM(Q52:Q80)</f>
        <v>5107328448.9638128</v>
      </c>
      <c r="R81" s="66">
        <f>IF((Q81+N81)=0,"",N81/(Q81+N81))</f>
        <v>0.24386001793877735</v>
      </c>
      <c r="S81" s="53"/>
      <c r="T81" s="64">
        <f>SUM(U52:U80)</f>
        <v>1647146344.2439923</v>
      </c>
      <c r="U81" s="65"/>
      <c r="V81" s="65"/>
      <c r="W81" s="65">
        <f>SUM(W52:W80)</f>
        <v>5107328448.9371996</v>
      </c>
      <c r="X81" s="66">
        <f>IF((W81+T81)=0,"",T81/(W81+T81))</f>
        <v>0.24386001794052542</v>
      </c>
      <c r="Y81" s="53"/>
      <c r="Z81" s="64">
        <f>SUM(AA52:AA80)</f>
        <v>2574354234.6269598</v>
      </c>
      <c r="AA81" s="65"/>
      <c r="AB81" s="65"/>
      <c r="AC81" s="65">
        <f>SUM(AC52:AC80)</f>
        <v>10399639431.617146</v>
      </c>
      <c r="AD81" s="66">
        <f>IF((AC81+Z81)=0,"",Z81/(AC81+Z81))</f>
        <v>0.1984241938798649</v>
      </c>
      <c r="AE81" s="53"/>
      <c r="AF81" s="53"/>
      <c r="AG81" s="53"/>
      <c r="AH81" s="53"/>
      <c r="AI81" s="63"/>
    </row>
    <row r="82" spans="1:35" x14ac:dyDescent="0.2">
      <c r="AI82" s="16"/>
    </row>
    <row r="83" spans="1:35" s="26" customFormat="1" x14ac:dyDescent="0.2">
      <c r="A83" s="72" t="s">
        <v>79</v>
      </c>
      <c r="B83" s="72" t="s">
        <v>18</v>
      </c>
      <c r="C83" s="72" t="s">
        <v>79</v>
      </c>
      <c r="D83" s="72" t="s">
        <v>18</v>
      </c>
      <c r="E83" s="25" t="s">
        <v>140</v>
      </c>
      <c r="H83" s="76"/>
      <c r="I83" s="61"/>
      <c r="J83" s="61"/>
      <c r="K83" s="61"/>
      <c r="L83" s="76"/>
      <c r="M83" s="76"/>
      <c r="N83" s="76"/>
      <c r="O83" s="61"/>
      <c r="P83" s="61"/>
      <c r="Q83" s="61"/>
      <c r="R83" s="76"/>
      <c r="S83" s="76"/>
      <c r="T83" s="76"/>
      <c r="U83" s="61"/>
      <c r="V83" s="61"/>
      <c r="W83" s="61"/>
      <c r="X83" s="76"/>
      <c r="Y83" s="76"/>
      <c r="Z83" s="76"/>
      <c r="AA83" s="61"/>
      <c r="AB83" s="61"/>
      <c r="AC83" s="61"/>
      <c r="AD83" s="76"/>
      <c r="AE83" s="76"/>
      <c r="AF83" s="76"/>
      <c r="AG83" s="76"/>
      <c r="AH83" s="76"/>
      <c r="AI83" s="16"/>
    </row>
    <row r="84" spans="1:35" s="58" customFormat="1" hidden="1" x14ac:dyDescent="0.2">
      <c r="A84" s="69" t="s">
        <v>74</v>
      </c>
      <c r="B84" s="69" t="s">
        <v>0</v>
      </c>
      <c r="C84" s="69" t="str">
        <f>A84</f>
        <v>GAS</v>
      </c>
      <c r="D84" s="69" t="s">
        <v>1</v>
      </c>
      <c r="E84" s="70"/>
      <c r="F84" s="70" t="s">
        <v>75</v>
      </c>
      <c r="G84" s="70"/>
      <c r="H84" s="62">
        <f>ABS(DSUM(VARDATA2,J$6-1,$A83:$B84))+ABS(DSUM(VARDATA2,H$6-1,$A83:$B84))</f>
        <v>242965601.89999998</v>
      </c>
      <c r="I84" s="62"/>
      <c r="J84" s="62">
        <f>ABS(DSUM(VARDATA2,H$6-1,$C83:$D84))+ABS(DSUM(VARDATA2,J$6-1,$C83:$D84))</f>
        <v>451628602.84000003</v>
      </c>
      <c r="K84" s="62"/>
      <c r="L84" s="71">
        <f>IF((J84+H84)=0,"",H84/(J84+H84))</f>
        <v>0.34979503174943227</v>
      </c>
      <c r="M84" s="71"/>
      <c r="N84" s="62">
        <f>ABS(DSUM(VARDATA2,P$6-1,$A83:$B84))+ABS(DSUM(VARDATA2,N$6-1,$A83:$B84))</f>
        <v>2204172115.5900002</v>
      </c>
      <c r="O84" s="62"/>
      <c r="P84" s="62">
        <f>ABS(DSUM(VARDATA2,N$6-1,$C83:$D84))+ABS(DSUM(VARDATA2,P$6-1,$C83:$D84))</f>
        <v>5648258055.9400005</v>
      </c>
      <c r="Q84" s="62"/>
      <c r="R84" s="71">
        <f>IF((P84+N84)=0,"",N84/(P84+N84))</f>
        <v>0.2806993589808045</v>
      </c>
      <c r="S84" s="71"/>
      <c r="T84" s="62">
        <f>ABS(DSUM(VARDATA2,V$6-1,$A83:$B84))+ABS(DSUM(VARDATA2,T$6-1,$A83:$B84))</f>
        <v>2204172115.581707</v>
      </c>
      <c r="U84" s="62"/>
      <c r="V84" s="62">
        <f>ABS(DSUM(VARDATA2,T$6-1,$C83:$D84))+ABS(DSUM(VARDATA2,V$6-1,$C83:$D84))</f>
        <v>5648258055.9267445</v>
      </c>
      <c r="W84" s="62"/>
      <c r="X84" s="71">
        <f>IF((V84+T84)=0,"",T84/(V84+T84))</f>
        <v>0.28069935898051873</v>
      </c>
      <c r="Y84" s="71"/>
      <c r="Z84" s="62">
        <f>ABS(DSUM(VARDATA2,AB$6-1,$A83:$B84))+ABS(DSUM(VARDATA2,Z$6-1,$A83:$B84))</f>
        <v>3340474562.8699999</v>
      </c>
      <c r="AA84" s="62"/>
      <c r="AB84" s="62">
        <f>ABS(DSUM(VARDATA2,Z$6-1,$C83:$D84))+ABS(DSUM(VARDATA2,AB$6-1,$C83:$D84))</f>
        <v>12553933586.15</v>
      </c>
      <c r="AC84" s="62"/>
      <c r="AD84" s="71">
        <f>IF((AB84+Z84)=0,"",Z84/(AB84+Z84))</f>
        <v>0.21016665304873042</v>
      </c>
      <c r="AE84" s="71"/>
      <c r="AF84" s="71"/>
      <c r="AG84" s="71"/>
      <c r="AH84" s="71"/>
      <c r="AI84" s="68"/>
    </row>
    <row r="85" spans="1:35" s="72" customFormat="1" hidden="1" x14ac:dyDescent="0.2">
      <c r="A85" s="72" t="s">
        <v>21</v>
      </c>
      <c r="B85" s="72" t="s">
        <v>18</v>
      </c>
      <c r="C85" s="72" t="s">
        <v>21</v>
      </c>
      <c r="D85" s="72" t="s">
        <v>18</v>
      </c>
      <c r="H85" s="73"/>
      <c r="I85" s="73"/>
      <c r="J85" s="74"/>
      <c r="K85" s="74"/>
      <c r="L85" s="73"/>
      <c r="M85" s="73"/>
      <c r="N85" s="73"/>
      <c r="O85" s="73"/>
      <c r="P85" s="74"/>
      <c r="Q85" s="74"/>
      <c r="R85" s="73"/>
      <c r="S85" s="73"/>
      <c r="T85" s="73"/>
      <c r="U85" s="73"/>
      <c r="V85" s="74"/>
      <c r="W85" s="74"/>
      <c r="X85" s="73"/>
      <c r="Y85" s="73"/>
      <c r="Z85" s="73"/>
      <c r="AA85" s="73"/>
      <c r="AB85" s="74"/>
      <c r="AC85" s="74"/>
      <c r="AD85" s="73"/>
      <c r="AE85" s="73"/>
      <c r="AF85" s="73"/>
      <c r="AG85" s="73"/>
      <c r="AH85" s="73"/>
    </row>
    <row r="86" spans="1:35" s="58" customFormat="1" hidden="1" x14ac:dyDescent="0.2">
      <c r="A86" s="69" t="s">
        <v>22</v>
      </c>
      <c r="B86" s="69" t="s">
        <v>0</v>
      </c>
      <c r="C86" s="69" t="s">
        <v>22</v>
      </c>
      <c r="D86" s="69" t="s">
        <v>1</v>
      </c>
      <c r="E86" s="70"/>
      <c r="F86" s="70" t="s">
        <v>135</v>
      </c>
      <c r="G86" s="70"/>
      <c r="H86" s="62">
        <f>ABS(DSUM(VARDATA2,J$6-1,$A85:$B86))+ABS(DSUM(VARDATA2,H$6-1,$A85:$B86))</f>
        <v>5056675.0199999996</v>
      </c>
      <c r="I86" s="62"/>
      <c r="J86" s="62">
        <f>ABS(DSUM(VARDATA2,H$6-1,$C85:$D86))+ABS(DSUM(VARDATA2,J$6-1,$C85:$D86))</f>
        <v>8949650.3100000005</v>
      </c>
      <c r="K86" s="62"/>
      <c r="L86" s="71">
        <f>IF((J86+H86)=0,"",H86/(J86+H86))</f>
        <v>0.36102795707373447</v>
      </c>
      <c r="M86" s="71"/>
      <c r="N86" s="62">
        <f>ABS(DSUM(VARDATA2,P$6-1,$A85:$B86))+ABS(DSUM(VARDATA2,N$6-1,$A85:$B86))</f>
        <v>48252512.519999996</v>
      </c>
      <c r="O86" s="62"/>
      <c r="P86" s="62">
        <f>ABS(DSUM(VARDATA2,N$6-1,$C85:$D86))+ABS(DSUM(VARDATA2,P$6-1,$C85:$D86))</f>
        <v>169664139.32999998</v>
      </c>
      <c r="Q86" s="62"/>
      <c r="R86" s="71">
        <f>IF((P86+N86)=0,"",N86/(P86+N86))</f>
        <v>0.22142645874173017</v>
      </c>
      <c r="S86" s="71"/>
      <c r="T86" s="62">
        <f>ABS(DSUM(VARDATA2,V$6-1,$A85:$B86))+ABS(DSUM(VARDATA2,T$6-1,$A85:$B86))</f>
        <v>48252512.515500002</v>
      </c>
      <c r="U86" s="62"/>
      <c r="V86" s="62">
        <f>ABS(DSUM(VARDATA2,T$6-1,$C85:$D86))+ABS(DSUM(VARDATA2,V$6-1,$C85:$D86))</f>
        <v>169664139.33016932</v>
      </c>
      <c r="W86" s="62"/>
      <c r="X86" s="71">
        <f>IF((V86+T86)=0,"",T86/(V86+T86))</f>
        <v>0.2214264587254805</v>
      </c>
      <c r="Y86" s="71"/>
      <c r="Z86" s="62">
        <f>ABS(DSUM(VARDATA2,AB$6-1,$A85:$B86))+ABS(DSUM(VARDATA2,Z$6-1,$A85:$B86))</f>
        <v>48252512.519999996</v>
      </c>
      <c r="AA86" s="62"/>
      <c r="AB86" s="62">
        <f>ABS(DSUM(VARDATA2,Z$6-1,$C85:$D86))+ABS(DSUM(VARDATA2,AB$6-1,$C85:$D86))</f>
        <v>169664139.32999998</v>
      </c>
      <c r="AC86" s="62"/>
      <c r="AD86" s="71">
        <f>IF((AB86+Z86)=0,"",Z86/(AB86+Z86))</f>
        <v>0.22142645874173017</v>
      </c>
      <c r="AE86" s="71"/>
      <c r="AF86" s="71"/>
      <c r="AG86" s="71"/>
      <c r="AH86" s="71"/>
      <c r="AI86" s="68"/>
    </row>
    <row r="87" spans="1:35" x14ac:dyDescent="0.2">
      <c r="A87" s="67"/>
      <c r="B87" s="67"/>
      <c r="C87" s="67"/>
      <c r="D87" s="67"/>
      <c r="E87" s="25"/>
      <c r="F87" s="25" t="s">
        <v>178</v>
      </c>
      <c r="G87" s="25"/>
      <c r="H87" s="28">
        <f>H84-H86</f>
        <v>237908926.87999997</v>
      </c>
      <c r="I87" s="74"/>
      <c r="J87" s="74">
        <f>J84-J86</f>
        <v>442678952.53000003</v>
      </c>
      <c r="K87" s="74"/>
      <c r="L87" s="75">
        <f>IF((J87+H87)=0,"",H87/(J87+H87))</f>
        <v>0.34956386100534537</v>
      </c>
      <c r="M87" s="75"/>
      <c r="N87" s="28">
        <f>N84-N86</f>
        <v>2155919603.0700002</v>
      </c>
      <c r="O87" s="74"/>
      <c r="P87" s="74">
        <f>P84-P86</f>
        <v>5478593916.6100006</v>
      </c>
      <c r="Q87" s="74"/>
      <c r="R87" s="75">
        <f>IF((P87+N87)=0,"",N87/(P87+N87))</f>
        <v>0.28239122211422391</v>
      </c>
      <c r="S87" s="75"/>
      <c r="T87" s="28">
        <f>T84-T86</f>
        <v>2155919603.0662069</v>
      </c>
      <c r="U87" s="74"/>
      <c r="V87" s="74">
        <f>V84-V86</f>
        <v>5478593916.5965748</v>
      </c>
      <c r="W87" s="74"/>
      <c r="X87" s="75">
        <f>IF((V87+T87)=0,"",T87/(V87+T87))</f>
        <v>0.2823912221143639</v>
      </c>
      <c r="Y87" s="75"/>
      <c r="Z87" s="28">
        <f>Z84-Z86</f>
        <v>3292222050.3499999</v>
      </c>
      <c r="AA87" s="74"/>
      <c r="AB87" s="74">
        <f>AB84-AB86</f>
        <v>12384269446.82</v>
      </c>
      <c r="AC87" s="74"/>
      <c r="AD87" s="75">
        <f>IF((AB87+Z87)=0,"",Z87/(AB87+Z87))</f>
        <v>0.21001013211051264</v>
      </c>
      <c r="AE87" s="54"/>
      <c r="AF87" s="54"/>
      <c r="AG87" s="54"/>
      <c r="AH87" s="54"/>
      <c r="AI87" s="16"/>
    </row>
    <row r="88" spans="1:35" hidden="1" x14ac:dyDescent="0.2">
      <c r="A88" s="16" t="s">
        <v>79</v>
      </c>
      <c r="B88" s="16" t="s">
        <v>18</v>
      </c>
      <c r="C88" s="16" t="s">
        <v>79</v>
      </c>
      <c r="D88" s="16" t="s">
        <v>18</v>
      </c>
      <c r="H88" s="3"/>
      <c r="I88" s="61"/>
      <c r="J88" s="62"/>
      <c r="K88" s="62"/>
      <c r="L88" s="3"/>
      <c r="M88" s="3"/>
      <c r="N88" s="3"/>
      <c r="O88" s="61"/>
      <c r="P88" s="62"/>
      <c r="Q88" s="62"/>
      <c r="R88" s="3"/>
      <c r="S88" s="3"/>
      <c r="T88" s="3"/>
      <c r="U88" s="61"/>
      <c r="V88" s="62"/>
      <c r="W88" s="62"/>
      <c r="X88" s="3"/>
      <c r="Y88" s="3"/>
      <c r="Z88" s="3"/>
      <c r="AA88" s="61"/>
      <c r="AB88" s="62"/>
      <c r="AC88" s="62"/>
      <c r="AD88" s="3"/>
      <c r="AE88" s="3"/>
      <c r="AF88" s="3"/>
      <c r="AG88" s="3"/>
      <c r="AH88" s="3"/>
      <c r="AI88" s="16"/>
    </row>
    <row r="89" spans="1:35" x14ac:dyDescent="0.2">
      <c r="A89" s="67" t="s">
        <v>167</v>
      </c>
      <c r="B89" s="67" t="s">
        <v>0</v>
      </c>
      <c r="C89" s="67" t="str">
        <f>A89</f>
        <v>CONTINENTAL GAS</v>
      </c>
      <c r="D89" s="67" t="s">
        <v>1</v>
      </c>
      <c r="E89" s="25"/>
      <c r="F89" s="25" t="s">
        <v>167</v>
      </c>
      <c r="G89" s="25"/>
      <c r="H89" s="29">
        <f>ABS(DSUM(VARDATA2,J$6-1,$A88:$B89))+ABS(DSUM(VARDATA2,H$6-1,$A88:$B89))</f>
        <v>165150.76999999999</v>
      </c>
      <c r="I89" s="62"/>
      <c r="J89" s="62">
        <f>ABS(DSUM(VARDATA2,H$6-1,$C88:$D89))+ABS(DSUM(VARDATA2,J$6-1,$C88:$D89))</f>
        <v>1782469.72</v>
      </c>
      <c r="K89" s="62"/>
      <c r="L89" s="54">
        <f>IF((J89+H89)=0,"",H89/(J89+H89))</f>
        <v>8.4796176076377169E-2</v>
      </c>
      <c r="M89" s="54"/>
      <c r="N89" s="29">
        <f>ABS(DSUM(VARDATA2,P$6-1,$A88:$B89))+ABS(DSUM(VARDATA2,N$6-1,$A88:$B89))</f>
        <v>21270544.879999999</v>
      </c>
      <c r="O89" s="62"/>
      <c r="P89" s="62">
        <f>ABS(DSUM(VARDATA2,N$6-1,$C88:$D89))+ABS(DSUM(VARDATA2,P$6-1,$C88:$D89))</f>
        <v>56768809.149999999</v>
      </c>
      <c r="Q89" s="62"/>
      <c r="R89" s="54">
        <f>IF((P89+N89)=0,"",N89/(P89+N89))</f>
        <v>0.27256177532970283</v>
      </c>
      <c r="S89" s="54"/>
      <c r="T89" s="29">
        <f>ABS(DSUM(VARDATA2,V$6-1,$A88:$B89))+ABS(DSUM(VARDATA2,T$6-1,$A88:$B89))</f>
        <v>21270544.882317301</v>
      </c>
      <c r="U89" s="62"/>
      <c r="V89" s="62">
        <f>ABS(DSUM(VARDATA2,T$6-1,$C88:$D89))+ABS(DSUM(VARDATA2,V$6-1,$C88:$D89))</f>
        <v>56768809.151211031</v>
      </c>
      <c r="W89" s="62"/>
      <c r="X89" s="54">
        <f>IF((V89+T89)=0,"",T89/(V89+T89))</f>
        <v>0.27256177534707376</v>
      </c>
      <c r="Y89" s="54"/>
      <c r="Z89" s="29">
        <f>ABS(DSUM(VARDATA2,AB$6-1,$A88:$B89))+ABS(DSUM(VARDATA2,Z$6-1,$A88:$B89))</f>
        <v>21270544.879999999</v>
      </c>
      <c r="AA89" s="62"/>
      <c r="AB89" s="62">
        <f>ABS(DSUM(VARDATA2,Z$6-1,$C88:$D89))+ABS(DSUM(VARDATA2,AB$6-1,$C88:$D89))</f>
        <v>56768809.149999999</v>
      </c>
      <c r="AC89" s="62"/>
      <c r="AD89" s="54">
        <f>IF((AB89+Z89)=0,"",Z89/(AB89+Z89))</f>
        <v>0.27256177532970283</v>
      </c>
      <c r="AE89" s="54"/>
      <c r="AF89" s="54"/>
      <c r="AG89" s="54"/>
      <c r="AH89" s="54"/>
      <c r="AI89" s="16"/>
    </row>
    <row r="90" spans="1:35" hidden="1" x14ac:dyDescent="0.2">
      <c r="A90" s="16" t="s">
        <v>79</v>
      </c>
      <c r="B90" s="16" t="s">
        <v>18</v>
      </c>
      <c r="C90" s="16" t="s">
        <v>79</v>
      </c>
      <c r="D90" s="16" t="s">
        <v>18</v>
      </c>
      <c r="H90" s="3"/>
      <c r="I90" s="61"/>
      <c r="J90" s="62"/>
      <c r="K90" s="62"/>
      <c r="L90" s="3"/>
      <c r="M90" s="3"/>
      <c r="N90" s="3"/>
      <c r="O90" s="61"/>
      <c r="P90" s="62"/>
      <c r="Q90" s="62"/>
      <c r="R90" s="3"/>
      <c r="S90" s="3"/>
      <c r="T90" s="3"/>
      <c r="U90" s="61"/>
      <c r="V90" s="62"/>
      <c r="W90" s="62"/>
      <c r="X90" s="3"/>
      <c r="Y90" s="3"/>
      <c r="Z90" s="3"/>
      <c r="AA90" s="61"/>
      <c r="AB90" s="62"/>
      <c r="AC90" s="62"/>
      <c r="AD90" s="3"/>
      <c r="AE90" s="3"/>
      <c r="AF90" s="3"/>
      <c r="AG90" s="3"/>
      <c r="AH90" s="3"/>
      <c r="AI90" s="16"/>
    </row>
    <row r="91" spans="1:35" x14ac:dyDescent="0.2">
      <c r="A91" s="67" t="s">
        <v>87</v>
      </c>
      <c r="B91" s="67" t="s">
        <v>0</v>
      </c>
      <c r="C91" s="67" t="str">
        <f>A91</f>
        <v>UK GAS</v>
      </c>
      <c r="D91" s="67" t="s">
        <v>1</v>
      </c>
      <c r="E91" s="25"/>
      <c r="F91" s="25" t="s">
        <v>87</v>
      </c>
      <c r="G91" s="25"/>
      <c r="H91" s="29">
        <f>ABS(DSUM(VARDATA2,J$6-1,$A90:$B91))+ABS(DSUM(VARDATA2,H$6-1,$A90:$B91))</f>
        <v>12048877.42</v>
      </c>
      <c r="I91" s="62"/>
      <c r="J91" s="62">
        <f>ABS(DSUM(VARDATA2,H$6-1,$C90:$D91))+ABS(DSUM(VARDATA2,J$6-1,$C90:$D91))</f>
        <v>17827882.469999999</v>
      </c>
      <c r="K91" s="62"/>
      <c r="L91" s="54">
        <f>IF((J91+H91)=0,"",H91/(J91+H91))</f>
        <v>0.40328594748431401</v>
      </c>
      <c r="M91" s="54"/>
      <c r="N91" s="29">
        <f>ABS(DSUM(VARDATA2,P$6-1,$A90:$B91))+ABS(DSUM(VARDATA2,N$6-1,$A90:$B91))</f>
        <v>153274571.72999999</v>
      </c>
      <c r="O91" s="62"/>
      <c r="P91" s="62">
        <f>ABS(DSUM(VARDATA2,N$6-1,$C90:$D91))+ABS(DSUM(VARDATA2,P$6-1,$C90:$D91))</f>
        <v>407204092.75</v>
      </c>
      <c r="Q91" s="62"/>
      <c r="R91" s="54">
        <f>IF((P91+N91)=0,"",N91/(P91+N91))</f>
        <v>0.27347084098590052</v>
      </c>
      <c r="S91" s="54"/>
      <c r="T91" s="29">
        <f>ABS(DSUM(VARDATA2,V$6-1,$A90:$B91))+ABS(DSUM(VARDATA2,T$6-1,$A90:$B91))</f>
        <v>153274571.72708142</v>
      </c>
      <c r="U91" s="62"/>
      <c r="V91" s="62">
        <f>ABS(DSUM(VARDATA2,T$6-1,$C90:$D91))+ABS(DSUM(VARDATA2,V$6-1,$C90:$D91))</f>
        <v>407204092.7497493</v>
      </c>
      <c r="W91" s="62"/>
      <c r="X91" s="54">
        <f>IF((V91+T91)=0,"",T91/(V91+T91))</f>
        <v>0.27347084098223962</v>
      </c>
      <c r="Y91" s="54"/>
      <c r="Z91" s="29">
        <f>ABS(DSUM(VARDATA2,AB$6-1,$A90:$B91))+ABS(DSUM(VARDATA2,Z$6-1,$A90:$B91))</f>
        <v>153274571.72999999</v>
      </c>
      <c r="AA91" s="62"/>
      <c r="AB91" s="62">
        <f>ABS(DSUM(VARDATA2,Z$6-1,$C90:$D91))+ABS(DSUM(VARDATA2,AB$6-1,$C90:$D91))</f>
        <v>407204092.75</v>
      </c>
      <c r="AC91" s="62"/>
      <c r="AD91" s="54">
        <f>IF((AB91+Z91)=0,"",Z91/(AB91+Z91))</f>
        <v>0.27347084098590052</v>
      </c>
      <c r="AE91" s="54"/>
      <c r="AF91" s="54"/>
      <c r="AG91" s="54"/>
      <c r="AH91" s="54"/>
      <c r="AI91" s="16"/>
    </row>
    <row r="92" spans="1:35" hidden="1" x14ac:dyDescent="0.2">
      <c r="A92" s="16" t="s">
        <v>79</v>
      </c>
      <c r="B92" s="16" t="s">
        <v>18</v>
      </c>
      <c r="C92" s="16" t="s">
        <v>79</v>
      </c>
      <c r="D92" s="16" t="s">
        <v>18</v>
      </c>
      <c r="H92" s="3"/>
      <c r="I92" s="61"/>
      <c r="J92" s="62"/>
      <c r="K92" s="62"/>
      <c r="L92" s="3"/>
      <c r="M92" s="3"/>
      <c r="N92" s="3"/>
      <c r="O92" s="61"/>
      <c r="P92" s="62"/>
      <c r="Q92" s="62"/>
      <c r="R92" s="3"/>
      <c r="S92" s="3"/>
      <c r="T92" s="3"/>
      <c r="U92" s="61"/>
      <c r="V92" s="62"/>
      <c r="W92" s="62"/>
      <c r="X92" s="3"/>
      <c r="Y92" s="3"/>
      <c r="Z92" s="3"/>
      <c r="AA92" s="61"/>
      <c r="AB92" s="62"/>
      <c r="AC92" s="62"/>
      <c r="AD92" s="3"/>
      <c r="AE92" s="3"/>
      <c r="AF92" s="3"/>
      <c r="AG92" s="3"/>
      <c r="AH92" s="3"/>
      <c r="AI92" s="16"/>
    </row>
    <row r="93" spans="1:35" x14ac:dyDescent="0.2">
      <c r="A93" s="67" t="s">
        <v>86</v>
      </c>
      <c r="B93" s="67" t="s">
        <v>0</v>
      </c>
      <c r="C93" s="67" t="str">
        <f>A93</f>
        <v>POWER</v>
      </c>
      <c r="D93" s="67" t="s">
        <v>1</v>
      </c>
      <c r="E93" s="25"/>
      <c r="F93" s="25" t="s">
        <v>89</v>
      </c>
      <c r="G93" s="25"/>
      <c r="H93" s="29">
        <f>ABS(DSUM(VARDATA2,J$6-1,$A92:$B93))+ABS(DSUM(VARDATA2,H$6-1,$A92:$B93))</f>
        <v>28878800</v>
      </c>
      <c r="I93" s="62"/>
      <c r="J93" s="62">
        <f>ABS(DSUM(VARDATA2,H$6-1,$C92:$D93))+ABS(DSUM(VARDATA2,J$6-1,$C92:$D93))</f>
        <v>265680896.34999999</v>
      </c>
      <c r="K93" s="62"/>
      <c r="L93" s="54">
        <f>IF((J93+H93)=0,"",H93/(J93+H93))</f>
        <v>9.8040568203484973E-2</v>
      </c>
      <c r="M93" s="54"/>
      <c r="N93" s="29">
        <f>ABS(DSUM(VARDATA2,P$6-1,$A92:$B93))+ABS(DSUM(VARDATA2,N$6-1,$A92:$B93))</f>
        <v>216583528</v>
      </c>
      <c r="O93" s="62"/>
      <c r="P93" s="62">
        <f>ABS(DSUM(VARDATA2,N$6-1,$C92:$D93))+ABS(DSUM(VARDATA2,P$6-1,$C92:$D93))</f>
        <v>2165490926.4699998</v>
      </c>
      <c r="Q93" s="62"/>
      <c r="R93" s="54">
        <f>IF((P93+N93)=0,"",N93/(P93+N93))</f>
        <v>9.0922232759592228E-2</v>
      </c>
      <c r="S93" s="54"/>
      <c r="T93" s="29">
        <f>ABS(DSUM(VARDATA2,V$6-1,$A92:$B93))+ABS(DSUM(VARDATA2,T$6-1,$A92:$B93))</f>
        <v>216583528</v>
      </c>
      <c r="U93" s="62"/>
      <c r="V93" s="62">
        <f>ABS(DSUM(VARDATA2,T$6-1,$C92:$D93))+ABS(DSUM(VARDATA2,V$6-1,$C92:$D93))</f>
        <v>2165490926.4699998</v>
      </c>
      <c r="W93" s="62"/>
      <c r="X93" s="54">
        <f>IF((V93+T93)=0,"",T93/(V93+T93))</f>
        <v>9.0922232759592228E-2</v>
      </c>
      <c r="Y93" s="54"/>
      <c r="Z93" s="29">
        <f>ABS(DSUM(VARDATA2,AB$6-1,$A92:$B93))+ABS(DSUM(VARDATA2,Z$6-1,$A92:$B93))</f>
        <v>264475404</v>
      </c>
      <c r="AA93" s="62"/>
      <c r="AB93" s="62">
        <f>ABS(DSUM(VARDATA2,Z$6-1,$C92:$D93))+ABS(DSUM(VARDATA2,AB$6-1,$C92:$D93))</f>
        <v>4073929420.98</v>
      </c>
      <c r="AC93" s="62"/>
      <c r="AD93" s="54">
        <f>IF((AB93+Z93)=0,"",Z93/(AB93+Z93))</f>
        <v>6.0961439669526288E-2</v>
      </c>
      <c r="AE93" s="54"/>
      <c r="AF93" s="54"/>
      <c r="AG93" s="54"/>
      <c r="AH93" s="54"/>
      <c r="AI93" s="16"/>
    </row>
    <row r="94" spans="1:35" hidden="1" x14ac:dyDescent="0.2">
      <c r="A94" s="16" t="s">
        <v>79</v>
      </c>
      <c r="B94" s="16" t="s">
        <v>18</v>
      </c>
      <c r="C94" s="16" t="s">
        <v>79</v>
      </c>
      <c r="D94" s="16" t="s">
        <v>18</v>
      </c>
      <c r="H94" s="3"/>
      <c r="I94" s="61"/>
      <c r="J94" s="62"/>
      <c r="K94" s="62"/>
      <c r="L94" s="3"/>
      <c r="M94" s="3"/>
      <c r="N94" s="3"/>
      <c r="O94" s="61"/>
      <c r="P94" s="62"/>
      <c r="Q94" s="62"/>
      <c r="R94" s="3"/>
      <c r="S94" s="3"/>
      <c r="T94" s="3"/>
      <c r="U94" s="61"/>
      <c r="V94" s="62"/>
      <c r="W94" s="62"/>
      <c r="X94" s="3"/>
      <c r="Y94" s="3"/>
      <c r="Z94" s="3"/>
      <c r="AA94" s="61"/>
      <c r="AB94" s="62"/>
      <c r="AC94" s="62"/>
      <c r="AD94" s="3"/>
      <c r="AE94" s="3"/>
      <c r="AF94" s="3"/>
      <c r="AG94" s="3"/>
      <c r="AH94" s="3"/>
      <c r="AI94" s="16"/>
    </row>
    <row r="95" spans="1:35" x14ac:dyDescent="0.2">
      <c r="A95" s="67" t="s">
        <v>80</v>
      </c>
      <c r="B95" s="67" t="s">
        <v>0</v>
      </c>
      <c r="C95" s="67" t="str">
        <f>A95</f>
        <v>CONTINENTAL POWER</v>
      </c>
      <c r="D95" s="67" t="s">
        <v>1</v>
      </c>
      <c r="E95" s="25"/>
      <c r="F95" s="25" t="s">
        <v>80</v>
      </c>
      <c r="G95" s="25"/>
      <c r="H95" s="29">
        <f>ABS(DSUM(VARDATA2,J$6-1,$A94:$B95))+ABS(DSUM(VARDATA2,H$6-1,$A94:$B95))</f>
        <v>231659.39</v>
      </c>
      <c r="I95" s="62"/>
      <c r="J95" s="62">
        <f>ABS(DSUM(VARDATA2,H$6-1,$C94:$D95))+ABS(DSUM(VARDATA2,J$6-1,$C94:$D95))</f>
        <v>1646798.3399999999</v>
      </c>
      <c r="K95" s="62"/>
      <c r="L95" s="54">
        <f>IF((J95+H95)=0,"",H95/(J95+H95))</f>
        <v>0.12332424962258801</v>
      </c>
      <c r="M95" s="54"/>
      <c r="N95" s="29">
        <f>ABS(DSUM(VARDATA2,P$6-1,$A94:$B95))+ABS(DSUM(VARDATA2,N$6-1,$A94:$B95))</f>
        <v>2284753.0300000003</v>
      </c>
      <c r="O95" s="62"/>
      <c r="P95" s="62">
        <f>ABS(DSUM(VARDATA2,N$6-1,$C94:$D95))+ABS(DSUM(VARDATA2,P$6-1,$C94:$D95))</f>
        <v>138490354.22</v>
      </c>
      <c r="Q95" s="62"/>
      <c r="R95" s="54">
        <f>IF((P95+N95)=0,"",N95/(P95+N95))</f>
        <v>1.6229808484127441E-2</v>
      </c>
      <c r="S95" s="54"/>
      <c r="T95" s="29">
        <f>ABS(DSUM(VARDATA2,V$6-1,$A94:$B95))+ABS(DSUM(VARDATA2,T$6-1,$A94:$B95))</f>
        <v>2284753.0364183579</v>
      </c>
      <c r="U95" s="62"/>
      <c r="V95" s="62">
        <f>ABS(DSUM(VARDATA2,T$6-1,$C94:$D95))+ABS(DSUM(VARDATA2,V$6-1,$C94:$D95))</f>
        <v>138490354.214176</v>
      </c>
      <c r="W95" s="62"/>
      <c r="X95" s="54">
        <f>IF((V95+T95)=0,"",T95/(V95+T95))</f>
        <v>1.6229808529651904E-2</v>
      </c>
      <c r="Y95" s="54"/>
      <c r="Z95" s="29">
        <f>ABS(DSUM(VARDATA2,AB$6-1,$A94:$B95))+ABS(DSUM(VARDATA2,Z$6-1,$A94:$B95))</f>
        <v>2284753.0300000003</v>
      </c>
      <c r="AA95" s="62"/>
      <c r="AB95" s="62">
        <f>ABS(DSUM(VARDATA2,Z$6-1,$C94:$D95))+ABS(DSUM(VARDATA2,AB$6-1,$C94:$D95))</f>
        <v>138490354.22</v>
      </c>
      <c r="AC95" s="62"/>
      <c r="AD95" s="54">
        <f>IF((AB95+Z95)=0,"",Z95/(AB95+Z95))</f>
        <v>1.6229808484127441E-2</v>
      </c>
      <c r="AE95" s="54"/>
      <c r="AF95" s="54"/>
      <c r="AG95" s="54"/>
      <c r="AH95" s="54"/>
      <c r="AI95" s="16"/>
    </row>
    <row r="96" spans="1:35" hidden="1" x14ac:dyDescent="0.2">
      <c r="A96" s="16" t="s">
        <v>79</v>
      </c>
      <c r="B96" s="16" t="s">
        <v>18</v>
      </c>
      <c r="C96" s="16" t="s">
        <v>79</v>
      </c>
      <c r="D96" s="16" t="s">
        <v>18</v>
      </c>
      <c r="H96" s="3"/>
      <c r="I96" s="61"/>
      <c r="J96" s="62"/>
      <c r="K96" s="62"/>
      <c r="L96" s="3"/>
      <c r="M96" s="3"/>
      <c r="N96" s="3"/>
      <c r="O96" s="61"/>
      <c r="P96" s="62"/>
      <c r="Q96" s="62"/>
      <c r="R96" s="3"/>
      <c r="S96" s="3"/>
      <c r="T96" s="3"/>
      <c r="U96" s="61"/>
      <c r="V96" s="62"/>
      <c r="W96" s="62"/>
      <c r="X96" s="3"/>
      <c r="Y96" s="3"/>
      <c r="Z96" s="3"/>
      <c r="AA96" s="61"/>
      <c r="AB96" s="62"/>
      <c r="AC96" s="62"/>
      <c r="AD96" s="3"/>
      <c r="AE96" s="3"/>
      <c r="AF96" s="3"/>
      <c r="AG96" s="3"/>
      <c r="AH96" s="3"/>
      <c r="AI96" s="16"/>
    </row>
    <row r="97" spans="1:35" x14ac:dyDescent="0.2">
      <c r="A97" s="67" t="s">
        <v>104</v>
      </c>
      <c r="B97" s="67" t="s">
        <v>0</v>
      </c>
      <c r="C97" s="67" t="s">
        <v>104</v>
      </c>
      <c r="D97" s="67" t="s">
        <v>1</v>
      </c>
      <c r="F97" s="25" t="s">
        <v>104</v>
      </c>
      <c r="G97" s="25"/>
      <c r="H97" s="29">
        <f>ABS(DSUM(VARDATA2,J$6-1,$A96:$B97))+ABS(DSUM(VARDATA2,H$6-1,$A96:$B97))</f>
        <v>0</v>
      </c>
      <c r="I97" s="62"/>
      <c r="J97" s="62">
        <f>ABS(DSUM(VARDATA2,H$6-1,$C96:$D97))+ABS(DSUM(VARDATA2,J$6-1,$C96:$D97))</f>
        <v>6516558.4399999995</v>
      </c>
      <c r="K97" s="62"/>
      <c r="L97" s="54">
        <f>IF((J97+H97)=0,"",H97/(J97+H97))</f>
        <v>0</v>
      </c>
      <c r="M97" s="54"/>
      <c r="N97" s="29">
        <f>ABS(DSUM(VARDATA2,P$6-1,$A96:$B97))+ABS(DSUM(VARDATA2,N$6-1,$A96:$B97))</f>
        <v>6770163.6300000008</v>
      </c>
      <c r="O97" s="62"/>
      <c r="P97" s="62">
        <f>ABS(DSUM(VARDATA2,N$6-1,$C96:$D97))+ABS(DSUM(VARDATA2,P$6-1,$C96:$D97))</f>
        <v>221086797.68000001</v>
      </c>
      <c r="Q97" s="62"/>
      <c r="R97" s="54">
        <f>IF((P97+N97)=0,"",N97/(P97+N97))</f>
        <v>2.9712340545036828E-2</v>
      </c>
      <c r="S97" s="54"/>
      <c r="T97" s="29">
        <f>ABS(DSUM(VARDATA2,V$6-1,$A96:$B97))+ABS(DSUM(VARDATA2,T$6-1,$A96:$B97))</f>
        <v>6770163.6275069695</v>
      </c>
      <c r="U97" s="62"/>
      <c r="V97" s="62">
        <f>ABS(DSUM(VARDATA2,T$6-1,$C96:$D97))+ABS(DSUM(VARDATA2,V$6-1,$C96:$D97))</f>
        <v>221086797.68357474</v>
      </c>
      <c r="W97" s="62"/>
      <c r="X97" s="54">
        <f>IF((V97+T97)=0,"",T97/(V97+T97))</f>
        <v>2.9712340533954561E-2</v>
      </c>
      <c r="Y97" s="54"/>
      <c r="Z97" s="29">
        <f>ABS(DSUM(VARDATA2,AB$6-1,$A96:$B97))+ABS(DSUM(VARDATA2,Z$6-1,$A96:$B97))</f>
        <v>7722373.8300000001</v>
      </c>
      <c r="AA97" s="62"/>
      <c r="AB97" s="62">
        <f>ABS(DSUM(VARDATA2,Z$6-1,$C96:$D97))+ABS(DSUM(VARDATA2,AB$6-1,$C96:$D97))</f>
        <v>357421321.56</v>
      </c>
      <c r="AC97" s="62"/>
      <c r="AD97" s="54">
        <f>IF((AB97+Z97)=0,"",Z97/(AB97+Z97))</f>
        <v>2.1148862564235003E-2</v>
      </c>
      <c r="AE97" s="54"/>
      <c r="AF97" s="54"/>
      <c r="AG97" s="54"/>
      <c r="AH97" s="54"/>
      <c r="AI97" s="16"/>
    </row>
    <row r="98" spans="1:35" hidden="1" x14ac:dyDescent="0.2">
      <c r="A98" s="16" t="s">
        <v>79</v>
      </c>
      <c r="B98" s="16" t="s">
        <v>18</v>
      </c>
      <c r="C98" s="16" t="s">
        <v>79</v>
      </c>
      <c r="D98" s="16" t="s">
        <v>18</v>
      </c>
      <c r="H98" s="3"/>
      <c r="I98" s="61"/>
      <c r="J98" s="62"/>
      <c r="K98" s="62"/>
      <c r="L98" s="3"/>
      <c r="M98" s="3"/>
      <c r="N98" s="3"/>
      <c r="O98" s="61"/>
      <c r="P98" s="62"/>
      <c r="Q98" s="62"/>
      <c r="R98" s="3"/>
      <c r="S98" s="3"/>
      <c r="T98" s="3"/>
      <c r="U98" s="61"/>
      <c r="V98" s="62"/>
      <c r="W98" s="62"/>
      <c r="X98" s="3"/>
      <c r="Y98" s="3"/>
      <c r="Z98" s="3"/>
      <c r="AA98" s="61"/>
      <c r="AB98" s="62"/>
      <c r="AC98" s="62"/>
      <c r="AD98" s="3"/>
      <c r="AE98" s="3"/>
      <c r="AF98" s="3"/>
      <c r="AG98" s="3"/>
      <c r="AH98" s="3"/>
      <c r="AI98" s="16"/>
    </row>
    <row r="99" spans="1:35" x14ac:dyDescent="0.2">
      <c r="A99" s="67" t="s">
        <v>88</v>
      </c>
      <c r="B99" s="67" t="s">
        <v>0</v>
      </c>
      <c r="C99" s="67" t="str">
        <f>A99</f>
        <v>UK POWER</v>
      </c>
      <c r="D99" s="67" t="s">
        <v>1</v>
      </c>
      <c r="E99" s="25"/>
      <c r="F99" s="25" t="s">
        <v>88</v>
      </c>
      <c r="G99" s="25"/>
      <c r="H99" s="29">
        <f>ABS(DSUM(VARDATA2,J$6-1,$A98:$B99))+ABS(DSUM(VARDATA2,H$6-1,$A98:$B99))</f>
        <v>1723313.67</v>
      </c>
      <c r="I99" s="62"/>
      <c r="J99" s="62">
        <f>ABS(DSUM(VARDATA2,H$6-1,$C98:$D99))+ABS(DSUM(VARDATA2,J$6-1,$C98:$D99))</f>
        <v>10319791.869999999</v>
      </c>
      <c r="K99" s="62"/>
      <c r="L99" s="54">
        <f>IF((J99+H99)=0,"",H99/(J99+H99))</f>
        <v>0.14309545526078651</v>
      </c>
      <c r="M99" s="54"/>
      <c r="N99" s="29">
        <f>ABS(DSUM(VARDATA2,P$6-1,$A98:$B99))+ABS(DSUM(VARDATA2,N$6-1,$A98:$B99))</f>
        <v>88656079.730000004</v>
      </c>
      <c r="O99" s="62"/>
      <c r="P99" s="62">
        <f>ABS(DSUM(VARDATA2,N$6-1,$C98:$D99))+ABS(DSUM(VARDATA2,P$6-1,$C98:$D99))</f>
        <v>556159285.39999998</v>
      </c>
      <c r="Q99" s="62"/>
      <c r="R99" s="54">
        <f>IF((P99+N99)=0,"",N99/(P99+N99))</f>
        <v>0.13749064387156193</v>
      </c>
      <c r="S99" s="54"/>
      <c r="T99" s="29">
        <f>ABS(DSUM(VARDATA2,V$6-1,$A98:$B99))+ABS(DSUM(VARDATA2,T$6-1,$A98:$B99))</f>
        <v>88656079.731622607</v>
      </c>
      <c r="U99" s="62"/>
      <c r="V99" s="62">
        <f>ABS(DSUM(VARDATA2,T$6-1,$C98:$D99))+ABS(DSUM(VARDATA2,V$6-1,$C98:$D99))</f>
        <v>556159285.40210903</v>
      </c>
      <c r="W99" s="62"/>
      <c r="X99" s="54">
        <f>IF((V99+T99)=0,"",T99/(V99+T99))</f>
        <v>0.13749064387328264</v>
      </c>
      <c r="Y99" s="54"/>
      <c r="Z99" s="29">
        <f>ABS(DSUM(VARDATA2,AB$6-1,$A98:$B99))+ABS(DSUM(VARDATA2,Z$6-1,$A98:$B99))</f>
        <v>88656079.730000004</v>
      </c>
      <c r="AA99" s="62"/>
      <c r="AB99" s="62">
        <f>ABS(DSUM(VARDATA2,Z$6-1,$C98:$D99))+ABS(DSUM(VARDATA2,AB$6-1,$C98:$D99))</f>
        <v>556159285.39999998</v>
      </c>
      <c r="AC99" s="62"/>
      <c r="AD99" s="54">
        <f>IF((AB99+Z99)=0,"",Z99/(AB99+Z99))</f>
        <v>0.13749064387156193</v>
      </c>
      <c r="AE99" s="54"/>
      <c r="AF99" s="54"/>
      <c r="AG99" s="54"/>
      <c r="AH99" s="54"/>
      <c r="AI99" s="16"/>
    </row>
    <row r="100" spans="1:35" hidden="1" x14ac:dyDescent="0.2">
      <c r="A100" s="16" t="s">
        <v>79</v>
      </c>
      <c r="B100" s="16" t="s">
        <v>18</v>
      </c>
      <c r="C100" s="16" t="s">
        <v>79</v>
      </c>
      <c r="D100" s="16" t="s">
        <v>18</v>
      </c>
      <c r="H100" s="3"/>
      <c r="I100" s="61"/>
      <c r="J100" s="62"/>
      <c r="K100" s="62"/>
      <c r="L100" s="3"/>
      <c r="M100" s="3"/>
      <c r="N100" s="3"/>
      <c r="O100" s="61"/>
      <c r="P100" s="62"/>
      <c r="Q100" s="62"/>
      <c r="R100" s="3"/>
      <c r="S100" s="3"/>
      <c r="T100" s="3"/>
      <c r="U100" s="61"/>
      <c r="V100" s="62"/>
      <c r="W100" s="62"/>
      <c r="X100" s="3"/>
      <c r="Y100" s="3"/>
      <c r="Z100" s="3"/>
      <c r="AA100" s="61"/>
      <c r="AB100" s="62"/>
      <c r="AC100" s="62"/>
      <c r="AD100" s="3"/>
      <c r="AE100" s="3"/>
      <c r="AF100" s="3"/>
      <c r="AG100" s="3"/>
      <c r="AH100" s="3"/>
      <c r="AI100" s="16"/>
    </row>
    <row r="101" spans="1:35" x14ac:dyDescent="0.2">
      <c r="A101" s="67" t="s">
        <v>102</v>
      </c>
      <c r="B101" s="67" t="s">
        <v>0</v>
      </c>
      <c r="C101" s="67" t="s">
        <v>102</v>
      </c>
      <c r="D101" s="67" t="s">
        <v>1</v>
      </c>
      <c r="E101" s="25"/>
      <c r="F101" s="25" t="s">
        <v>102</v>
      </c>
      <c r="G101" s="25"/>
      <c r="H101" s="29">
        <f>ABS(DSUM(VARDATA2,J$6-1,$A100:$B101))+ABS(DSUM(VARDATA2,H$6-1,$A100:$B101))</f>
        <v>9793070.0899999999</v>
      </c>
      <c r="I101" s="62"/>
      <c r="J101" s="62">
        <f>ABS(DSUM(VARDATA2,H$6-1,$C100:$D101))+ABS(DSUM(VARDATA2,J$6-1,$C100:$D101))</f>
        <v>404558349.53999996</v>
      </c>
      <c r="K101" s="62"/>
      <c r="L101" s="54">
        <f>IF((J101+H101)=0,"",H101/(J101+H101))</f>
        <v>2.3634696603054575E-2</v>
      </c>
      <c r="M101" s="54"/>
      <c r="N101" s="29">
        <f>ABS(DSUM(VARDATA2,P$6-1,$A100:$B101))+ABS(DSUM(VARDATA2,N$6-1,$A100:$B101))</f>
        <v>246350301.56</v>
      </c>
      <c r="O101" s="62"/>
      <c r="P101" s="62">
        <f>ABS(DSUM(VARDATA2,N$6-1,$C100:$D101))+ABS(DSUM(VARDATA2,P$6-1,$C100:$D101))</f>
        <v>4549739986.8400002</v>
      </c>
      <c r="Q101" s="62"/>
      <c r="R101" s="54">
        <f>IF((P101+N101)=0,"",N101/(P101+N101))</f>
        <v>5.1364817329613635E-2</v>
      </c>
      <c r="S101" s="54"/>
      <c r="T101" s="29">
        <f>ABS(DSUM(VARDATA2,V$6-1,$A100:$B101))+ABS(DSUM(VARDATA2,T$6-1,$A100:$B101))</f>
        <v>246350301.55973801</v>
      </c>
      <c r="U101" s="62"/>
      <c r="V101" s="62">
        <f>ABS(DSUM(VARDATA2,T$6-1,$C100:$D101))+ABS(DSUM(VARDATA2,V$6-1,$C100:$D101))</f>
        <v>4549739986.8464899</v>
      </c>
      <c r="W101" s="62"/>
      <c r="X101" s="54">
        <f>IF((V101+T101)=0,"",T101/(V101+T101))</f>
        <v>5.1364817329492315E-2</v>
      </c>
      <c r="Y101" s="54"/>
      <c r="Z101" s="29">
        <f>ABS(DSUM(VARDATA2,AB$6-1,$A100:$B101))+ABS(DSUM(VARDATA2,Z$6-1,$A100:$B101))</f>
        <v>246350301.56</v>
      </c>
      <c r="AA101" s="62"/>
      <c r="AB101" s="62">
        <f>ABS(DSUM(VARDATA2,Z$6-1,$C100:$D101))+ABS(DSUM(VARDATA2,AB$6-1,$C100:$D101))</f>
        <v>4549739986.8400002</v>
      </c>
      <c r="AC101" s="62"/>
      <c r="AD101" s="54">
        <f>IF((AB101+Z101)=0,"",Z101/(AB101+Z101))</f>
        <v>5.1364817329613635E-2</v>
      </c>
      <c r="AE101" s="54"/>
      <c r="AF101" s="54"/>
      <c r="AG101" s="54"/>
      <c r="AH101" s="54"/>
      <c r="AI101" s="16"/>
    </row>
    <row r="102" spans="1:35" hidden="1" x14ac:dyDescent="0.2">
      <c r="A102" s="16" t="s">
        <v>79</v>
      </c>
      <c r="B102" s="16" t="s">
        <v>18</v>
      </c>
      <c r="C102" s="16" t="s">
        <v>79</v>
      </c>
      <c r="D102" s="16" t="s">
        <v>18</v>
      </c>
      <c r="H102" s="3"/>
      <c r="I102" s="61"/>
      <c r="J102" s="62"/>
      <c r="K102" s="62"/>
      <c r="L102" s="3"/>
      <c r="M102" s="3"/>
      <c r="N102" s="3"/>
      <c r="O102" s="61"/>
      <c r="P102" s="62"/>
      <c r="Q102" s="62"/>
      <c r="R102" s="3"/>
      <c r="S102" s="3"/>
      <c r="T102" s="3"/>
      <c r="U102" s="61"/>
      <c r="V102" s="62"/>
      <c r="W102" s="62"/>
      <c r="X102" s="3"/>
      <c r="Y102" s="3"/>
      <c r="Z102" s="3"/>
      <c r="AA102" s="61"/>
      <c r="AB102" s="62"/>
      <c r="AC102" s="62"/>
      <c r="AD102" s="3"/>
      <c r="AE102" s="3"/>
      <c r="AF102" s="3"/>
      <c r="AG102" s="3"/>
      <c r="AH102" s="3"/>
      <c r="AI102" s="16"/>
    </row>
    <row r="103" spans="1:35" x14ac:dyDescent="0.2">
      <c r="A103" s="67" t="s">
        <v>101</v>
      </c>
      <c r="B103" s="67" t="s">
        <v>0</v>
      </c>
      <c r="C103" s="67" t="s">
        <v>101</v>
      </c>
      <c r="D103" s="67" t="s">
        <v>1</v>
      </c>
      <c r="E103" s="25"/>
      <c r="F103" s="25" t="s">
        <v>101</v>
      </c>
      <c r="G103" s="25"/>
      <c r="H103" s="29">
        <f>ABS(DSUM(VARDATA2,J$6-1,$A102:$B103))+ABS(DSUM(VARDATA2,H$6-1,$A102:$B103))</f>
        <v>16280000</v>
      </c>
      <c r="I103" s="62"/>
      <c r="J103" s="62">
        <f>ABS(DSUM(VARDATA2,H$6-1,$C102:$D103))+ABS(DSUM(VARDATA2,J$6-1,$C102:$D103))</f>
        <v>22356396.32</v>
      </c>
      <c r="K103" s="62"/>
      <c r="L103" s="54">
        <f>IF((J103+H103)=0,"",H103/(J103+H103))</f>
        <v>0.42136434943785667</v>
      </c>
      <c r="M103" s="54"/>
      <c r="N103" s="29">
        <f>ABS(DSUM(VARDATA2,P$6-1,$A102:$B103))+ABS(DSUM(VARDATA2,N$6-1,$A102:$B103))</f>
        <v>55700000</v>
      </c>
      <c r="O103" s="62"/>
      <c r="P103" s="62">
        <f>ABS(DSUM(VARDATA2,N$6-1,$C102:$D103))+ABS(DSUM(VARDATA2,P$6-1,$C102:$D103))</f>
        <v>691346737.54999995</v>
      </c>
      <c r="Q103" s="62"/>
      <c r="R103" s="54">
        <f>IF((P103+N103)=0,"",N103/(P103+N103))</f>
        <v>7.4560261360182956E-2</v>
      </c>
      <c r="S103" s="54"/>
      <c r="T103" s="29">
        <f>ABS(DSUM(VARDATA2,V$6-1,$A102:$B103))+ABS(DSUM(VARDATA2,T$6-1,$A102:$B103))</f>
        <v>55700000</v>
      </c>
      <c r="U103" s="62"/>
      <c r="V103" s="62">
        <f>ABS(DSUM(VARDATA2,T$6-1,$C102:$D103))+ABS(DSUM(VARDATA2,V$6-1,$C102:$D103))</f>
        <v>691346737.54800808</v>
      </c>
      <c r="W103" s="62"/>
      <c r="X103" s="54">
        <f>IF((V103+T103)=0,"",T103/(V103+T103))</f>
        <v>7.4560261360381755E-2</v>
      </c>
      <c r="Y103" s="54"/>
      <c r="Z103" s="29">
        <f>ABS(DSUM(VARDATA2,AB$6-1,$A102:$B103))+ABS(DSUM(VARDATA2,Z$6-1,$A102:$B103))</f>
        <v>55700000</v>
      </c>
      <c r="AA103" s="62"/>
      <c r="AB103" s="62">
        <f>ABS(DSUM(VARDATA2,Z$6-1,$C102:$D103))+ABS(DSUM(VARDATA2,AB$6-1,$C102:$D103))</f>
        <v>691346737.54999995</v>
      </c>
      <c r="AC103" s="62"/>
      <c r="AD103" s="54">
        <f>IF((AB103+Z103)=0,"",Z103/(AB103+Z103))</f>
        <v>7.4560261360182956E-2</v>
      </c>
      <c r="AE103" s="54"/>
      <c r="AF103" s="54"/>
      <c r="AG103" s="54"/>
      <c r="AH103" s="54"/>
      <c r="AI103" s="16"/>
    </row>
    <row r="104" spans="1:35" hidden="1" x14ac:dyDescent="0.2">
      <c r="A104" s="16" t="s">
        <v>79</v>
      </c>
      <c r="B104" s="16" t="s">
        <v>18</v>
      </c>
      <c r="C104" s="16" t="s">
        <v>79</v>
      </c>
      <c r="D104" s="16" t="s">
        <v>18</v>
      </c>
      <c r="H104" s="3"/>
      <c r="I104" s="61"/>
      <c r="J104" s="62"/>
      <c r="K104" s="62"/>
      <c r="L104" s="3"/>
      <c r="M104" s="3"/>
      <c r="N104" s="3"/>
      <c r="O104" s="61"/>
      <c r="P104" s="62"/>
      <c r="Q104" s="62"/>
      <c r="R104" s="3"/>
      <c r="S104" s="3"/>
      <c r="T104" s="3"/>
      <c r="U104" s="61"/>
      <c r="V104" s="62"/>
      <c r="W104" s="62"/>
      <c r="X104" s="3"/>
      <c r="Y104" s="3"/>
      <c r="Z104" s="3"/>
      <c r="AA104" s="61"/>
      <c r="AB104" s="62"/>
      <c r="AC104" s="62"/>
      <c r="AD104" s="3"/>
      <c r="AE104" s="3"/>
      <c r="AF104" s="3"/>
      <c r="AG104" s="3"/>
      <c r="AH104" s="3"/>
      <c r="AI104" s="16"/>
    </row>
    <row r="105" spans="1:35" x14ac:dyDescent="0.2">
      <c r="A105" s="67" t="s">
        <v>85</v>
      </c>
      <c r="B105" s="67" t="s">
        <v>0</v>
      </c>
      <c r="C105" s="67" t="str">
        <f>A105</f>
        <v>PLASTICS</v>
      </c>
      <c r="D105" s="67" t="s">
        <v>1</v>
      </c>
      <c r="E105" s="25"/>
      <c r="F105" s="25" t="s">
        <v>85</v>
      </c>
      <c r="G105" s="25"/>
      <c r="H105" s="29">
        <f>ABS(DSUM(VARDATA2,J$6-1,$A104:$B105))+ABS(DSUM(VARDATA2,H$6-1,$A104:$B105))</f>
        <v>0</v>
      </c>
      <c r="I105" s="62"/>
      <c r="J105" s="62">
        <f>ABS(DSUM(VARDATA2,H$6-1,$C104:$D105))+ABS(DSUM(VARDATA2,J$6-1,$C104:$D105))</f>
        <v>0</v>
      </c>
      <c r="K105" s="62"/>
      <c r="L105" s="54" t="str">
        <f>IF((J105+H105)=0,"",H105/(J105+H105))</f>
        <v/>
      </c>
      <c r="M105" s="54"/>
      <c r="N105" s="29">
        <f>ABS(DSUM(VARDATA2,P$6-1,$A104:$B105))+ABS(DSUM(VARDATA2,N$6-1,$A104:$B105))</f>
        <v>0</v>
      </c>
      <c r="O105" s="62"/>
      <c r="P105" s="62">
        <f>ABS(DSUM(VARDATA2,N$6-1,$C104:$D105))+ABS(DSUM(VARDATA2,P$6-1,$C104:$D105))</f>
        <v>0</v>
      </c>
      <c r="Q105" s="62"/>
      <c r="R105" s="54" t="str">
        <f>IF((P105+N105)=0,"",N105/(P105+N105))</f>
        <v/>
      </c>
      <c r="S105" s="54"/>
      <c r="T105" s="29">
        <f>ABS(DSUM(VARDATA2,V$6-1,$A104:$B105))+ABS(DSUM(VARDATA2,T$6-1,$A104:$B105))</f>
        <v>0</v>
      </c>
      <c r="U105" s="62"/>
      <c r="V105" s="62">
        <f>ABS(DSUM(VARDATA2,T$6-1,$C104:$D105))+ABS(DSUM(VARDATA2,V$6-1,$C104:$D105))</f>
        <v>0</v>
      </c>
      <c r="W105" s="62"/>
      <c r="X105" s="54" t="str">
        <f>IF((V105+T105)=0,"",T105/(V105+T105))</f>
        <v/>
      </c>
      <c r="Y105" s="54"/>
      <c r="Z105" s="29">
        <f>ABS(DSUM(VARDATA2,AB$6-1,$A104:$B105))+ABS(DSUM(VARDATA2,Z$6-1,$A104:$B105))</f>
        <v>0</v>
      </c>
      <c r="AA105" s="62"/>
      <c r="AB105" s="62">
        <f>ABS(DSUM(VARDATA2,Z$6-1,$C104:$D105))+ABS(DSUM(VARDATA2,AB$6-1,$C104:$D105))</f>
        <v>71389757.75999999</v>
      </c>
      <c r="AC105" s="62"/>
      <c r="AD105" s="54">
        <f>IF((AB105+Z105)=0,"",Z105/(AB105+Z105))</f>
        <v>0</v>
      </c>
      <c r="AE105" s="54"/>
      <c r="AF105" s="54"/>
      <c r="AG105" s="54"/>
      <c r="AH105" s="54"/>
      <c r="AI105" s="16"/>
    </row>
    <row r="106" spans="1:35" hidden="1" x14ac:dyDescent="0.2">
      <c r="A106" s="16" t="s">
        <v>79</v>
      </c>
      <c r="B106" s="16" t="s">
        <v>18</v>
      </c>
      <c r="C106" s="16" t="s">
        <v>79</v>
      </c>
      <c r="D106" s="16" t="s">
        <v>18</v>
      </c>
      <c r="H106" s="3"/>
      <c r="I106" s="61"/>
      <c r="J106" s="62"/>
      <c r="K106" s="62"/>
      <c r="L106" s="3"/>
      <c r="M106" s="3"/>
      <c r="N106" s="3"/>
      <c r="O106" s="61"/>
      <c r="P106" s="62"/>
      <c r="Q106" s="62"/>
      <c r="R106" s="3"/>
      <c r="S106" s="3"/>
      <c r="T106" s="3"/>
      <c r="U106" s="61"/>
      <c r="V106" s="62"/>
      <c r="W106" s="62"/>
      <c r="X106" s="3"/>
      <c r="Y106" s="3"/>
      <c r="Z106" s="3"/>
      <c r="AA106" s="61"/>
      <c r="AB106" s="62"/>
      <c r="AC106" s="62"/>
      <c r="AD106" s="3"/>
      <c r="AE106" s="3"/>
      <c r="AF106" s="3"/>
      <c r="AG106" s="3"/>
      <c r="AH106" s="3"/>
      <c r="AI106" s="16"/>
    </row>
    <row r="107" spans="1:35" x14ac:dyDescent="0.2">
      <c r="A107" s="67" t="s">
        <v>100</v>
      </c>
      <c r="B107" s="67" t="s">
        <v>0</v>
      </c>
      <c r="C107" s="67" t="s">
        <v>100</v>
      </c>
      <c r="D107" s="67" t="s">
        <v>1</v>
      </c>
      <c r="E107" s="25"/>
      <c r="F107" s="25" t="s">
        <v>100</v>
      </c>
      <c r="G107" s="25"/>
      <c r="H107" s="29">
        <f>ABS(DSUM(VARDATA2,J$6-1,$A106:$B107))+ABS(DSUM(VARDATA2,H$6-1,$A106:$B107))</f>
        <v>0</v>
      </c>
      <c r="I107" s="62"/>
      <c r="J107" s="62">
        <f>ABS(DSUM(VARDATA2,H$6-1,$C106:$D107))+ABS(DSUM(VARDATA2,J$6-1,$C106:$D107))</f>
        <v>61857795.100000001</v>
      </c>
      <c r="K107" s="62"/>
      <c r="L107" s="54">
        <f>IF((J107+H107)=0,"",H107/(J107+H107))</f>
        <v>0</v>
      </c>
      <c r="M107" s="54"/>
      <c r="N107" s="29">
        <f>ABS(DSUM(VARDATA2,P$6-1,$A106:$B107))+ABS(DSUM(VARDATA2,N$6-1,$A106:$B107))</f>
        <v>26114850.75</v>
      </c>
      <c r="O107" s="62"/>
      <c r="P107" s="62">
        <f>ABS(DSUM(VARDATA2,N$6-1,$C106:$D107))+ABS(DSUM(VARDATA2,P$6-1,$C106:$D107))</f>
        <v>411757502.81</v>
      </c>
      <c r="Q107" s="62"/>
      <c r="R107" s="54">
        <f>IF((P107+N107)=0,"",N107/(P107+N107))</f>
        <v>5.9640327912188179E-2</v>
      </c>
      <c r="S107" s="54"/>
      <c r="T107" s="29">
        <f>ABS(DSUM(VARDATA2,V$6-1,$A106:$B107))+ABS(DSUM(VARDATA2,T$6-1,$A106:$B107))</f>
        <v>26114850.749680001</v>
      </c>
      <c r="U107" s="62"/>
      <c r="V107" s="62">
        <f>ABS(DSUM(VARDATA2,T$6-1,$C106:$D107))+ABS(DSUM(VARDATA2,V$6-1,$C106:$D107))</f>
        <v>411757502.81931001</v>
      </c>
      <c r="W107" s="62"/>
      <c r="X107" s="54">
        <f>IF((V107+T107)=0,"",T107/(V107+T107))</f>
        <v>5.9640327910232896E-2</v>
      </c>
      <c r="Y107" s="54"/>
      <c r="Z107" s="29">
        <f>ABS(DSUM(VARDATA2,AB$6-1,$A106:$B107))+ABS(DSUM(VARDATA2,Z$6-1,$A106:$B107))</f>
        <v>26114850.75</v>
      </c>
      <c r="AA107" s="62"/>
      <c r="AB107" s="62">
        <f>ABS(DSUM(VARDATA2,Z$6-1,$C106:$D107))+ABS(DSUM(VARDATA2,AB$6-1,$C106:$D107))</f>
        <v>411757502.81</v>
      </c>
      <c r="AC107" s="62"/>
      <c r="AD107" s="54">
        <f>IF((AB107+Z107)=0,"",Z107/(AB107+Z107))</f>
        <v>5.9640327912188179E-2</v>
      </c>
      <c r="AE107" s="54"/>
      <c r="AF107" s="54"/>
      <c r="AG107" s="54"/>
      <c r="AH107" s="54"/>
      <c r="AI107" s="16"/>
    </row>
    <row r="108" spans="1:35" hidden="1" x14ac:dyDescent="0.2">
      <c r="A108" s="16" t="s">
        <v>79</v>
      </c>
      <c r="B108" s="16" t="s">
        <v>18</v>
      </c>
      <c r="C108" s="16" t="s">
        <v>79</v>
      </c>
      <c r="D108" s="16" t="s">
        <v>18</v>
      </c>
      <c r="H108" s="3"/>
      <c r="I108" s="61"/>
      <c r="J108" s="62"/>
      <c r="K108" s="62"/>
      <c r="L108" s="3"/>
      <c r="M108" s="3"/>
      <c r="N108" s="3"/>
      <c r="O108" s="61"/>
      <c r="P108" s="62"/>
      <c r="Q108" s="62"/>
      <c r="R108" s="3"/>
      <c r="S108" s="3"/>
      <c r="T108" s="3"/>
      <c r="U108" s="61"/>
      <c r="V108" s="62"/>
      <c r="W108" s="62"/>
      <c r="X108" s="3"/>
      <c r="Y108" s="3"/>
      <c r="Z108" s="3"/>
      <c r="AA108" s="61"/>
      <c r="AB108" s="62"/>
      <c r="AC108" s="62"/>
      <c r="AD108" s="3"/>
      <c r="AE108" s="3"/>
      <c r="AF108" s="3"/>
      <c r="AG108" s="3"/>
      <c r="AH108" s="3"/>
      <c r="AI108" s="16"/>
    </row>
    <row r="109" spans="1:35" x14ac:dyDescent="0.2">
      <c r="A109" s="67" t="s">
        <v>83</v>
      </c>
      <c r="B109" s="67" t="s">
        <v>0</v>
      </c>
      <c r="C109" s="67" t="s">
        <v>83</v>
      </c>
      <c r="D109" s="67" t="s">
        <v>1</v>
      </c>
      <c r="E109" s="25"/>
      <c r="F109" s="25" t="s">
        <v>83</v>
      </c>
      <c r="G109" s="25"/>
      <c r="H109" s="29">
        <f>ABS(DSUM(VARDATA2,J$6-1,$A108:$B109))+ABS(DSUM(VARDATA2,H$6-1,$A108:$B109))</f>
        <v>0</v>
      </c>
      <c r="I109" s="62"/>
      <c r="J109" s="62">
        <f>ABS(DSUM(VARDATA2,H$6-1,$C108:$D109))+ABS(DSUM(VARDATA2,J$6-1,$C108:$D109))</f>
        <v>556837.5</v>
      </c>
      <c r="K109" s="62"/>
      <c r="L109" s="54">
        <f>IF((J109+H109)=0,"",H109/(J109+H109))</f>
        <v>0</v>
      </c>
      <c r="M109" s="54"/>
      <c r="N109" s="29">
        <f>ABS(DSUM(VARDATA2,P$6-1,$A108:$B109))+ABS(DSUM(VARDATA2,N$6-1,$A108:$B109))</f>
        <v>11360913.75</v>
      </c>
      <c r="O109" s="62"/>
      <c r="P109" s="62">
        <f>ABS(DSUM(VARDATA2,N$6-1,$C108:$D109))+ABS(DSUM(VARDATA2,P$6-1,$C108:$D109))</f>
        <v>41116930.880000003</v>
      </c>
      <c r="Q109" s="62"/>
      <c r="R109" s="54">
        <f>IF((P109+N109)=0,"",N109/(P109+N109))</f>
        <v>0.21648971732930716</v>
      </c>
      <c r="S109" s="54"/>
      <c r="T109" s="29">
        <f>ABS(DSUM(VARDATA2,V$6-1,$A108:$B109))+ABS(DSUM(VARDATA2,T$6-1,$A108:$B109))</f>
        <v>11360913.75</v>
      </c>
      <c r="U109" s="62"/>
      <c r="V109" s="62">
        <f>ABS(DSUM(VARDATA2,T$6-1,$C108:$D109))+ABS(DSUM(VARDATA2,V$6-1,$C108:$D109))</f>
        <v>41116930.880000003</v>
      </c>
      <c r="W109" s="62"/>
      <c r="X109" s="54">
        <f>IF((V109+T109)=0,"",T109/(V109+T109))</f>
        <v>0.21648971732930716</v>
      </c>
      <c r="Y109" s="54"/>
      <c r="Z109" s="29">
        <f>ABS(DSUM(VARDATA2,AB$6-1,$A108:$B109))+ABS(DSUM(VARDATA2,Z$6-1,$A108:$B109))</f>
        <v>18897288.75</v>
      </c>
      <c r="AA109" s="62"/>
      <c r="AB109" s="62">
        <f>ABS(DSUM(VARDATA2,Z$6-1,$C108:$D109))+ABS(DSUM(VARDATA2,AB$6-1,$C108:$D109))</f>
        <v>80524150.790000007</v>
      </c>
      <c r="AC109" s="62"/>
      <c r="AD109" s="54">
        <f>IF((AB109+Z109)=0,"",Z109/(AB109+Z109))</f>
        <v>0.19007257224833379</v>
      </c>
      <c r="AE109" s="54"/>
      <c r="AF109" s="54"/>
      <c r="AG109" s="54"/>
      <c r="AH109" s="54"/>
      <c r="AI109" s="16"/>
    </row>
    <row r="110" spans="1:35" hidden="1" x14ac:dyDescent="0.2">
      <c r="A110" s="16" t="s">
        <v>79</v>
      </c>
      <c r="B110" s="16" t="s">
        <v>18</v>
      </c>
      <c r="C110" s="16" t="s">
        <v>79</v>
      </c>
      <c r="D110" s="16" t="s">
        <v>18</v>
      </c>
      <c r="H110" s="29"/>
      <c r="I110" s="62"/>
      <c r="J110" s="62"/>
      <c r="K110" s="62"/>
      <c r="L110" s="54"/>
      <c r="M110" s="54"/>
      <c r="N110" s="29"/>
      <c r="O110" s="62"/>
      <c r="P110" s="62"/>
      <c r="Q110" s="62"/>
      <c r="R110" s="54"/>
      <c r="S110" s="54"/>
      <c r="T110" s="29"/>
      <c r="U110" s="62"/>
      <c r="V110" s="62"/>
      <c r="W110" s="62"/>
      <c r="X110" s="54"/>
      <c r="Y110" s="54"/>
      <c r="Z110" s="29"/>
      <c r="AA110" s="62"/>
      <c r="AB110" s="62"/>
      <c r="AC110" s="62"/>
      <c r="AD110" s="54"/>
      <c r="AE110" s="54"/>
      <c r="AF110" s="54"/>
      <c r="AG110" s="54"/>
      <c r="AH110" s="54"/>
      <c r="AI110" s="16"/>
    </row>
    <row r="111" spans="1:35" x14ac:dyDescent="0.2">
      <c r="A111" s="67" t="s">
        <v>105</v>
      </c>
      <c r="B111" s="67" t="s">
        <v>0</v>
      </c>
      <c r="C111" s="67" t="s">
        <v>105</v>
      </c>
      <c r="D111" s="67" t="s">
        <v>1</v>
      </c>
      <c r="E111" s="25"/>
      <c r="F111" s="25" t="s">
        <v>105</v>
      </c>
      <c r="G111" s="25"/>
      <c r="H111" s="29">
        <f>ABS(DSUM(VARDATA2,J$6-1,$A110:$B111))+ABS(DSUM(VARDATA2,H$6-1,$A110:$B111))</f>
        <v>1496875</v>
      </c>
      <c r="I111" s="62"/>
      <c r="J111" s="62">
        <f>ABS(DSUM(VARDATA2,H$6-1,$C110:$D111))+ABS(DSUM(VARDATA2,J$6-1,$C110:$D111))</f>
        <v>12250650</v>
      </c>
      <c r="K111" s="62"/>
      <c r="L111" s="54">
        <f>IF((J111+H111)=0,"",H111/(J111+H111))</f>
        <v>0.10888323534599864</v>
      </c>
      <c r="M111" s="54"/>
      <c r="N111" s="29">
        <f>ABS(DSUM(VARDATA2,P$6-1,$A110:$B111))+ABS(DSUM(VARDATA2,N$6-1,$A110:$B111))</f>
        <v>10379925</v>
      </c>
      <c r="O111" s="62"/>
      <c r="P111" s="62">
        <f>ABS(DSUM(VARDATA2,N$6-1,$C110:$D111))+ABS(DSUM(VARDATA2,P$6-1,$C110:$D111))</f>
        <v>88718697.5</v>
      </c>
      <c r="Q111" s="62"/>
      <c r="R111" s="54">
        <f>IF((P111+N111)=0,"",N111/(P111+N111))</f>
        <v>0.10474338328971222</v>
      </c>
      <c r="S111" s="54"/>
      <c r="T111" s="29">
        <f>ABS(DSUM(VARDATA2,V$6-1,$A110:$B111))+ABS(DSUM(VARDATA2,T$6-1,$A110:$B111))</f>
        <v>10379925</v>
      </c>
      <c r="U111" s="62"/>
      <c r="V111" s="62">
        <f>ABS(DSUM(VARDATA2,T$6-1,$C110:$D111))+ABS(DSUM(VARDATA2,V$6-1,$C110:$D111))</f>
        <v>88718697.5</v>
      </c>
      <c r="W111" s="62"/>
      <c r="X111" s="54">
        <f>IF((V111+T111)=0,"",T111/(V111+T111))</f>
        <v>0.10474338328971222</v>
      </c>
      <c r="Y111" s="54"/>
      <c r="Z111" s="29">
        <f>ABS(DSUM(VARDATA2,AB$6-1,$A110:$B111))+ABS(DSUM(VARDATA2,Z$6-1,$A110:$B111))</f>
        <v>10379925</v>
      </c>
      <c r="AA111" s="62"/>
      <c r="AB111" s="62">
        <f>ABS(DSUM(VARDATA2,Z$6-1,$C110:$D111))+ABS(DSUM(VARDATA2,AB$6-1,$C110:$D111))</f>
        <v>88718697.5</v>
      </c>
      <c r="AC111" s="62"/>
      <c r="AD111" s="54">
        <f>IF((AB111+Z111)=0,"",Z111/(AB111+Z111))</f>
        <v>0.10474338328971222</v>
      </c>
      <c r="AE111" s="54"/>
      <c r="AF111" s="54"/>
      <c r="AG111" s="54"/>
      <c r="AH111" s="54"/>
      <c r="AI111" s="16"/>
    </row>
    <row r="112" spans="1:35" hidden="1" x14ac:dyDescent="0.2">
      <c r="A112" s="16" t="s">
        <v>79</v>
      </c>
      <c r="B112" s="16" t="s">
        <v>18</v>
      </c>
      <c r="C112" s="16" t="s">
        <v>79</v>
      </c>
      <c r="D112" s="16" t="s">
        <v>18</v>
      </c>
      <c r="H112" s="29"/>
      <c r="I112" s="62"/>
      <c r="J112" s="62"/>
      <c r="K112" s="62"/>
      <c r="L112" s="54"/>
      <c r="M112" s="54"/>
      <c r="N112" s="29"/>
      <c r="O112" s="62"/>
      <c r="P112" s="62"/>
      <c r="Q112" s="62"/>
      <c r="R112" s="54"/>
      <c r="S112" s="54"/>
      <c r="T112" s="29"/>
      <c r="U112" s="62"/>
      <c r="V112" s="62"/>
      <c r="W112" s="62"/>
      <c r="X112" s="54"/>
      <c r="Y112" s="54"/>
      <c r="Z112" s="29"/>
      <c r="AA112" s="62"/>
      <c r="AB112" s="62"/>
      <c r="AC112" s="62"/>
      <c r="AD112" s="54"/>
      <c r="AE112" s="54"/>
      <c r="AF112" s="54"/>
      <c r="AG112" s="54"/>
      <c r="AH112" s="54"/>
      <c r="AI112" s="16"/>
    </row>
    <row r="113" spans="1:37" x14ac:dyDescent="0.2">
      <c r="A113" s="67" t="s">
        <v>84</v>
      </c>
      <c r="B113" s="67" t="s">
        <v>0</v>
      </c>
      <c r="C113" s="67" t="s">
        <v>84</v>
      </c>
      <c r="D113" s="67" t="s">
        <v>1</v>
      </c>
      <c r="E113" s="25"/>
      <c r="F113" s="25" t="s">
        <v>84</v>
      </c>
      <c r="G113" s="25"/>
      <c r="H113" s="29">
        <f>ABS(DSUM(VARDATA2,J$6-1,$A112:$B113))+ABS(DSUM(VARDATA2,H$6-1,$A112:$B113))</f>
        <v>0</v>
      </c>
      <c r="I113" s="62"/>
      <c r="J113" s="62">
        <f>ABS(DSUM(VARDATA2,H$6-1,$C112:$D113))+ABS(DSUM(VARDATA2,J$6-1,$C112:$D113))</f>
        <v>0</v>
      </c>
      <c r="K113" s="62"/>
      <c r="L113" s="54" t="str">
        <f>IF((J113+H113)=0,"",H113/(J113+H113))</f>
        <v/>
      </c>
      <c r="M113" s="54"/>
      <c r="N113" s="29">
        <f>ABS(DSUM(VARDATA2,P$6-1,$A112:$B113))+ABS(DSUM(VARDATA2,N$6-1,$A112:$B113))</f>
        <v>393750</v>
      </c>
      <c r="O113" s="62"/>
      <c r="P113" s="62">
        <f>ABS(DSUM(VARDATA2,N$6-1,$C112:$D113))+ABS(DSUM(VARDATA2,P$6-1,$C112:$D113))</f>
        <v>111148789</v>
      </c>
      <c r="Q113" s="62"/>
      <c r="R113" s="54">
        <f>IF((P113+N113)=0,"",N113/(P113+N113))</f>
        <v>3.5300433675801482E-3</v>
      </c>
      <c r="S113" s="54"/>
      <c r="T113" s="29">
        <f>ABS(DSUM(VARDATA2,V$6-1,$A112:$B113))+ABS(DSUM(VARDATA2,T$6-1,$A112:$B113))</f>
        <v>393750</v>
      </c>
      <c r="U113" s="62"/>
      <c r="V113" s="62">
        <f>ABS(DSUM(VARDATA2,T$6-1,$C112:$D113))+ABS(DSUM(VARDATA2,V$6-1,$C112:$D113))</f>
        <v>111148789.000064</v>
      </c>
      <c r="W113" s="62"/>
      <c r="X113" s="54">
        <f>IF((V113+T113)=0,"",T113/(V113+T113))</f>
        <v>3.5300433675781225E-3</v>
      </c>
      <c r="Y113" s="54"/>
      <c r="Z113" s="29">
        <f>ABS(DSUM(VARDATA2,AB$6-1,$A112:$B113))+ABS(DSUM(VARDATA2,Z$6-1,$A112:$B113))</f>
        <v>1500750</v>
      </c>
      <c r="AA113" s="62"/>
      <c r="AB113" s="62">
        <f>ABS(DSUM(VARDATA2,Z$6-1,$C112:$D113))+ABS(DSUM(VARDATA2,AB$6-1,$C112:$D113))</f>
        <v>165611796.82999998</v>
      </c>
      <c r="AC113" s="62"/>
      <c r="AD113" s="54">
        <f>IF((AB113+Z113)=0,"",Z113/(AB113+Z113))</f>
        <v>8.9804747068254597E-3</v>
      </c>
      <c r="AE113" s="54"/>
      <c r="AF113" s="54"/>
      <c r="AG113" s="54"/>
      <c r="AH113" s="54"/>
      <c r="AI113" s="16"/>
    </row>
    <row r="114" spans="1:37" hidden="1" x14ac:dyDescent="0.2">
      <c r="A114" s="16" t="s">
        <v>79</v>
      </c>
      <c r="B114" s="16" t="s">
        <v>18</v>
      </c>
      <c r="C114" s="16" t="s">
        <v>79</v>
      </c>
      <c r="D114" s="16" t="s">
        <v>18</v>
      </c>
      <c r="H114" s="3"/>
      <c r="I114" s="61"/>
      <c r="J114" s="62"/>
      <c r="K114" s="62"/>
      <c r="L114" s="3"/>
      <c r="M114" s="3"/>
      <c r="N114" s="3"/>
      <c r="O114" s="61"/>
      <c r="P114" s="62"/>
      <c r="Q114" s="62"/>
      <c r="R114" s="3"/>
      <c r="S114" s="3"/>
      <c r="T114" s="3"/>
      <c r="U114" s="61"/>
      <c r="V114" s="62"/>
      <c r="W114" s="62"/>
      <c r="X114" s="3"/>
      <c r="Y114" s="3"/>
      <c r="Z114" s="3"/>
      <c r="AA114" s="61"/>
      <c r="AB114" s="62"/>
      <c r="AC114" s="62"/>
      <c r="AD114" s="3"/>
      <c r="AE114" s="3"/>
      <c r="AF114" s="3"/>
      <c r="AG114" s="3"/>
      <c r="AH114" s="3"/>
      <c r="AI114" s="16"/>
    </row>
    <row r="115" spans="1:37" x14ac:dyDescent="0.2">
      <c r="A115" s="67" t="s">
        <v>106</v>
      </c>
      <c r="B115" s="67" t="s">
        <v>0</v>
      </c>
      <c r="C115" s="67" t="s">
        <v>106</v>
      </c>
      <c r="D115" s="67" t="s">
        <v>1</v>
      </c>
      <c r="E115" s="25"/>
      <c r="F115" s="25" t="s">
        <v>106</v>
      </c>
      <c r="G115" s="25"/>
      <c r="H115" s="29">
        <f>ABS(DSUM(VARDATA2,J$6-1,$A114:$B115))+ABS(DSUM(VARDATA2,H$6-1,$A114:$B115))</f>
        <v>0</v>
      </c>
      <c r="I115" s="62"/>
      <c r="J115" s="62">
        <f>ABS(DSUM(VARDATA2,H$6-1,$C114:$D115))+ABS(DSUM(VARDATA2,J$6-1,$C114:$D115))</f>
        <v>0</v>
      </c>
      <c r="K115" s="62"/>
      <c r="L115" s="54" t="str">
        <f>IF((J115+H115)=0,"",H115/(J115+H115))</f>
        <v/>
      </c>
      <c r="M115" s="54"/>
      <c r="N115" s="29">
        <f>ABS(DSUM(VARDATA2,P$6-1,$A114:$B115))+ABS(DSUM(VARDATA2,N$6-1,$A114:$B115))</f>
        <v>0</v>
      </c>
      <c r="O115" s="62"/>
      <c r="P115" s="62">
        <f>ABS(DSUM(VARDATA2,N$6-1,$C114:$D115))+ABS(DSUM(VARDATA2,P$6-1,$C114:$D115))</f>
        <v>0</v>
      </c>
      <c r="Q115" s="62"/>
      <c r="R115" s="54" t="str">
        <f>IF((P115+N115)=0,"",N115/(P115+N115))</f>
        <v/>
      </c>
      <c r="S115" s="54"/>
      <c r="T115" s="29">
        <f>ABS(DSUM(VARDATA2,V$6-1,$A114:$B115))+ABS(DSUM(VARDATA2,T$6-1,$A114:$B115))</f>
        <v>0</v>
      </c>
      <c r="U115" s="62"/>
      <c r="V115" s="62">
        <f>ABS(DSUM(VARDATA2,T$6-1,$C114:$D115))+ABS(DSUM(VARDATA2,V$6-1,$C114:$D115))</f>
        <v>0</v>
      </c>
      <c r="W115" s="62"/>
      <c r="X115" s="54" t="str">
        <f>IF((V115+T115)=0,"",T115/(V115+T115))</f>
        <v/>
      </c>
      <c r="Y115" s="54"/>
      <c r="Z115" s="29">
        <f>ABS(DSUM(VARDATA2,AB$6-1,$A114:$B115))+ABS(DSUM(VARDATA2,Z$6-1,$A114:$B115))</f>
        <v>0</v>
      </c>
      <c r="AA115" s="62"/>
      <c r="AB115" s="62">
        <f>ABS(DSUM(VARDATA2,Z$6-1,$C114:$D115))+ABS(DSUM(VARDATA2,AB$6-1,$C114:$D115))</f>
        <v>0</v>
      </c>
      <c r="AC115" s="62"/>
      <c r="AD115" s="54" t="str">
        <f>IF((AB115+Z115)=0,"",Z115/(AB115+Z115))</f>
        <v/>
      </c>
      <c r="AE115" s="54"/>
      <c r="AF115" s="54"/>
      <c r="AG115" s="54"/>
      <c r="AH115" s="54"/>
      <c r="AI115" s="16"/>
    </row>
    <row r="116" spans="1:37" s="4" customFormat="1" x14ac:dyDescent="0.2">
      <c r="A116" s="63"/>
      <c r="B116" s="63"/>
      <c r="C116" s="63"/>
      <c r="D116" s="63"/>
      <c r="E116" s="25" t="s">
        <v>10</v>
      </c>
      <c r="F116" s="25"/>
      <c r="G116" s="25"/>
      <c r="H116" s="64">
        <f>SUM(H87:H115)</f>
        <v>308526673.21999991</v>
      </c>
      <c r="I116" s="65"/>
      <c r="J116" s="65">
        <f>SUM(J87:J115)</f>
        <v>1248033378.1800001</v>
      </c>
      <c r="K116" s="65"/>
      <c r="L116" s="66">
        <f>IF((J116+H116)=0,"",H116/(J116+H116))</f>
        <v>0.198210581687809</v>
      </c>
      <c r="M116" s="53"/>
      <c r="N116" s="64">
        <f>SUM(N87:N115)</f>
        <v>2995058985.1300006</v>
      </c>
      <c r="O116" s="65"/>
      <c r="P116" s="65">
        <f>SUM(P87:P115)</f>
        <v>14917622826.859999</v>
      </c>
      <c r="Q116" s="65"/>
      <c r="R116" s="66">
        <f>IF((P116+N116)=0,"",N116/(P116+N116))</f>
        <v>0.16720327065293114</v>
      </c>
      <c r="S116" s="53"/>
      <c r="T116" s="64">
        <f>SUM(T87:T115)</f>
        <v>2995058985.1305714</v>
      </c>
      <c r="U116" s="65"/>
      <c r="V116" s="65">
        <f>SUM(V87:V115)</f>
        <v>14917622826.861265</v>
      </c>
      <c r="W116" s="65"/>
      <c r="X116" s="66">
        <f>IF((V116+T116)=0,"",T116/(V116+T116))</f>
        <v>0.16720327065294585</v>
      </c>
      <c r="Y116" s="53"/>
      <c r="Z116" s="64">
        <f>SUM(Z87:Z115)</f>
        <v>4188848893.6100001</v>
      </c>
      <c r="AA116" s="65"/>
      <c r="AB116" s="65">
        <f>SUM(AB87:AB115)</f>
        <v>24033331360.960003</v>
      </c>
      <c r="AC116" s="65"/>
      <c r="AD116" s="66">
        <f>IF((AB116+Z116)=0,"",Z116/(AB116+Z116))</f>
        <v>0.14842400040768297</v>
      </c>
      <c r="AE116" s="53"/>
      <c r="AF116" s="53"/>
      <c r="AG116" s="53"/>
      <c r="AH116" s="53"/>
      <c r="AI116" s="63"/>
    </row>
    <row r="117" spans="1:37" x14ac:dyDescent="0.2">
      <c r="E117" s="25"/>
      <c r="F117" s="25"/>
      <c r="G117" s="25"/>
      <c r="AI117" s="16"/>
    </row>
    <row r="118" spans="1:37" x14ac:dyDescent="0.2">
      <c r="E118" s="26" t="str">
        <f ca="1">"RUN ON "&amp;TEXT(NOW(),"M/D/YYYY HH:MM")</f>
        <v>RUN ON 9/5/2014 12:50</v>
      </c>
      <c r="F118" s="25"/>
      <c r="G118" s="25"/>
      <c r="AI118" s="16"/>
    </row>
    <row r="119" spans="1:37" x14ac:dyDescent="0.2">
      <c r="A119" s="52"/>
      <c r="D119" s="49"/>
      <c r="E119" s="50"/>
      <c r="F119" s="50"/>
      <c r="G119" s="50"/>
      <c r="H119" s="50"/>
      <c r="I119" s="89"/>
      <c r="J119" s="91"/>
      <c r="K119" s="91"/>
      <c r="L119" s="50"/>
      <c r="M119" s="51"/>
      <c r="N119" s="50"/>
      <c r="O119" s="89"/>
      <c r="P119" s="68"/>
      <c r="Q119" s="68"/>
      <c r="R119" s="50"/>
      <c r="S119" s="50"/>
      <c r="T119" s="50"/>
      <c r="U119" s="89"/>
      <c r="V119" s="91"/>
      <c r="W119" s="91"/>
      <c r="X119" s="50"/>
      <c r="Y119" s="51"/>
      <c r="Z119" s="50"/>
      <c r="AA119" s="89"/>
      <c r="AB119" s="68"/>
      <c r="AC119" s="68"/>
      <c r="AD119" s="50"/>
      <c r="AE119" s="50"/>
      <c r="AF119" s="50"/>
      <c r="AG119" s="51"/>
      <c r="AH119" s="50"/>
      <c r="AI119" s="51"/>
      <c r="AJ119" s="50"/>
      <c r="AK119" s="16"/>
    </row>
    <row r="120" spans="1:37" x14ac:dyDescent="0.2">
      <c r="E120" s="16"/>
      <c r="F120" s="16"/>
      <c r="G120" s="16"/>
      <c r="H120" s="16"/>
      <c r="I120" s="68"/>
      <c r="J120" s="68"/>
      <c r="K120" s="68"/>
      <c r="L120" s="16"/>
      <c r="M120" s="16"/>
      <c r="N120" s="16"/>
      <c r="O120" s="68"/>
      <c r="P120" s="68"/>
      <c r="Q120" s="68"/>
      <c r="R120" s="16"/>
      <c r="S120" s="16"/>
      <c r="T120" s="16"/>
      <c r="U120" s="68"/>
      <c r="V120" s="68"/>
      <c r="W120" s="68"/>
      <c r="X120" s="16"/>
      <c r="Y120" s="16"/>
      <c r="Z120" s="16"/>
      <c r="AA120" s="68"/>
      <c r="AB120" s="68"/>
      <c r="AC120" s="68"/>
      <c r="AD120" s="16"/>
      <c r="AE120" s="16"/>
      <c r="AF120" s="16"/>
      <c r="AG120" s="16"/>
      <c r="AH120" s="16"/>
      <c r="AI120" s="16"/>
    </row>
    <row r="121" spans="1:37" x14ac:dyDescent="0.2">
      <c r="E121" s="25"/>
      <c r="F121" s="25"/>
      <c r="G121" s="25"/>
    </row>
    <row r="122" spans="1:37" x14ac:dyDescent="0.2">
      <c r="E122" s="25"/>
      <c r="F122" s="25"/>
      <c r="G122" s="25"/>
    </row>
    <row r="123" spans="1:37" x14ac:dyDescent="0.2">
      <c r="E123" s="25"/>
      <c r="F123" s="25"/>
      <c r="G123" s="25"/>
    </row>
    <row r="124" spans="1:37" x14ac:dyDescent="0.2">
      <c r="E124" s="25"/>
      <c r="F124" s="25"/>
      <c r="G124" s="25"/>
    </row>
    <row r="125" spans="1:37" x14ac:dyDescent="0.2">
      <c r="E125" s="25"/>
      <c r="F125" s="25"/>
      <c r="G125" s="25"/>
    </row>
    <row r="126" spans="1:37" x14ac:dyDescent="0.2">
      <c r="E126" s="25"/>
      <c r="F126" s="25"/>
      <c r="G126" s="25"/>
    </row>
    <row r="127" spans="1:37" x14ac:dyDescent="0.2">
      <c r="E127" s="25"/>
      <c r="F127" s="25"/>
      <c r="G127" s="25"/>
    </row>
    <row r="128" spans="1:37" x14ac:dyDescent="0.2">
      <c r="E128" s="25"/>
      <c r="F128" s="25"/>
      <c r="G128" s="25"/>
    </row>
    <row r="129" spans="5:7" x14ac:dyDescent="0.2">
      <c r="E129" s="25"/>
      <c r="F129" s="25"/>
      <c r="G129" s="25"/>
    </row>
    <row r="130" spans="5:7" x14ac:dyDescent="0.2">
      <c r="E130" s="25"/>
      <c r="F130" s="25"/>
      <c r="G130" s="25"/>
    </row>
    <row r="131" spans="5:7" x14ac:dyDescent="0.2">
      <c r="E131" s="25"/>
      <c r="F131" s="25"/>
      <c r="G131" s="25"/>
    </row>
    <row r="132" spans="5:7" x14ac:dyDescent="0.2">
      <c r="E132" s="25"/>
      <c r="F132" s="25"/>
      <c r="G132" s="25"/>
    </row>
    <row r="133" spans="5:7" x14ac:dyDescent="0.2">
      <c r="E133" s="25"/>
      <c r="F133" s="25"/>
      <c r="G133" s="25"/>
    </row>
    <row r="134" spans="5:7" x14ac:dyDescent="0.2">
      <c r="E134" s="25"/>
      <c r="F134" s="25"/>
      <c r="G134" s="25"/>
    </row>
    <row r="135" spans="5:7" x14ac:dyDescent="0.2">
      <c r="E135" s="25"/>
      <c r="F135" s="25"/>
      <c r="G135" s="25"/>
    </row>
    <row r="136" spans="5:7" x14ac:dyDescent="0.2">
      <c r="E136" s="25"/>
      <c r="F136" s="25"/>
      <c r="G136" s="25"/>
    </row>
    <row r="137" spans="5:7" x14ac:dyDescent="0.2">
      <c r="E137" s="25"/>
      <c r="F137" s="25"/>
      <c r="G137" s="25"/>
    </row>
    <row r="138" spans="5:7" x14ac:dyDescent="0.2">
      <c r="E138" s="25"/>
      <c r="F138" s="25"/>
      <c r="G138" s="25"/>
    </row>
    <row r="139" spans="5:7" x14ac:dyDescent="0.2">
      <c r="E139" s="25"/>
      <c r="F139" s="25"/>
      <c r="G139" s="25"/>
    </row>
    <row r="140" spans="5:7" x14ac:dyDescent="0.2">
      <c r="E140" s="25"/>
      <c r="F140" s="25"/>
      <c r="G140" s="25"/>
    </row>
    <row r="141" spans="5:7" x14ac:dyDescent="0.2">
      <c r="E141" s="25"/>
      <c r="F141" s="25"/>
      <c r="G141" s="25"/>
    </row>
    <row r="142" spans="5:7" x14ac:dyDescent="0.2">
      <c r="E142" s="25"/>
      <c r="F142" s="25"/>
      <c r="G142" s="25"/>
    </row>
    <row r="143" spans="5:7" x14ac:dyDescent="0.2">
      <c r="E143" s="25"/>
      <c r="F143" s="25"/>
      <c r="G143" s="25"/>
    </row>
    <row r="144" spans="5:7" x14ac:dyDescent="0.2">
      <c r="E144" s="25"/>
      <c r="F144" s="25"/>
      <c r="G144" s="25"/>
    </row>
    <row r="145" spans="5:7" x14ac:dyDescent="0.2">
      <c r="E145" s="25"/>
      <c r="F145" s="25"/>
      <c r="G145" s="25"/>
    </row>
    <row r="146" spans="5:7" x14ac:dyDescent="0.2">
      <c r="E146" s="25"/>
      <c r="F146" s="25"/>
      <c r="G146" s="25"/>
    </row>
    <row r="147" spans="5:7" x14ac:dyDescent="0.2">
      <c r="E147" s="25"/>
      <c r="F147" s="25"/>
      <c r="G147" s="25"/>
    </row>
    <row r="148" spans="5:7" x14ac:dyDescent="0.2">
      <c r="E148" s="25"/>
      <c r="F148" s="25"/>
      <c r="G148" s="25"/>
    </row>
    <row r="149" spans="5:7" x14ac:dyDescent="0.2">
      <c r="E149" s="25"/>
      <c r="F149" s="25"/>
      <c r="G149" s="25"/>
    </row>
    <row r="150" spans="5:7" x14ac:dyDescent="0.2">
      <c r="E150" s="25"/>
      <c r="F150" s="25"/>
      <c r="G150" s="25"/>
    </row>
    <row r="151" spans="5:7" x14ac:dyDescent="0.2">
      <c r="E151" s="25"/>
      <c r="F151" s="25"/>
      <c r="G151" s="25"/>
    </row>
    <row r="152" spans="5:7" x14ac:dyDescent="0.2">
      <c r="E152" s="25"/>
      <c r="F152" s="25"/>
      <c r="G152" s="25"/>
    </row>
    <row r="153" spans="5:7" x14ac:dyDescent="0.2">
      <c r="E153" s="25"/>
      <c r="F153" s="25"/>
      <c r="G153" s="25"/>
    </row>
    <row r="154" spans="5:7" x14ac:dyDescent="0.2">
      <c r="E154" s="25"/>
      <c r="F154" s="25"/>
      <c r="G154" s="25"/>
    </row>
    <row r="155" spans="5:7" x14ac:dyDescent="0.2">
      <c r="E155" s="25"/>
      <c r="F155" s="25"/>
      <c r="G155" s="25"/>
    </row>
    <row r="156" spans="5:7" x14ac:dyDescent="0.2">
      <c r="E156" s="25"/>
      <c r="F156" s="25"/>
      <c r="G156" s="25"/>
    </row>
    <row r="157" spans="5:7" x14ac:dyDescent="0.2">
      <c r="E157" s="25"/>
      <c r="F157" s="25"/>
      <c r="G157" s="25"/>
    </row>
    <row r="158" spans="5:7" x14ac:dyDescent="0.2">
      <c r="E158" s="25"/>
      <c r="F158" s="25"/>
      <c r="G158" s="25"/>
    </row>
    <row r="159" spans="5:7" x14ac:dyDescent="0.2">
      <c r="E159" s="25"/>
      <c r="F159" s="25"/>
      <c r="G159" s="25"/>
    </row>
    <row r="160" spans="5:7" x14ac:dyDescent="0.2">
      <c r="E160" s="25"/>
      <c r="F160" s="25"/>
      <c r="G160" s="25"/>
    </row>
    <row r="161" spans="5:7" x14ac:dyDescent="0.2">
      <c r="E161" s="25"/>
      <c r="F161" s="25"/>
      <c r="G161" s="25"/>
    </row>
    <row r="162" spans="5:7" x14ac:dyDescent="0.2">
      <c r="E162" s="25"/>
      <c r="F162" s="25"/>
      <c r="G162" s="25"/>
    </row>
    <row r="163" spans="5:7" x14ac:dyDescent="0.2">
      <c r="E163" s="25"/>
      <c r="F163" s="25"/>
      <c r="G163" s="25"/>
    </row>
    <row r="164" spans="5:7" x14ac:dyDescent="0.2">
      <c r="E164" s="25"/>
      <c r="F164" s="25"/>
      <c r="G164" s="25"/>
    </row>
    <row r="165" spans="5:7" x14ac:dyDescent="0.2">
      <c r="E165" s="25"/>
      <c r="F165" s="25"/>
      <c r="G165" s="25"/>
    </row>
    <row r="166" spans="5:7" x14ac:dyDescent="0.2">
      <c r="E166" s="25"/>
      <c r="F166" s="25"/>
      <c r="G166" s="25"/>
    </row>
    <row r="167" spans="5:7" x14ac:dyDescent="0.2">
      <c r="E167" s="25"/>
      <c r="F167" s="25"/>
      <c r="G167" s="25"/>
    </row>
    <row r="168" spans="5:7" x14ac:dyDescent="0.2">
      <c r="E168" s="25"/>
      <c r="F168" s="25"/>
      <c r="G168" s="25"/>
    </row>
    <row r="169" spans="5:7" x14ac:dyDescent="0.2">
      <c r="E169" s="25"/>
      <c r="F169" s="25"/>
      <c r="G169" s="25"/>
    </row>
    <row r="170" spans="5:7" x14ac:dyDescent="0.2">
      <c r="E170" s="25"/>
      <c r="F170" s="25"/>
      <c r="G170" s="25"/>
    </row>
    <row r="171" spans="5:7" x14ac:dyDescent="0.2">
      <c r="E171" s="25"/>
      <c r="F171" s="25"/>
      <c r="G171" s="25"/>
    </row>
    <row r="172" spans="5:7" x14ac:dyDescent="0.2">
      <c r="E172" s="25"/>
      <c r="F172" s="25"/>
      <c r="G172" s="25"/>
    </row>
    <row r="173" spans="5:7" x14ac:dyDescent="0.2">
      <c r="E173" s="25"/>
      <c r="F173" s="25"/>
      <c r="G173" s="25"/>
    </row>
    <row r="174" spans="5:7" x14ac:dyDescent="0.2">
      <c r="E174" s="25"/>
      <c r="F174" s="25"/>
      <c r="G174" s="25"/>
    </row>
    <row r="175" spans="5:7" x14ac:dyDescent="0.2">
      <c r="E175" s="25"/>
      <c r="F175" s="25"/>
      <c r="G175" s="25"/>
    </row>
    <row r="176" spans="5:7" x14ac:dyDescent="0.2">
      <c r="E176" s="25"/>
      <c r="F176" s="25"/>
      <c r="G176" s="25"/>
    </row>
    <row r="177" spans="5:7" x14ac:dyDescent="0.2">
      <c r="E177" s="25"/>
      <c r="F177" s="25"/>
      <c r="G177" s="25"/>
    </row>
    <row r="178" spans="5:7" x14ac:dyDescent="0.2">
      <c r="E178" s="25"/>
      <c r="F178" s="25"/>
      <c r="G178" s="25"/>
    </row>
    <row r="179" spans="5:7" x14ac:dyDescent="0.2">
      <c r="E179" s="25"/>
      <c r="F179" s="25"/>
      <c r="G179" s="25"/>
    </row>
    <row r="180" spans="5:7" x14ac:dyDescent="0.2">
      <c r="E180" s="25"/>
      <c r="F180" s="25"/>
      <c r="G180" s="25"/>
    </row>
    <row r="181" spans="5:7" x14ac:dyDescent="0.2">
      <c r="E181" s="25"/>
      <c r="F181" s="25"/>
      <c r="G181" s="25"/>
    </row>
    <row r="182" spans="5:7" x14ac:dyDescent="0.2">
      <c r="E182" s="25"/>
      <c r="F182" s="25"/>
      <c r="G182" s="25"/>
    </row>
    <row r="183" spans="5:7" x14ac:dyDescent="0.2">
      <c r="E183" s="25"/>
      <c r="F183" s="25"/>
      <c r="G183" s="25"/>
    </row>
    <row r="184" spans="5:7" x14ac:dyDescent="0.2">
      <c r="E184" s="25"/>
      <c r="F184" s="25"/>
      <c r="G184" s="25"/>
    </row>
    <row r="185" spans="5:7" x14ac:dyDescent="0.2">
      <c r="E185" s="25"/>
      <c r="F185" s="25"/>
      <c r="G185" s="25"/>
    </row>
    <row r="186" spans="5:7" x14ac:dyDescent="0.2">
      <c r="E186" s="25"/>
      <c r="F186" s="25"/>
      <c r="G186" s="25"/>
    </row>
    <row r="187" spans="5:7" x14ac:dyDescent="0.2">
      <c r="E187" s="25"/>
      <c r="F187" s="25"/>
      <c r="G187" s="25"/>
    </row>
    <row r="188" spans="5:7" x14ac:dyDescent="0.2">
      <c r="E188" s="25"/>
      <c r="F188" s="25"/>
      <c r="G188" s="25"/>
    </row>
    <row r="189" spans="5:7" x14ac:dyDescent="0.2">
      <c r="E189" s="25"/>
      <c r="F189" s="25"/>
      <c r="G189" s="25"/>
    </row>
    <row r="190" spans="5:7" x14ac:dyDescent="0.2">
      <c r="E190" s="25"/>
      <c r="F190" s="25"/>
      <c r="G190" s="25"/>
    </row>
    <row r="191" spans="5:7" x14ac:dyDescent="0.2">
      <c r="E191" s="25"/>
      <c r="F191" s="25"/>
      <c r="G191" s="25"/>
    </row>
    <row r="192" spans="5:7" x14ac:dyDescent="0.2">
      <c r="E192" s="25"/>
      <c r="F192" s="25"/>
      <c r="G192" s="25"/>
    </row>
    <row r="193" spans="5:7" x14ac:dyDescent="0.2">
      <c r="E193" s="25"/>
      <c r="F193" s="25"/>
      <c r="G193" s="25"/>
    </row>
    <row r="194" spans="5:7" x14ac:dyDescent="0.2">
      <c r="E194" s="25"/>
      <c r="F194" s="25"/>
      <c r="G194" s="25"/>
    </row>
    <row r="195" spans="5:7" x14ac:dyDescent="0.2">
      <c r="E195" s="25"/>
      <c r="F195" s="25"/>
      <c r="G195" s="25"/>
    </row>
    <row r="196" spans="5:7" x14ac:dyDescent="0.2">
      <c r="E196" s="25"/>
      <c r="F196" s="25"/>
      <c r="G196" s="25"/>
    </row>
    <row r="197" spans="5:7" x14ac:dyDescent="0.2">
      <c r="E197" s="25"/>
      <c r="F197" s="25"/>
      <c r="G197" s="25"/>
    </row>
    <row r="198" spans="5:7" x14ac:dyDescent="0.2">
      <c r="E198" s="25"/>
      <c r="F198" s="25"/>
      <c r="G198" s="25"/>
    </row>
    <row r="199" spans="5:7" x14ac:dyDescent="0.2">
      <c r="E199" s="25"/>
      <c r="F199" s="25"/>
      <c r="G199" s="25"/>
    </row>
    <row r="200" spans="5:7" x14ac:dyDescent="0.2">
      <c r="E200" s="25"/>
      <c r="F200" s="25"/>
      <c r="G200" s="25"/>
    </row>
    <row r="201" spans="5:7" x14ac:dyDescent="0.2">
      <c r="E201" s="25"/>
      <c r="F201" s="25"/>
      <c r="G201" s="25"/>
    </row>
    <row r="202" spans="5:7" x14ac:dyDescent="0.2">
      <c r="E202" s="25"/>
      <c r="F202" s="25"/>
      <c r="G202" s="25"/>
    </row>
    <row r="203" spans="5:7" x14ac:dyDescent="0.2">
      <c r="E203" s="25"/>
      <c r="F203" s="25"/>
      <c r="G203" s="25"/>
    </row>
    <row r="204" spans="5:7" x14ac:dyDescent="0.2">
      <c r="E204" s="25"/>
      <c r="F204" s="25"/>
      <c r="G204" s="25"/>
    </row>
    <row r="205" spans="5:7" x14ac:dyDescent="0.2">
      <c r="E205" s="25"/>
      <c r="F205" s="25"/>
      <c r="G205" s="25"/>
    </row>
    <row r="206" spans="5:7" x14ac:dyDescent="0.2">
      <c r="E206" s="25"/>
      <c r="F206" s="25"/>
      <c r="G206" s="25"/>
    </row>
    <row r="207" spans="5:7" x14ac:dyDescent="0.2">
      <c r="E207" s="25"/>
      <c r="F207" s="25"/>
      <c r="G207" s="25"/>
    </row>
    <row r="208" spans="5:7" x14ac:dyDescent="0.2">
      <c r="E208" s="25"/>
      <c r="F208" s="25"/>
      <c r="G208" s="25"/>
    </row>
    <row r="209" spans="5:7" x14ac:dyDescent="0.2">
      <c r="E209" s="25"/>
      <c r="F209" s="25"/>
      <c r="G209" s="25"/>
    </row>
    <row r="210" spans="5:7" x14ac:dyDescent="0.2">
      <c r="E210" s="25"/>
      <c r="F210" s="25"/>
      <c r="G210" s="25"/>
    </row>
    <row r="211" spans="5:7" x14ac:dyDescent="0.2">
      <c r="E211" s="25"/>
      <c r="F211" s="25"/>
      <c r="G211" s="25"/>
    </row>
    <row r="212" spans="5:7" x14ac:dyDescent="0.2">
      <c r="E212" s="25"/>
      <c r="F212" s="25"/>
      <c r="G212" s="25"/>
    </row>
    <row r="213" spans="5:7" x14ac:dyDescent="0.2">
      <c r="E213" s="25"/>
      <c r="F213" s="25"/>
      <c r="G213" s="25"/>
    </row>
    <row r="214" spans="5:7" x14ac:dyDescent="0.2">
      <c r="E214" s="25"/>
      <c r="F214" s="25"/>
      <c r="G214" s="25"/>
    </row>
    <row r="215" spans="5:7" x14ac:dyDescent="0.2">
      <c r="E215" s="25"/>
      <c r="F215" s="25"/>
      <c r="G215" s="25"/>
    </row>
    <row r="216" spans="5:7" x14ac:dyDescent="0.2">
      <c r="E216" s="25"/>
      <c r="F216" s="25"/>
      <c r="G216" s="25"/>
    </row>
    <row r="217" spans="5:7" x14ac:dyDescent="0.2">
      <c r="E217" s="25"/>
      <c r="F217" s="25"/>
      <c r="G217" s="25"/>
    </row>
    <row r="218" spans="5:7" x14ac:dyDescent="0.2">
      <c r="E218" s="25"/>
      <c r="F218" s="25"/>
      <c r="G218" s="25"/>
    </row>
    <row r="219" spans="5:7" x14ac:dyDescent="0.2">
      <c r="E219" s="25"/>
      <c r="F219" s="25"/>
      <c r="G219" s="25"/>
    </row>
    <row r="220" spans="5:7" x14ac:dyDescent="0.2">
      <c r="E220" s="25"/>
      <c r="F220" s="25"/>
      <c r="G220" s="25"/>
    </row>
    <row r="221" spans="5:7" x14ac:dyDescent="0.2">
      <c r="E221" s="25"/>
      <c r="F221" s="25"/>
      <c r="G221" s="25"/>
    </row>
    <row r="222" spans="5:7" x14ac:dyDescent="0.2">
      <c r="E222" s="25"/>
      <c r="F222" s="25"/>
      <c r="G222" s="25"/>
    </row>
    <row r="223" spans="5:7" x14ac:dyDescent="0.2">
      <c r="E223" s="25"/>
      <c r="F223" s="25"/>
      <c r="G223" s="25"/>
    </row>
    <row r="224" spans="5:7" x14ac:dyDescent="0.2">
      <c r="E224" s="25"/>
      <c r="F224" s="25"/>
      <c r="G224" s="25"/>
    </row>
    <row r="225" spans="5:7" x14ac:dyDescent="0.2">
      <c r="E225" s="25"/>
      <c r="F225" s="25"/>
      <c r="G225" s="25"/>
    </row>
    <row r="226" spans="5:7" x14ac:dyDescent="0.2">
      <c r="E226" s="25"/>
      <c r="F226" s="25"/>
      <c r="G226" s="25"/>
    </row>
    <row r="227" spans="5:7" x14ac:dyDescent="0.2">
      <c r="E227" s="25"/>
      <c r="F227" s="25"/>
      <c r="G227" s="25"/>
    </row>
    <row r="228" spans="5:7" x14ac:dyDescent="0.2">
      <c r="E228" s="25"/>
      <c r="F228" s="25"/>
      <c r="G228" s="25"/>
    </row>
    <row r="229" spans="5:7" x14ac:dyDescent="0.2">
      <c r="E229" s="25"/>
      <c r="F229" s="25"/>
      <c r="G229" s="25"/>
    </row>
    <row r="230" spans="5:7" x14ac:dyDescent="0.2">
      <c r="E230" s="25"/>
      <c r="F230" s="25"/>
      <c r="G230" s="25"/>
    </row>
    <row r="231" spans="5:7" x14ac:dyDescent="0.2">
      <c r="E231" s="25"/>
      <c r="F231" s="25"/>
      <c r="G231" s="25"/>
    </row>
    <row r="232" spans="5:7" x14ac:dyDescent="0.2">
      <c r="E232" s="25"/>
      <c r="F232" s="25"/>
      <c r="G232" s="25"/>
    </row>
    <row r="233" spans="5:7" x14ac:dyDescent="0.2">
      <c r="E233" s="25"/>
      <c r="F233" s="25"/>
      <c r="G233" s="25"/>
    </row>
    <row r="234" spans="5:7" x14ac:dyDescent="0.2">
      <c r="E234" s="25"/>
      <c r="F234" s="25"/>
      <c r="G234" s="25"/>
    </row>
    <row r="235" spans="5:7" x14ac:dyDescent="0.2">
      <c r="E235" s="25"/>
      <c r="F235" s="25"/>
      <c r="G235" s="25"/>
    </row>
    <row r="236" spans="5:7" x14ac:dyDescent="0.2">
      <c r="E236" s="25"/>
      <c r="F236" s="25"/>
      <c r="G236" s="25"/>
    </row>
    <row r="237" spans="5:7" x14ac:dyDescent="0.2">
      <c r="E237" s="25"/>
      <c r="F237" s="25"/>
      <c r="G237" s="25"/>
    </row>
    <row r="238" spans="5:7" x14ac:dyDescent="0.2">
      <c r="E238" s="25"/>
      <c r="F238" s="25"/>
      <c r="G238" s="25"/>
    </row>
    <row r="239" spans="5:7" x14ac:dyDescent="0.2">
      <c r="E239" s="25"/>
      <c r="F239" s="25"/>
      <c r="G239" s="25"/>
    </row>
    <row r="240" spans="5:7" x14ac:dyDescent="0.2">
      <c r="E240" s="25"/>
      <c r="F240" s="25"/>
      <c r="G240" s="25"/>
    </row>
    <row r="241" spans="5:7" x14ac:dyDescent="0.2">
      <c r="E241" s="25"/>
      <c r="F241" s="25"/>
      <c r="G241" s="25"/>
    </row>
    <row r="242" spans="5:7" x14ac:dyDescent="0.2">
      <c r="E242" s="25"/>
      <c r="F242" s="25"/>
      <c r="G242" s="25"/>
    </row>
    <row r="243" spans="5:7" x14ac:dyDescent="0.2">
      <c r="E243" s="25"/>
      <c r="F243" s="25"/>
      <c r="G243" s="25"/>
    </row>
    <row r="244" spans="5:7" x14ac:dyDescent="0.2">
      <c r="E244" s="25"/>
      <c r="F244" s="25"/>
      <c r="G244" s="25"/>
    </row>
    <row r="245" spans="5:7" x14ac:dyDescent="0.2">
      <c r="E245" s="25"/>
      <c r="F245" s="25"/>
      <c r="G245" s="25"/>
    </row>
    <row r="246" spans="5:7" x14ac:dyDescent="0.2">
      <c r="E246" s="25"/>
      <c r="F246" s="25"/>
      <c r="G246" s="25"/>
    </row>
    <row r="247" spans="5:7" x14ac:dyDescent="0.2">
      <c r="E247" s="25"/>
      <c r="F247" s="25"/>
      <c r="G247" s="25"/>
    </row>
    <row r="248" spans="5:7" x14ac:dyDescent="0.2">
      <c r="E248" s="25"/>
      <c r="F248" s="25"/>
      <c r="G248" s="25"/>
    </row>
    <row r="249" spans="5:7" x14ac:dyDescent="0.2">
      <c r="E249" s="25"/>
      <c r="F249" s="25"/>
      <c r="G249" s="25"/>
    </row>
    <row r="250" spans="5:7" x14ac:dyDescent="0.2">
      <c r="E250" s="25"/>
      <c r="F250" s="25"/>
      <c r="G250" s="25"/>
    </row>
    <row r="251" spans="5:7" x14ac:dyDescent="0.2">
      <c r="E251" s="25"/>
      <c r="F251" s="25"/>
      <c r="G251" s="25"/>
    </row>
    <row r="252" spans="5:7" x14ac:dyDescent="0.2">
      <c r="E252" s="25"/>
      <c r="F252" s="25"/>
      <c r="G252" s="25"/>
    </row>
    <row r="253" spans="5:7" x14ac:dyDescent="0.2">
      <c r="E253" s="25"/>
      <c r="F253" s="25"/>
      <c r="G253" s="25"/>
    </row>
    <row r="254" spans="5:7" x14ac:dyDescent="0.2">
      <c r="E254" s="25"/>
      <c r="F254" s="25"/>
      <c r="G254" s="25"/>
    </row>
    <row r="255" spans="5:7" x14ac:dyDescent="0.2">
      <c r="E255" s="25"/>
      <c r="F255" s="25"/>
      <c r="G255" s="25"/>
    </row>
    <row r="256" spans="5:7" x14ac:dyDescent="0.2">
      <c r="E256" s="25"/>
      <c r="F256" s="25"/>
      <c r="G256" s="25"/>
    </row>
    <row r="257" spans="5:7" x14ac:dyDescent="0.2">
      <c r="E257" s="25"/>
      <c r="F257" s="25"/>
      <c r="G257" s="25"/>
    </row>
    <row r="258" spans="5:7" x14ac:dyDescent="0.2">
      <c r="E258" s="25"/>
      <c r="F258" s="25"/>
      <c r="G258" s="25"/>
    </row>
    <row r="259" spans="5:7" x14ac:dyDescent="0.2">
      <c r="E259" s="25"/>
      <c r="F259" s="25"/>
      <c r="G259" s="25"/>
    </row>
    <row r="260" spans="5:7" x14ac:dyDescent="0.2">
      <c r="E260" s="25"/>
      <c r="F260" s="25"/>
      <c r="G260" s="25"/>
    </row>
    <row r="261" spans="5:7" x14ac:dyDescent="0.2">
      <c r="E261" s="25"/>
      <c r="F261" s="25"/>
      <c r="G261" s="25"/>
    </row>
    <row r="262" spans="5:7" x14ac:dyDescent="0.2">
      <c r="E262" s="25"/>
      <c r="F262" s="25"/>
      <c r="G262" s="25"/>
    </row>
    <row r="263" spans="5:7" x14ac:dyDescent="0.2">
      <c r="E263" s="25"/>
      <c r="F263" s="25"/>
      <c r="G263" s="25"/>
    </row>
    <row r="264" spans="5:7" x14ac:dyDescent="0.2">
      <c r="E264" s="25"/>
      <c r="F264" s="25"/>
      <c r="G264" s="25"/>
    </row>
    <row r="265" spans="5:7" x14ac:dyDescent="0.2">
      <c r="E265" s="25"/>
      <c r="F265" s="25"/>
      <c r="G265" s="25"/>
    </row>
    <row r="266" spans="5:7" x14ac:dyDescent="0.2">
      <c r="E266" s="25"/>
      <c r="F266" s="25"/>
      <c r="G266" s="25"/>
    </row>
    <row r="267" spans="5:7" x14ac:dyDescent="0.2">
      <c r="E267" s="25"/>
      <c r="F267" s="25"/>
      <c r="G267" s="25"/>
    </row>
    <row r="268" spans="5:7" x14ac:dyDescent="0.2">
      <c r="E268" s="25"/>
      <c r="F268" s="25"/>
      <c r="G268" s="25"/>
    </row>
    <row r="269" spans="5:7" x14ac:dyDescent="0.2">
      <c r="E269" s="25"/>
      <c r="F269" s="25"/>
      <c r="G269" s="25"/>
    </row>
    <row r="270" spans="5:7" x14ac:dyDescent="0.2">
      <c r="E270" s="25"/>
      <c r="F270" s="25"/>
      <c r="G270" s="25"/>
    </row>
    <row r="271" spans="5:7" x14ac:dyDescent="0.2">
      <c r="E271" s="25"/>
      <c r="F271" s="25"/>
      <c r="G271" s="25"/>
    </row>
    <row r="272" spans="5:7" x14ac:dyDescent="0.2">
      <c r="E272" s="25"/>
      <c r="F272" s="25"/>
      <c r="G272" s="25"/>
    </row>
    <row r="273" spans="5:7" x14ac:dyDescent="0.2">
      <c r="E273" s="25"/>
      <c r="F273" s="25"/>
      <c r="G273" s="25"/>
    </row>
    <row r="274" spans="5:7" x14ac:dyDescent="0.2">
      <c r="E274" s="25"/>
      <c r="F274" s="25"/>
      <c r="G274" s="25"/>
    </row>
    <row r="275" spans="5:7" x14ac:dyDescent="0.2">
      <c r="E275" s="25"/>
      <c r="F275" s="25"/>
      <c r="G275" s="25"/>
    </row>
    <row r="276" spans="5:7" x14ac:dyDescent="0.2">
      <c r="E276" s="25"/>
      <c r="F276" s="25"/>
      <c r="G276" s="25"/>
    </row>
    <row r="277" spans="5:7" x14ac:dyDescent="0.2">
      <c r="E277" s="25"/>
      <c r="F277" s="25"/>
      <c r="G277" s="25"/>
    </row>
    <row r="278" spans="5:7" x14ac:dyDescent="0.2">
      <c r="E278" s="25"/>
      <c r="F278" s="25"/>
      <c r="G278" s="25"/>
    </row>
    <row r="279" spans="5:7" x14ac:dyDescent="0.2">
      <c r="E279" s="25"/>
      <c r="F279" s="25"/>
      <c r="G279" s="25"/>
    </row>
    <row r="280" spans="5:7" x14ac:dyDescent="0.2">
      <c r="E280" s="25"/>
      <c r="F280" s="25"/>
      <c r="G280" s="25"/>
    </row>
    <row r="281" spans="5:7" x14ac:dyDescent="0.2">
      <c r="E281" s="25"/>
      <c r="F281" s="25"/>
      <c r="G281" s="25"/>
    </row>
    <row r="282" spans="5:7" x14ac:dyDescent="0.2">
      <c r="E282" s="25"/>
      <c r="F282" s="25"/>
      <c r="G282" s="25"/>
    </row>
    <row r="283" spans="5:7" x14ac:dyDescent="0.2">
      <c r="E283" s="25"/>
      <c r="F283" s="25"/>
      <c r="G283" s="25"/>
    </row>
    <row r="284" spans="5:7" x14ac:dyDescent="0.2">
      <c r="E284" s="25"/>
      <c r="F284" s="25"/>
      <c r="G284" s="25"/>
    </row>
    <row r="285" spans="5:7" x14ac:dyDescent="0.2">
      <c r="E285" s="25"/>
      <c r="F285" s="25"/>
      <c r="G285" s="25"/>
    </row>
    <row r="286" spans="5:7" x14ac:dyDescent="0.2">
      <c r="E286" s="25"/>
      <c r="F286" s="25"/>
      <c r="G286" s="25"/>
    </row>
    <row r="287" spans="5:7" x14ac:dyDescent="0.2">
      <c r="E287" s="25"/>
      <c r="F287" s="25"/>
      <c r="G287" s="25"/>
    </row>
    <row r="288" spans="5:7" x14ac:dyDescent="0.2">
      <c r="E288" s="25"/>
      <c r="F288" s="25"/>
      <c r="G288" s="25"/>
    </row>
    <row r="289" spans="5:7" x14ac:dyDescent="0.2">
      <c r="E289" s="25"/>
      <c r="F289" s="25"/>
      <c r="G289" s="25"/>
    </row>
    <row r="290" spans="5:7" x14ac:dyDescent="0.2">
      <c r="E290" s="25"/>
      <c r="F290" s="25"/>
      <c r="G290" s="25"/>
    </row>
    <row r="291" spans="5:7" x14ac:dyDescent="0.2">
      <c r="E291" s="25"/>
      <c r="F291" s="25"/>
      <c r="G291" s="25"/>
    </row>
    <row r="292" spans="5:7" x14ac:dyDescent="0.2">
      <c r="E292" s="25"/>
      <c r="F292" s="25"/>
      <c r="G292" s="25"/>
    </row>
    <row r="293" spans="5:7" x14ac:dyDescent="0.2">
      <c r="E293" s="25"/>
      <c r="F293" s="25"/>
      <c r="G293" s="25"/>
    </row>
    <row r="294" spans="5:7" x14ac:dyDescent="0.2">
      <c r="E294" s="25"/>
      <c r="F294" s="25"/>
      <c r="G294" s="25"/>
    </row>
    <row r="295" spans="5:7" x14ac:dyDescent="0.2">
      <c r="E295" s="25"/>
      <c r="F295" s="25"/>
      <c r="G295" s="25"/>
    </row>
    <row r="296" spans="5:7" x14ac:dyDescent="0.2">
      <c r="E296" s="25"/>
      <c r="F296" s="25"/>
      <c r="G296" s="25"/>
    </row>
    <row r="297" spans="5:7" x14ac:dyDescent="0.2">
      <c r="E297" s="25"/>
      <c r="F297" s="25"/>
      <c r="G297" s="25"/>
    </row>
    <row r="298" spans="5:7" x14ac:dyDescent="0.2">
      <c r="E298" s="25"/>
      <c r="F298" s="25"/>
      <c r="G298" s="25"/>
    </row>
    <row r="299" spans="5:7" x14ac:dyDescent="0.2">
      <c r="E299" s="25"/>
      <c r="F299" s="25"/>
      <c r="G299" s="25"/>
    </row>
    <row r="300" spans="5:7" x14ac:dyDescent="0.2">
      <c r="E300" s="25"/>
      <c r="F300" s="25"/>
      <c r="G300" s="25"/>
    </row>
    <row r="301" spans="5:7" x14ac:dyDescent="0.2">
      <c r="E301" s="25"/>
      <c r="F301" s="25"/>
      <c r="G301" s="25"/>
    </row>
    <row r="302" spans="5:7" x14ac:dyDescent="0.2">
      <c r="E302" s="25"/>
      <c r="F302" s="25"/>
      <c r="G302" s="25"/>
    </row>
    <row r="303" spans="5:7" x14ac:dyDescent="0.2">
      <c r="E303" s="25"/>
      <c r="F303" s="25"/>
      <c r="G303" s="25"/>
    </row>
    <row r="304" spans="5:7" x14ac:dyDescent="0.2">
      <c r="E304" s="25"/>
      <c r="F304" s="25"/>
      <c r="G304" s="25"/>
    </row>
    <row r="305" spans="5:7" x14ac:dyDescent="0.2">
      <c r="E305" s="25"/>
      <c r="F305" s="25"/>
      <c r="G305" s="25"/>
    </row>
    <row r="306" spans="5:7" x14ac:dyDescent="0.2">
      <c r="E306" s="25"/>
      <c r="F306" s="25"/>
      <c r="G306" s="25"/>
    </row>
    <row r="307" spans="5:7" x14ac:dyDescent="0.2">
      <c r="E307" s="25"/>
      <c r="F307" s="25"/>
      <c r="G307" s="25"/>
    </row>
    <row r="308" spans="5:7" x14ac:dyDescent="0.2">
      <c r="E308" s="25"/>
      <c r="F308" s="25"/>
      <c r="G308" s="25"/>
    </row>
    <row r="309" spans="5:7" x14ac:dyDescent="0.2">
      <c r="E309" s="25"/>
      <c r="F309" s="25"/>
      <c r="G309" s="25"/>
    </row>
    <row r="310" spans="5:7" x14ac:dyDescent="0.2">
      <c r="E310" s="25"/>
      <c r="F310" s="25"/>
      <c r="G310" s="25"/>
    </row>
    <row r="311" spans="5:7" x14ac:dyDescent="0.2">
      <c r="E311" s="25"/>
      <c r="F311" s="25"/>
      <c r="G311" s="25"/>
    </row>
    <row r="312" spans="5:7" x14ac:dyDescent="0.2">
      <c r="E312" s="25"/>
      <c r="F312" s="25"/>
      <c r="G312" s="25"/>
    </row>
    <row r="313" spans="5:7" x14ac:dyDescent="0.2">
      <c r="E313" s="25"/>
      <c r="F313" s="25"/>
      <c r="G313" s="25"/>
    </row>
    <row r="314" spans="5:7" x14ac:dyDescent="0.2">
      <c r="E314" s="25"/>
      <c r="F314" s="25"/>
      <c r="G314" s="25"/>
    </row>
    <row r="315" spans="5:7" x14ac:dyDescent="0.2">
      <c r="E315" s="25"/>
      <c r="F315" s="25"/>
      <c r="G315" s="25"/>
    </row>
    <row r="316" spans="5:7" x14ac:dyDescent="0.2">
      <c r="E316" s="25"/>
      <c r="F316" s="25"/>
      <c r="G316" s="25"/>
    </row>
    <row r="317" spans="5:7" x14ac:dyDescent="0.2">
      <c r="E317" s="25"/>
      <c r="F317" s="25"/>
      <c r="G317" s="25"/>
    </row>
    <row r="318" spans="5:7" x14ac:dyDescent="0.2">
      <c r="E318" s="25"/>
      <c r="F318" s="25"/>
      <c r="G318" s="25"/>
    </row>
    <row r="319" spans="5:7" x14ac:dyDescent="0.2">
      <c r="E319" s="25"/>
      <c r="F319" s="25"/>
      <c r="G319" s="25"/>
    </row>
    <row r="320" spans="5:7" x14ac:dyDescent="0.2">
      <c r="E320" s="25"/>
      <c r="F320" s="25"/>
      <c r="G320" s="25"/>
    </row>
    <row r="321" spans="5:7" x14ac:dyDescent="0.2">
      <c r="E321" s="25"/>
      <c r="F321" s="25"/>
      <c r="G321" s="25"/>
    </row>
    <row r="322" spans="5:7" x14ac:dyDescent="0.2">
      <c r="E322" s="25"/>
      <c r="F322" s="25"/>
      <c r="G322" s="25"/>
    </row>
    <row r="323" spans="5:7" x14ac:dyDescent="0.2">
      <c r="E323" s="25"/>
      <c r="F323" s="25"/>
      <c r="G323" s="25"/>
    </row>
    <row r="324" spans="5:7" x14ac:dyDescent="0.2">
      <c r="E324" s="25"/>
      <c r="F324" s="25"/>
      <c r="G324" s="25"/>
    </row>
    <row r="325" spans="5:7" x14ac:dyDescent="0.2">
      <c r="E325" s="25"/>
      <c r="F325" s="25"/>
      <c r="G325" s="25"/>
    </row>
    <row r="326" spans="5:7" x14ac:dyDescent="0.2">
      <c r="E326" s="25"/>
      <c r="F326" s="25"/>
      <c r="G326" s="25"/>
    </row>
    <row r="327" spans="5:7" x14ac:dyDescent="0.2">
      <c r="E327" s="25"/>
      <c r="F327" s="25"/>
      <c r="G327" s="25"/>
    </row>
    <row r="328" spans="5:7" x14ac:dyDescent="0.2">
      <c r="E328" s="25"/>
      <c r="F328" s="25"/>
      <c r="G328" s="25"/>
    </row>
    <row r="329" spans="5:7" x14ac:dyDescent="0.2">
      <c r="E329" s="25"/>
      <c r="F329" s="25"/>
      <c r="G329" s="25"/>
    </row>
    <row r="330" spans="5:7" x14ac:dyDescent="0.2">
      <c r="E330" s="25"/>
      <c r="F330" s="25"/>
      <c r="G330" s="25"/>
    </row>
    <row r="331" spans="5:7" x14ac:dyDescent="0.2">
      <c r="E331" s="25"/>
      <c r="F331" s="25"/>
      <c r="G331" s="25"/>
    </row>
    <row r="332" spans="5:7" x14ac:dyDescent="0.2">
      <c r="E332" s="25"/>
      <c r="F332" s="25"/>
      <c r="G332" s="25"/>
    </row>
    <row r="333" spans="5:7" x14ac:dyDescent="0.2">
      <c r="E333" s="25"/>
      <c r="F333" s="25"/>
      <c r="G333" s="25"/>
    </row>
    <row r="334" spans="5:7" x14ac:dyDescent="0.2">
      <c r="E334" s="25"/>
      <c r="F334" s="25"/>
      <c r="G334" s="25"/>
    </row>
    <row r="335" spans="5:7" x14ac:dyDescent="0.2">
      <c r="E335" s="25"/>
      <c r="F335" s="25"/>
      <c r="G335" s="25"/>
    </row>
    <row r="336" spans="5:7" x14ac:dyDescent="0.2">
      <c r="E336" s="25"/>
      <c r="F336" s="25"/>
      <c r="G336" s="25"/>
    </row>
    <row r="337" spans="5:7" x14ac:dyDescent="0.2">
      <c r="E337" s="25"/>
      <c r="F337" s="25"/>
      <c r="G337" s="25"/>
    </row>
    <row r="338" spans="5:7" x14ac:dyDescent="0.2">
      <c r="E338" s="25"/>
      <c r="F338" s="25"/>
      <c r="G338" s="25"/>
    </row>
  </sheetData>
  <pageMargins left="0.25" right="0.25" top="0.5" bottom="0.5" header="0" footer="0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75" workbookViewId="0">
      <selection activeCell="K10" sqref="K10"/>
    </sheetView>
  </sheetViews>
  <sheetFormatPr defaultRowHeight="12.75" x14ac:dyDescent="0.2"/>
  <cols>
    <col min="1" max="1" width="22.140625" customWidth="1"/>
    <col min="2" max="2" width="4.5703125" customWidth="1"/>
    <col min="3" max="3" width="8" customWidth="1"/>
    <col min="4" max="4" width="13.28515625" customWidth="1"/>
    <col min="5" max="5" width="5.7109375" customWidth="1"/>
    <col min="6" max="6" width="19.85546875" customWidth="1"/>
  </cols>
  <sheetData>
    <row r="1" spans="1:6" x14ac:dyDescent="0.2">
      <c r="A1" s="77" t="s">
        <v>167</v>
      </c>
      <c r="B1" s="78"/>
      <c r="C1" s="78"/>
      <c r="D1" s="79" t="s">
        <v>150</v>
      </c>
      <c r="E1" s="92">
        <v>1</v>
      </c>
      <c r="F1" s="56"/>
    </row>
    <row r="2" spans="1:6" x14ac:dyDescent="0.2">
      <c r="A2" s="80" t="s">
        <v>87</v>
      </c>
      <c r="B2" s="81"/>
      <c r="C2" s="81"/>
      <c r="D2" s="82" t="s">
        <v>150</v>
      </c>
      <c r="E2" s="92">
        <v>1</v>
      </c>
      <c r="F2" s="56"/>
    </row>
    <row r="3" spans="1:6" x14ac:dyDescent="0.2">
      <c r="A3" s="80" t="s">
        <v>86</v>
      </c>
      <c r="B3" s="81"/>
      <c r="C3" s="81"/>
      <c r="D3" s="82" t="s">
        <v>156</v>
      </c>
      <c r="E3" s="92">
        <v>10</v>
      </c>
      <c r="F3" s="56"/>
    </row>
    <row r="4" spans="1:6" x14ac:dyDescent="0.2">
      <c r="A4" s="80" t="s">
        <v>80</v>
      </c>
      <c r="B4" s="81"/>
      <c r="C4" s="81"/>
      <c r="D4" s="82" t="s">
        <v>156</v>
      </c>
      <c r="E4" s="92">
        <v>10</v>
      </c>
      <c r="F4" s="56"/>
    </row>
    <row r="5" spans="1:6" x14ac:dyDescent="0.2">
      <c r="A5" s="80" t="s">
        <v>104</v>
      </c>
      <c r="B5" s="81"/>
      <c r="C5" s="81"/>
      <c r="D5" s="82" t="s">
        <v>156</v>
      </c>
      <c r="E5" s="92">
        <v>10</v>
      </c>
      <c r="F5" s="56"/>
    </row>
    <row r="6" spans="1:6" x14ac:dyDescent="0.2">
      <c r="A6" s="80" t="s">
        <v>88</v>
      </c>
      <c r="B6" s="81"/>
      <c r="C6" s="81"/>
      <c r="D6" s="82" t="s">
        <v>156</v>
      </c>
      <c r="E6" s="92">
        <v>10</v>
      </c>
      <c r="F6" s="56"/>
    </row>
    <row r="7" spans="1:6" x14ac:dyDescent="0.2">
      <c r="A7" s="80" t="s">
        <v>105</v>
      </c>
      <c r="B7" s="81"/>
      <c r="C7" s="81"/>
      <c r="D7" s="82" t="s">
        <v>157</v>
      </c>
      <c r="E7" s="92">
        <v>0</v>
      </c>
      <c r="F7" s="56"/>
    </row>
    <row r="8" spans="1:6" x14ac:dyDescent="0.2">
      <c r="A8" s="80" t="s">
        <v>106</v>
      </c>
      <c r="B8" s="81"/>
      <c r="C8" s="81"/>
      <c r="D8" s="82" t="s">
        <v>157</v>
      </c>
      <c r="E8" s="92">
        <v>0</v>
      </c>
      <c r="F8" s="56"/>
    </row>
    <row r="9" spans="1:6" x14ac:dyDescent="0.2">
      <c r="A9" s="93"/>
      <c r="B9" s="94"/>
      <c r="C9" s="94"/>
      <c r="D9" s="95"/>
      <c r="E9" s="96"/>
      <c r="F9" s="56"/>
    </row>
    <row r="10" spans="1:6" x14ac:dyDescent="0.2">
      <c r="A10" s="97" t="s">
        <v>79</v>
      </c>
      <c r="B10" s="94" t="s">
        <v>141</v>
      </c>
      <c r="C10" s="94" t="s">
        <v>142</v>
      </c>
      <c r="D10" s="95" t="s">
        <v>143</v>
      </c>
      <c r="E10" s="96"/>
      <c r="F10" s="56"/>
    </row>
    <row r="11" spans="1:6" x14ac:dyDescent="0.2">
      <c r="A11" s="98" t="s">
        <v>83</v>
      </c>
      <c r="B11" s="99" t="s">
        <v>144</v>
      </c>
      <c r="C11" s="99" t="s">
        <v>145</v>
      </c>
      <c r="D11" s="100" t="s">
        <v>146</v>
      </c>
      <c r="E11" s="92">
        <v>19.466666666666669</v>
      </c>
      <c r="F11" s="56"/>
    </row>
    <row r="12" spans="1:6" x14ac:dyDescent="0.2">
      <c r="A12" s="98" t="s">
        <v>83</v>
      </c>
      <c r="B12" s="99" t="s">
        <v>147</v>
      </c>
      <c r="C12" s="99" t="s">
        <v>145</v>
      </c>
      <c r="D12" s="100" t="s">
        <v>146</v>
      </c>
      <c r="E12" s="92">
        <v>19.466666666666669</v>
      </c>
      <c r="F12" s="56"/>
    </row>
    <row r="13" spans="1:6" x14ac:dyDescent="0.2">
      <c r="A13" s="98" t="s">
        <v>102</v>
      </c>
      <c r="B13" s="99" t="s">
        <v>148</v>
      </c>
      <c r="C13" s="99" t="s">
        <v>145</v>
      </c>
      <c r="D13" s="100" t="s">
        <v>149</v>
      </c>
      <c r="E13" s="92">
        <v>5.8259999999999996</v>
      </c>
      <c r="F13" s="56"/>
    </row>
    <row r="14" spans="1:6" x14ac:dyDescent="0.2">
      <c r="A14" s="98" t="s">
        <v>102</v>
      </c>
      <c r="B14" s="99" t="s">
        <v>144</v>
      </c>
      <c r="C14" s="99" t="s">
        <v>145</v>
      </c>
      <c r="D14" s="100" t="s">
        <v>149</v>
      </c>
      <c r="E14" s="92">
        <v>5.8259999999999996</v>
      </c>
      <c r="F14" s="56"/>
    </row>
    <row r="15" spans="1:6" x14ac:dyDescent="0.2">
      <c r="A15" s="98" t="s">
        <v>102</v>
      </c>
      <c r="B15" s="99" t="s">
        <v>147</v>
      </c>
      <c r="C15" s="99" t="s">
        <v>145</v>
      </c>
      <c r="D15" s="100" t="s">
        <v>149</v>
      </c>
      <c r="E15" s="92">
        <v>5.8259999999999996</v>
      </c>
      <c r="F15" s="56"/>
    </row>
    <row r="16" spans="1:6" x14ac:dyDescent="0.2">
      <c r="A16" s="98" t="s">
        <v>74</v>
      </c>
      <c r="B16" s="99" t="s">
        <v>148</v>
      </c>
      <c r="C16" s="99" t="s">
        <v>145</v>
      </c>
      <c r="D16" s="100" t="s">
        <v>150</v>
      </c>
      <c r="E16" s="92">
        <v>1</v>
      </c>
      <c r="F16" s="56"/>
    </row>
    <row r="17" spans="1:6" x14ac:dyDescent="0.2">
      <c r="A17" s="98" t="s">
        <v>74</v>
      </c>
      <c r="B17" s="99" t="s">
        <v>151</v>
      </c>
      <c r="C17" s="99" t="s">
        <v>145</v>
      </c>
      <c r="D17" s="100" t="s">
        <v>150</v>
      </c>
      <c r="E17" s="92">
        <v>1</v>
      </c>
      <c r="F17" s="56"/>
    </row>
    <row r="18" spans="1:6" x14ac:dyDescent="0.2">
      <c r="A18" s="98" t="s">
        <v>74</v>
      </c>
      <c r="B18" s="99" t="s">
        <v>144</v>
      </c>
      <c r="C18" s="99" t="s">
        <v>152</v>
      </c>
      <c r="D18" s="100" t="s">
        <v>150</v>
      </c>
      <c r="E18" s="92">
        <v>1</v>
      </c>
      <c r="F18" s="56"/>
    </row>
    <row r="19" spans="1:6" x14ac:dyDescent="0.2">
      <c r="A19" s="98" t="s">
        <v>74</v>
      </c>
      <c r="B19" s="99" t="s">
        <v>147</v>
      </c>
      <c r="C19" s="99" t="s">
        <v>145</v>
      </c>
      <c r="D19" s="100" t="s">
        <v>150</v>
      </c>
      <c r="E19" s="92">
        <v>1</v>
      </c>
      <c r="F19" s="56"/>
    </row>
    <row r="20" spans="1:6" x14ac:dyDescent="0.2">
      <c r="A20" s="98" t="s">
        <v>101</v>
      </c>
      <c r="B20" s="99" t="s">
        <v>148</v>
      </c>
      <c r="C20" s="99" t="s">
        <v>145</v>
      </c>
      <c r="D20" s="100" t="s">
        <v>149</v>
      </c>
      <c r="E20" s="92">
        <v>4.05</v>
      </c>
      <c r="F20" s="56"/>
    </row>
    <row r="21" spans="1:6" x14ac:dyDescent="0.2">
      <c r="A21" s="98" t="s">
        <v>101</v>
      </c>
      <c r="B21" s="99" t="s">
        <v>144</v>
      </c>
      <c r="C21" s="99" t="s">
        <v>145</v>
      </c>
      <c r="D21" s="100" t="s">
        <v>149</v>
      </c>
      <c r="E21" s="92">
        <v>4.05</v>
      </c>
      <c r="F21" s="56"/>
    </row>
    <row r="22" spans="1:6" x14ac:dyDescent="0.2">
      <c r="A22" s="98" t="s">
        <v>101</v>
      </c>
      <c r="B22" s="99" t="s">
        <v>147</v>
      </c>
      <c r="C22" s="99" t="s">
        <v>145</v>
      </c>
      <c r="D22" s="100" t="s">
        <v>149</v>
      </c>
      <c r="E22" s="92">
        <v>4.05</v>
      </c>
      <c r="F22" s="56"/>
    </row>
    <row r="23" spans="1:6" x14ac:dyDescent="0.2">
      <c r="A23" s="98" t="s">
        <v>153</v>
      </c>
      <c r="B23" s="99" t="s">
        <v>144</v>
      </c>
      <c r="C23" s="99" t="s">
        <v>145</v>
      </c>
      <c r="D23" s="100" t="s">
        <v>154</v>
      </c>
      <c r="E23" s="92">
        <v>0</v>
      </c>
      <c r="F23" s="56"/>
    </row>
    <row r="24" spans="1:6" x14ac:dyDescent="0.2">
      <c r="A24" s="98" t="s">
        <v>153</v>
      </c>
      <c r="B24" s="99" t="s">
        <v>147</v>
      </c>
      <c r="C24" s="99" t="s">
        <v>145</v>
      </c>
      <c r="D24" s="100" t="s">
        <v>154</v>
      </c>
      <c r="E24" s="92">
        <v>0</v>
      </c>
      <c r="F24" s="56"/>
    </row>
    <row r="25" spans="1:6" x14ac:dyDescent="0.2">
      <c r="A25" s="98" t="s">
        <v>84</v>
      </c>
      <c r="B25" s="99" t="s">
        <v>148</v>
      </c>
      <c r="C25" s="99" t="s">
        <v>145</v>
      </c>
      <c r="D25" s="100" t="s">
        <v>146</v>
      </c>
      <c r="E25" s="92">
        <v>0</v>
      </c>
      <c r="F25" s="56"/>
    </row>
    <row r="26" spans="1:6" x14ac:dyDescent="0.2">
      <c r="A26" s="98" t="s">
        <v>84</v>
      </c>
      <c r="B26" s="99" t="s">
        <v>144</v>
      </c>
      <c r="C26" s="99" t="s">
        <v>145</v>
      </c>
      <c r="D26" s="100" t="s">
        <v>146</v>
      </c>
      <c r="E26" s="92">
        <v>0</v>
      </c>
      <c r="F26" s="56"/>
    </row>
    <row r="27" spans="1:6" x14ac:dyDescent="0.2">
      <c r="A27" s="98" t="s">
        <v>84</v>
      </c>
      <c r="B27" s="99" t="s">
        <v>147</v>
      </c>
      <c r="C27" s="99" t="s">
        <v>145</v>
      </c>
      <c r="D27" s="100" t="s">
        <v>146</v>
      </c>
      <c r="E27" s="92">
        <v>0</v>
      </c>
      <c r="F27" s="56"/>
    </row>
    <row r="28" spans="1:6" x14ac:dyDescent="0.2">
      <c r="A28" s="98" t="s">
        <v>100</v>
      </c>
      <c r="B28" s="99" t="s">
        <v>148</v>
      </c>
      <c r="C28" s="99" t="s">
        <v>145</v>
      </c>
      <c r="D28" s="100" t="s">
        <v>149</v>
      </c>
      <c r="E28" s="92">
        <f>36/8</f>
        <v>4.5</v>
      </c>
      <c r="F28" s="56"/>
    </row>
    <row r="29" spans="1:6" x14ac:dyDescent="0.2">
      <c r="A29" s="98" t="s">
        <v>100</v>
      </c>
      <c r="B29" s="99" t="s">
        <v>144</v>
      </c>
      <c r="C29" s="99" t="s">
        <v>145</v>
      </c>
      <c r="D29" s="100" t="s">
        <v>149</v>
      </c>
      <c r="E29" s="92">
        <f>36/8</f>
        <v>4.5</v>
      </c>
      <c r="F29" s="56"/>
    </row>
    <row r="30" spans="1:6" x14ac:dyDescent="0.2">
      <c r="A30" s="98" t="s">
        <v>100</v>
      </c>
      <c r="B30" s="99" t="s">
        <v>147</v>
      </c>
      <c r="C30" s="99" t="s">
        <v>145</v>
      </c>
      <c r="D30" s="100" t="s">
        <v>149</v>
      </c>
      <c r="E30" s="92">
        <f>36/8</f>
        <v>4.5</v>
      </c>
      <c r="F30" s="56"/>
    </row>
    <row r="31" spans="1:6" x14ac:dyDescent="0.2">
      <c r="A31" s="98" t="s">
        <v>85</v>
      </c>
      <c r="B31" s="99" t="s">
        <v>144</v>
      </c>
      <c r="C31" s="99" t="s">
        <v>145</v>
      </c>
      <c r="D31" s="100" t="s">
        <v>162</v>
      </c>
      <c r="E31" s="92">
        <v>0</v>
      </c>
      <c r="F31" s="56"/>
    </row>
    <row r="32" spans="1:6" x14ac:dyDescent="0.2">
      <c r="A32" s="98" t="s">
        <v>85</v>
      </c>
      <c r="B32" s="99" t="s">
        <v>147</v>
      </c>
      <c r="C32" s="99" t="s">
        <v>145</v>
      </c>
      <c r="D32" s="100" t="s">
        <v>162</v>
      </c>
      <c r="E32" s="92">
        <v>0</v>
      </c>
      <c r="F32" s="56"/>
    </row>
    <row r="33" spans="1:6" x14ac:dyDescent="0.2">
      <c r="A33" s="85"/>
      <c r="B33" s="83"/>
      <c r="C33" s="83"/>
      <c r="D33" s="84"/>
      <c r="F33" s="56"/>
    </row>
    <row r="34" spans="1:6" x14ac:dyDescent="0.2">
      <c r="A34" s="85"/>
      <c r="B34" s="83"/>
      <c r="C34" s="83"/>
      <c r="D34" s="84"/>
      <c r="F34" s="56"/>
    </row>
    <row r="35" spans="1:6" x14ac:dyDescent="0.2">
      <c r="A35" s="85"/>
      <c r="B35" s="83"/>
      <c r="C35" s="83"/>
      <c r="D35" s="84"/>
      <c r="F35" s="56"/>
    </row>
    <row r="36" spans="1:6" x14ac:dyDescent="0.2">
      <c r="A36" s="85"/>
      <c r="B36" s="83"/>
      <c r="C36" s="83"/>
      <c r="D36" s="84"/>
      <c r="F36" s="56"/>
    </row>
    <row r="37" spans="1:6" x14ac:dyDescent="0.2">
      <c r="A37" s="85"/>
      <c r="B37" s="83"/>
      <c r="C37" s="83"/>
      <c r="D37" s="84"/>
      <c r="F37" s="56"/>
    </row>
    <row r="38" spans="1:6" x14ac:dyDescent="0.2">
      <c r="A38" s="85"/>
      <c r="B38" s="83"/>
      <c r="C38" s="83"/>
      <c r="D38" s="84"/>
      <c r="F38" s="56"/>
    </row>
    <row r="39" spans="1:6" x14ac:dyDescent="0.2">
      <c r="A39" s="85"/>
      <c r="B39" s="83"/>
      <c r="C39" s="83"/>
      <c r="D39" s="84"/>
      <c r="F39" s="56"/>
    </row>
    <row r="40" spans="1:6" ht="13.5" thickBot="1" x14ac:dyDescent="0.25">
      <c r="A40" s="86"/>
      <c r="B40" s="87"/>
      <c r="C40" s="87"/>
      <c r="D40" s="88"/>
      <c r="F40" s="56"/>
    </row>
    <row r="41" spans="1:6" ht="45" customHeight="1" x14ac:dyDescent="0.2">
      <c r="A41" s="56"/>
      <c r="B41" s="56"/>
      <c r="C41" s="56"/>
      <c r="D41" s="56"/>
      <c r="E41" s="56"/>
      <c r="F41" s="56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9"/>
  <sheetViews>
    <sheetView zoomScale="65" workbookViewId="0">
      <pane xSplit="5" ySplit="7" topLeftCell="F8" activePane="bottomRight" state="frozen"/>
      <selection pane="topRight" activeCell="E1" sqref="E1"/>
      <selection pane="bottomLeft" activeCell="A13" sqref="A13"/>
      <selection pane="bottomRight" activeCell="G19" sqref="G19"/>
    </sheetView>
  </sheetViews>
  <sheetFormatPr defaultRowHeight="12.75" x14ac:dyDescent="0.2"/>
  <cols>
    <col min="1" max="1" width="11.42578125" style="16" customWidth="1"/>
    <col min="2" max="4" width="8.7109375" style="16" customWidth="1"/>
    <col min="5" max="5" width="25.42578125" style="34" customWidth="1"/>
    <col min="6" max="25" width="16.85546875" style="34" customWidth="1"/>
    <col min="26" max="27" width="16.140625" style="34" customWidth="1"/>
    <col min="28" max="29" width="10.28515625" style="34" customWidth="1"/>
    <col min="30" max="16384" width="9.140625" style="34"/>
  </cols>
  <sheetData>
    <row r="1" spans="1:30" x14ac:dyDescent="0.2">
      <c r="F1" s="31" t="s">
        <v>49</v>
      </c>
      <c r="G1" s="31"/>
      <c r="H1" s="31"/>
      <c r="I1" s="31"/>
      <c r="J1" s="31"/>
      <c r="K1" s="31" t="s">
        <v>44</v>
      </c>
      <c r="L1" s="31"/>
      <c r="M1" s="31"/>
      <c r="N1" s="31"/>
      <c r="O1" s="31"/>
      <c r="P1" s="31" t="s">
        <v>69</v>
      </c>
      <c r="Q1" s="31"/>
      <c r="R1" s="31"/>
      <c r="S1" s="31"/>
      <c r="T1" s="31"/>
      <c r="U1" s="31" t="s">
        <v>39</v>
      </c>
      <c r="V1" s="31"/>
      <c r="W1" s="31"/>
      <c r="X1" s="31"/>
      <c r="Y1" s="31"/>
      <c r="Z1" s="31"/>
      <c r="AA1" s="31"/>
      <c r="AB1" s="31"/>
      <c r="AC1" s="31"/>
      <c r="AD1" s="16"/>
    </row>
    <row r="2" spans="1:30" x14ac:dyDescent="0.2">
      <c r="F2" s="34">
        <f>MATCH(F1,VARFINDCOLUMN,0)</f>
        <v>15</v>
      </c>
      <c r="K2" s="34">
        <f>MATCH(K1,VARFINDCOLUMN,0)</f>
        <v>10</v>
      </c>
      <c r="P2" s="34">
        <f>MATCH(P1,VARFINDCOLUMN,0)</f>
        <v>20</v>
      </c>
      <c r="U2" s="34">
        <f>MATCH(U1,VARFINDCOLUMN,0)</f>
        <v>5</v>
      </c>
      <c r="AD2" s="16"/>
    </row>
    <row r="3" spans="1:30" x14ac:dyDescent="0.2">
      <c r="F3" s="31" t="s">
        <v>50</v>
      </c>
      <c r="G3" s="31"/>
      <c r="H3" s="31" t="s">
        <v>51</v>
      </c>
      <c r="I3" s="31"/>
      <c r="J3" s="31"/>
      <c r="K3" s="31" t="s">
        <v>45</v>
      </c>
      <c r="L3" s="31"/>
      <c r="M3" s="31" t="s">
        <v>46</v>
      </c>
      <c r="N3" s="31"/>
      <c r="O3" s="31"/>
      <c r="P3" s="31" t="s">
        <v>70</v>
      </c>
      <c r="Q3" s="31"/>
      <c r="R3" s="31" t="s">
        <v>71</v>
      </c>
      <c r="S3" s="31"/>
      <c r="T3" s="31"/>
      <c r="U3" s="31" t="s">
        <v>40</v>
      </c>
      <c r="V3" s="31"/>
      <c r="W3" s="31" t="s">
        <v>41</v>
      </c>
      <c r="X3" s="31"/>
      <c r="Y3" s="31"/>
      <c r="Z3" s="31"/>
      <c r="AA3" s="31"/>
      <c r="AB3" s="31"/>
      <c r="AC3" s="31"/>
      <c r="AD3" s="16"/>
    </row>
    <row r="4" spans="1:30" x14ac:dyDescent="0.2">
      <c r="F4" s="34">
        <f>MATCH(F3,VARFINDCOLUMN,0)</f>
        <v>16</v>
      </c>
      <c r="H4" s="34">
        <f>MATCH(H3,VARFINDCOLUMN,0)</f>
        <v>17</v>
      </c>
      <c r="K4" s="34">
        <f>MATCH(K3,VARFINDCOLUMN,0)</f>
        <v>11</v>
      </c>
      <c r="M4" s="34">
        <f>MATCH(M3,VARFINDCOLUMN,0)</f>
        <v>12</v>
      </c>
      <c r="P4" s="34">
        <f>MATCH(P3,VARFINDCOLUMN,0)</f>
        <v>21</v>
      </c>
      <c r="R4" s="34">
        <f>MATCH(R3,VARFINDCOLUMN,0)</f>
        <v>22</v>
      </c>
      <c r="U4" s="34">
        <f>MATCH(U3,VARFINDCOLUMN,0)</f>
        <v>6</v>
      </c>
      <c r="W4" s="34">
        <f>MATCH(W3,VARFINDCOLUMN,0)</f>
        <v>7</v>
      </c>
      <c r="AD4" s="16"/>
    </row>
    <row r="5" spans="1:30" x14ac:dyDescent="0.2">
      <c r="F5" s="31" t="s">
        <v>52</v>
      </c>
      <c r="G5" s="31"/>
      <c r="H5" s="31" t="s">
        <v>53</v>
      </c>
      <c r="I5" s="31"/>
      <c r="J5" s="31"/>
      <c r="K5" s="31" t="s">
        <v>47</v>
      </c>
      <c r="L5" s="31"/>
      <c r="M5" s="31" t="s">
        <v>48</v>
      </c>
      <c r="N5" s="31"/>
      <c r="O5" s="31"/>
      <c r="P5" s="31" t="s">
        <v>72</v>
      </c>
      <c r="Q5" s="31"/>
      <c r="R5" s="31" t="s">
        <v>73</v>
      </c>
      <c r="S5" s="31"/>
      <c r="T5" s="31"/>
      <c r="U5" s="31" t="s">
        <v>42</v>
      </c>
      <c r="V5" s="31"/>
      <c r="W5" s="31" t="s">
        <v>43</v>
      </c>
      <c r="X5" s="31"/>
      <c r="Y5" s="31"/>
      <c r="Z5" s="31"/>
      <c r="AA5" s="31"/>
      <c r="AB5" s="31"/>
      <c r="AC5" s="31"/>
      <c r="AD5" s="16"/>
    </row>
    <row r="6" spans="1:30" x14ac:dyDescent="0.2">
      <c r="F6" s="34">
        <f>MATCH(F5,VARFINDCOLUMN,0)</f>
        <v>18</v>
      </c>
      <c r="H6" s="34">
        <f>MATCH(H5,VARFINDCOLUMN,0)</f>
        <v>19</v>
      </c>
      <c r="K6" s="34">
        <f>MATCH(K5,VARFINDCOLUMN,0)</f>
        <v>13</v>
      </c>
      <c r="M6" s="34">
        <f>MATCH(M5,VARFINDCOLUMN,0)</f>
        <v>14</v>
      </c>
      <c r="P6" s="34">
        <f>MATCH(P5,VARFINDCOLUMN,0)</f>
        <v>23</v>
      </c>
      <c r="R6" s="34">
        <f>MATCH(R5,VARFINDCOLUMN,0)</f>
        <v>24</v>
      </c>
      <c r="U6" s="34">
        <f>MATCH(U5,VARFINDCOLUMN,0)</f>
        <v>8</v>
      </c>
      <c r="W6" s="34">
        <f>MATCH(W5,VARFINDCOLUMN,0)</f>
        <v>9</v>
      </c>
      <c r="AD6" s="16"/>
    </row>
    <row r="7" spans="1:30" s="128" customFormat="1" x14ac:dyDescent="0.2">
      <c r="A7" s="127"/>
      <c r="B7" s="127"/>
      <c r="C7" s="127"/>
      <c r="D7" s="127"/>
      <c r="F7" s="129" t="s">
        <v>207</v>
      </c>
      <c r="G7" s="129" t="s">
        <v>209</v>
      </c>
      <c r="H7" s="129" t="s">
        <v>210</v>
      </c>
      <c r="I7" s="129" t="s">
        <v>211</v>
      </c>
      <c r="J7" s="129" t="s">
        <v>212</v>
      </c>
      <c r="K7" s="129" t="s">
        <v>213</v>
      </c>
      <c r="L7" s="129" t="s">
        <v>214</v>
      </c>
      <c r="M7" s="129" t="s">
        <v>215</v>
      </c>
      <c r="N7" s="129" t="s">
        <v>216</v>
      </c>
      <c r="O7" s="129" t="s">
        <v>217</v>
      </c>
      <c r="P7" s="129" t="s">
        <v>218</v>
      </c>
      <c r="Q7" s="129" t="s">
        <v>219</v>
      </c>
      <c r="R7" s="129" t="s">
        <v>220</v>
      </c>
      <c r="S7" s="129" t="s">
        <v>221</v>
      </c>
      <c r="T7" s="129" t="s">
        <v>218</v>
      </c>
      <c r="U7" s="129" t="s">
        <v>222</v>
      </c>
      <c r="V7" s="129" t="s">
        <v>223</v>
      </c>
      <c r="W7" s="129" t="s">
        <v>224</v>
      </c>
      <c r="X7" s="129" t="s">
        <v>225</v>
      </c>
      <c r="Y7" s="126" t="s">
        <v>77</v>
      </c>
      <c r="Z7" s="126"/>
      <c r="AA7" s="126"/>
      <c r="AB7" s="126"/>
      <c r="AC7" s="126"/>
      <c r="AD7" s="127"/>
    </row>
    <row r="8" spans="1:30" x14ac:dyDescent="0.2">
      <c r="AD8" s="16"/>
    </row>
    <row r="9" spans="1:30" x14ac:dyDescent="0.2">
      <c r="A9" s="16" t="s">
        <v>79</v>
      </c>
      <c r="B9" s="16" t="s">
        <v>18</v>
      </c>
      <c r="C9" s="16" t="s">
        <v>79</v>
      </c>
      <c r="D9" s="16" t="s">
        <v>18</v>
      </c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6"/>
    </row>
    <row r="10" spans="1:30" x14ac:dyDescent="0.2">
      <c r="A10" s="67" t="s">
        <v>74</v>
      </c>
      <c r="B10" s="67" t="s">
        <v>0</v>
      </c>
      <c r="C10" s="67" t="str">
        <f>A10</f>
        <v>GAS</v>
      </c>
      <c r="D10" s="67" t="s">
        <v>1</v>
      </c>
      <c r="E10" s="110" t="str">
        <f>"DEALS="&amp;A10</f>
        <v>DEALS=GAS</v>
      </c>
      <c r="F10" s="112">
        <f>DSUM(VARDATA2,F$2-1,$A9:$B10)</f>
        <v>724</v>
      </c>
      <c r="G10" s="112"/>
      <c r="H10" s="112">
        <f>DSUM(VARDATA2,F$2-1,$C9:$D10)</f>
        <v>841</v>
      </c>
      <c r="I10" s="112"/>
      <c r="J10" s="113">
        <f>IF((H10+F10)=0,"",F10/(H10+F10))</f>
        <v>0.46261980830670929</v>
      </c>
      <c r="K10" s="112">
        <f>DSUM(VARDATA2,K$2-1,$A9:$B10)</f>
        <v>7756</v>
      </c>
      <c r="L10" s="112"/>
      <c r="M10" s="112">
        <f>DSUM(VARDATA2,K$2-1,$C9:$D10)</f>
        <v>8599</v>
      </c>
      <c r="N10" s="112"/>
      <c r="O10" s="113">
        <f>IF((M10+K10)=0,"",K10/(M10+K10))</f>
        <v>0.4742280648119841</v>
      </c>
      <c r="P10" s="112">
        <f>DSUM(VARDATA2,P$2-1,$A9:$B10)</f>
        <v>7756</v>
      </c>
      <c r="Q10" s="112"/>
      <c r="R10" s="112">
        <f>DSUM(VARDATA2,P$2-1,$C9:$D10)</f>
        <v>8599</v>
      </c>
      <c r="S10" s="112"/>
      <c r="T10" s="113">
        <f>IF((R10+P10)=0,"",P10/(R10+P10))</f>
        <v>0.4742280648119841</v>
      </c>
      <c r="U10" s="112">
        <f>DSUM(VARDATA2,U$2-1,$A9:$B10)</f>
        <v>12581</v>
      </c>
      <c r="V10" s="112"/>
      <c r="W10" s="112">
        <f>DSUM(VARDATA2,U$2-1,$C9:$D10)</f>
        <v>20117</v>
      </c>
      <c r="X10" s="112"/>
      <c r="Y10" s="113">
        <f>IF((W10+U10)=0,"",U10/(W10+U10))</f>
        <v>0.38476359410361488</v>
      </c>
      <c r="Z10" s="113"/>
      <c r="AA10" s="113"/>
      <c r="AB10" s="113"/>
      <c r="AC10" s="113"/>
      <c r="AD10" s="16"/>
    </row>
    <row r="11" spans="1:30" x14ac:dyDescent="0.2">
      <c r="A11" s="16" t="s">
        <v>79</v>
      </c>
      <c r="B11" s="16" t="s">
        <v>18</v>
      </c>
      <c r="C11" s="16" t="s">
        <v>79</v>
      </c>
      <c r="D11" s="16" t="s">
        <v>18</v>
      </c>
      <c r="F11" s="111"/>
      <c r="G11" s="111"/>
      <c r="H11" s="112"/>
      <c r="I11" s="112"/>
      <c r="J11" s="111"/>
      <c r="K11" s="111"/>
      <c r="L11" s="111"/>
      <c r="M11" s="112"/>
      <c r="N11" s="112"/>
      <c r="O11" s="111"/>
      <c r="P11" s="111"/>
      <c r="Q11" s="111"/>
      <c r="R11" s="112"/>
      <c r="S11" s="112"/>
      <c r="T11" s="111"/>
      <c r="U11" s="111"/>
      <c r="V11" s="111"/>
      <c r="W11" s="112"/>
      <c r="X11" s="112"/>
      <c r="Y11" s="111"/>
      <c r="Z11" s="111"/>
      <c r="AA11" s="111"/>
      <c r="AB11" s="111"/>
      <c r="AC11" s="111"/>
      <c r="AD11" s="16"/>
    </row>
    <row r="12" spans="1:30" x14ac:dyDescent="0.2">
      <c r="A12" s="67" t="s">
        <v>167</v>
      </c>
      <c r="B12" s="67" t="s">
        <v>0</v>
      </c>
      <c r="C12" s="67" t="str">
        <f>A12</f>
        <v>CONTINENTAL GAS</v>
      </c>
      <c r="D12" s="67" t="s">
        <v>1</v>
      </c>
      <c r="E12" s="110" t="str">
        <f>"DEALS="&amp;A12</f>
        <v>DEALS=CONTINENTAL GAS</v>
      </c>
      <c r="F12" s="112">
        <f>DSUM(VARDATA2,F$2-1,$A11:$B12)</f>
        <v>1</v>
      </c>
      <c r="G12" s="112"/>
      <c r="H12" s="112">
        <f>DSUM(VARDATA2,F$2-1,$C11:$D12)</f>
        <v>13</v>
      </c>
      <c r="I12" s="112"/>
      <c r="J12" s="113">
        <f>IF((H12+F12)=0,"",F12/(H12+F12))</f>
        <v>7.1428571428571425E-2</v>
      </c>
      <c r="K12" s="112">
        <f>DSUM(VARDATA2,K$2-1,$A11:$B12)</f>
        <v>49</v>
      </c>
      <c r="L12" s="112"/>
      <c r="M12" s="112">
        <f>DSUM(VARDATA2,K$2-1,$C11:$D12)</f>
        <v>218</v>
      </c>
      <c r="N12" s="112"/>
      <c r="O12" s="113">
        <f>IF((M12+K12)=0,"",K12/(M12+K12))</f>
        <v>0.18352059925093633</v>
      </c>
      <c r="P12" s="112">
        <f>DSUM(VARDATA2,P$2-1,$A11:$B12)</f>
        <v>49</v>
      </c>
      <c r="Q12" s="112"/>
      <c r="R12" s="112">
        <f>DSUM(VARDATA2,P$2-1,$C11:$D12)</f>
        <v>218</v>
      </c>
      <c r="S12" s="112"/>
      <c r="T12" s="113">
        <f>IF((R12+P12)=0,"",P12/(R12+P12))</f>
        <v>0.18352059925093633</v>
      </c>
      <c r="U12" s="112">
        <f>DSUM(VARDATA2,U$2-1,$A11:$B12)</f>
        <v>49</v>
      </c>
      <c r="V12" s="112"/>
      <c r="W12" s="112">
        <f>DSUM(VARDATA2,U$2-1,$C11:$D12)</f>
        <v>218</v>
      </c>
      <c r="X12" s="112"/>
      <c r="Y12" s="113">
        <f>IF((W12+U12)=0,"",U12/(W12+U12))</f>
        <v>0.18352059925093633</v>
      </c>
      <c r="Z12" s="113"/>
      <c r="AA12" s="113"/>
      <c r="AB12" s="113"/>
      <c r="AC12" s="113"/>
      <c r="AD12" s="16"/>
    </row>
    <row r="13" spans="1:30" x14ac:dyDescent="0.2">
      <c r="A13" s="16" t="s">
        <v>79</v>
      </c>
      <c r="B13" s="16" t="s">
        <v>18</v>
      </c>
      <c r="C13" s="16" t="s">
        <v>79</v>
      </c>
      <c r="D13" s="16" t="s">
        <v>18</v>
      </c>
      <c r="F13" s="111"/>
      <c r="G13" s="111"/>
      <c r="H13" s="112"/>
      <c r="I13" s="112"/>
      <c r="J13" s="111"/>
      <c r="K13" s="111"/>
      <c r="L13" s="111"/>
      <c r="M13" s="112"/>
      <c r="N13" s="112"/>
      <c r="O13" s="111"/>
      <c r="P13" s="111"/>
      <c r="Q13" s="111"/>
      <c r="R13" s="112"/>
      <c r="S13" s="112"/>
      <c r="T13" s="111"/>
      <c r="U13" s="111"/>
      <c r="V13" s="111"/>
      <c r="W13" s="112"/>
      <c r="X13" s="112"/>
      <c r="Y13" s="111"/>
      <c r="Z13" s="111"/>
      <c r="AA13" s="111"/>
      <c r="AB13" s="111"/>
      <c r="AC13" s="111"/>
      <c r="AD13" s="16"/>
    </row>
    <row r="14" spans="1:30" x14ac:dyDescent="0.2">
      <c r="A14" s="67" t="s">
        <v>87</v>
      </c>
      <c r="B14" s="67" t="s">
        <v>0</v>
      </c>
      <c r="C14" s="67" t="str">
        <f>A14</f>
        <v>UK GAS</v>
      </c>
      <c r="D14" s="67" t="s">
        <v>1</v>
      </c>
      <c r="E14" s="110" t="str">
        <f>"DEALS="&amp;A14</f>
        <v>DEALS=UK GAS</v>
      </c>
      <c r="F14" s="112">
        <f>DSUM(VARDATA2,F$2-1,$A13:$B14)</f>
        <v>50</v>
      </c>
      <c r="G14" s="112"/>
      <c r="H14" s="112">
        <f>DSUM(VARDATA2,F$2-1,$C13:$D14)</f>
        <v>46</v>
      </c>
      <c r="I14" s="112"/>
      <c r="J14" s="113">
        <f>IF((H14+F14)=0,"",F14/(H14+F14))</f>
        <v>0.52083333333333337</v>
      </c>
      <c r="K14" s="112">
        <f>DSUM(VARDATA2,K$2-1,$A13:$B14)</f>
        <v>811</v>
      </c>
      <c r="L14" s="112"/>
      <c r="M14" s="112">
        <f>DSUM(VARDATA2,K$2-1,$C13:$D14)</f>
        <v>766</v>
      </c>
      <c r="N14" s="112"/>
      <c r="O14" s="113">
        <f>IF((M14+K14)=0,"",K14/(M14+K14))</f>
        <v>0.51426759670259992</v>
      </c>
      <c r="P14" s="112">
        <f>DSUM(VARDATA2,P$2-1,$A13:$B14)</f>
        <v>811</v>
      </c>
      <c r="Q14" s="112"/>
      <c r="R14" s="112">
        <f>DSUM(VARDATA2,P$2-1,$C13:$D14)</f>
        <v>766</v>
      </c>
      <c r="S14" s="112"/>
      <c r="T14" s="113">
        <f>IF((R14+P14)=0,"",P14/(R14+P14))</f>
        <v>0.51426759670259992</v>
      </c>
      <c r="U14" s="112">
        <f>DSUM(VARDATA2,U$2-1,$A13:$B14)</f>
        <v>811</v>
      </c>
      <c r="V14" s="112"/>
      <c r="W14" s="112">
        <f>DSUM(VARDATA2,U$2-1,$C13:$D14)</f>
        <v>766</v>
      </c>
      <c r="X14" s="112"/>
      <c r="Y14" s="113">
        <f>IF((W14+U14)=0,"",U14/(W14+U14))</f>
        <v>0.51426759670259992</v>
      </c>
      <c r="Z14" s="113"/>
      <c r="AA14" s="113"/>
      <c r="AB14" s="113"/>
      <c r="AC14" s="113"/>
      <c r="AD14" s="16"/>
    </row>
    <row r="15" spans="1:30" x14ac:dyDescent="0.2">
      <c r="A15" s="16" t="s">
        <v>79</v>
      </c>
      <c r="B15" s="16" t="s">
        <v>18</v>
      </c>
      <c r="C15" s="16" t="s">
        <v>79</v>
      </c>
      <c r="D15" s="16" t="s">
        <v>18</v>
      </c>
      <c r="F15" s="111"/>
      <c r="G15" s="111"/>
      <c r="H15" s="112"/>
      <c r="I15" s="112"/>
      <c r="J15" s="111"/>
      <c r="K15" s="111"/>
      <c r="L15" s="111"/>
      <c r="M15" s="112"/>
      <c r="N15" s="112"/>
      <c r="O15" s="111"/>
      <c r="P15" s="111"/>
      <c r="Q15" s="111"/>
      <c r="R15" s="112"/>
      <c r="S15" s="112"/>
      <c r="T15" s="111"/>
      <c r="U15" s="111"/>
      <c r="V15" s="111"/>
      <c r="W15" s="112"/>
      <c r="X15" s="112"/>
      <c r="Y15" s="111"/>
      <c r="Z15" s="111"/>
      <c r="AA15" s="111"/>
      <c r="AB15" s="111"/>
      <c r="AC15" s="111"/>
      <c r="AD15" s="16"/>
    </row>
    <row r="16" spans="1:30" x14ac:dyDescent="0.2">
      <c r="A16" s="67" t="s">
        <v>86</v>
      </c>
      <c r="B16" s="67" t="s">
        <v>0</v>
      </c>
      <c r="C16" s="67" t="str">
        <f>A16</f>
        <v>POWER</v>
      </c>
      <c r="D16" s="67" t="s">
        <v>1</v>
      </c>
      <c r="E16" s="110" t="str">
        <f>"DEALS="&amp;A16</f>
        <v>DEALS=POWER</v>
      </c>
      <c r="F16" s="112">
        <f>DSUM(VARDATA2,F$2-1,$A15:$B16)</f>
        <v>72</v>
      </c>
      <c r="G16" s="112"/>
      <c r="H16" s="112">
        <f>DSUM(VARDATA2,F$2-1,$C15:$D16)</f>
        <v>575</v>
      </c>
      <c r="I16" s="112"/>
      <c r="J16" s="113">
        <f>IF((H16+F16)=0,"",F16/(H16+F16))</f>
        <v>0.11128284389489954</v>
      </c>
      <c r="K16" s="112">
        <f>DSUM(VARDATA2,K$2-1,$A15:$B16)</f>
        <v>952</v>
      </c>
      <c r="L16" s="112"/>
      <c r="M16" s="112">
        <f>DSUM(VARDATA2,K$2-1,$C15:$D16)</f>
        <v>7138</v>
      </c>
      <c r="N16" s="112"/>
      <c r="O16" s="113">
        <f>IF((M16+K16)=0,"",K16/(M16+K16))</f>
        <v>0.1176761433868974</v>
      </c>
      <c r="P16" s="112">
        <f>DSUM(VARDATA2,P$2-1,$A15:$B16)</f>
        <v>952</v>
      </c>
      <c r="Q16" s="112"/>
      <c r="R16" s="112">
        <f>DSUM(VARDATA2,P$2-1,$C15:$D16)</f>
        <v>7138</v>
      </c>
      <c r="S16" s="112"/>
      <c r="T16" s="113">
        <f>IF((R16+P16)=0,"",P16/(R16+P16))</f>
        <v>0.1176761433868974</v>
      </c>
      <c r="U16" s="112">
        <f>DSUM(VARDATA2,U$2-1,$A15:$B16)</f>
        <v>1094</v>
      </c>
      <c r="V16" s="112"/>
      <c r="W16" s="112">
        <f>DSUM(VARDATA2,U$2-1,$C15:$D16)</f>
        <v>10590</v>
      </c>
      <c r="X16" s="112"/>
      <c r="Y16" s="113">
        <f>IF((W16+U16)=0,"",U16/(W16+U16))</f>
        <v>9.3632317699418002E-2</v>
      </c>
      <c r="Z16" s="113"/>
      <c r="AA16" s="113"/>
      <c r="AB16" s="113"/>
      <c r="AC16" s="113"/>
      <c r="AD16" s="16"/>
    </row>
    <row r="17" spans="1:30" x14ac:dyDescent="0.2">
      <c r="A17" s="16" t="s">
        <v>79</v>
      </c>
      <c r="B17" s="16" t="s">
        <v>18</v>
      </c>
      <c r="C17" s="16" t="s">
        <v>79</v>
      </c>
      <c r="D17" s="16" t="s">
        <v>18</v>
      </c>
      <c r="F17" s="111"/>
      <c r="G17" s="111"/>
      <c r="H17" s="112"/>
      <c r="I17" s="112"/>
      <c r="J17" s="111"/>
      <c r="K17" s="111"/>
      <c r="L17" s="111"/>
      <c r="M17" s="112"/>
      <c r="N17" s="112"/>
      <c r="O17" s="111"/>
      <c r="P17" s="111"/>
      <c r="Q17" s="111"/>
      <c r="R17" s="112"/>
      <c r="S17" s="112"/>
      <c r="T17" s="111"/>
      <c r="U17" s="111"/>
      <c r="V17" s="111"/>
      <c r="W17" s="112"/>
      <c r="X17" s="112"/>
      <c r="Y17" s="111"/>
      <c r="Z17" s="111"/>
      <c r="AA17" s="111"/>
      <c r="AB17" s="111"/>
      <c r="AC17" s="111"/>
      <c r="AD17" s="16"/>
    </row>
    <row r="18" spans="1:30" x14ac:dyDescent="0.2">
      <c r="A18" s="67" t="s">
        <v>80</v>
      </c>
      <c r="B18" s="67" t="s">
        <v>0</v>
      </c>
      <c r="C18" s="67" t="str">
        <f>A18</f>
        <v>CONTINENTAL POWER</v>
      </c>
      <c r="D18" s="67" t="s">
        <v>1</v>
      </c>
      <c r="E18" s="110" t="str">
        <f>"DEALS="&amp;A18</f>
        <v>DEALS=CONTINENTAL POWER</v>
      </c>
      <c r="F18" s="112">
        <f>DSUM(VARDATA2,F$2-1,$A17:$B18)</f>
        <v>3</v>
      </c>
      <c r="G18" s="112"/>
      <c r="H18" s="112">
        <f>DSUM(VARDATA2,F$2-1,$C17:$D18)</f>
        <v>62</v>
      </c>
      <c r="I18" s="112"/>
      <c r="J18" s="113">
        <f>IF((H18+F18)=0,"",F18/(H18+F18))</f>
        <v>4.6153846153846156E-2</v>
      </c>
      <c r="K18" s="112">
        <f>DSUM(VARDATA2,K$2-1,$A17:$B18)</f>
        <v>30</v>
      </c>
      <c r="L18" s="112"/>
      <c r="M18" s="112">
        <f>DSUM(VARDATA2,K$2-1,$C17:$D18)</f>
        <v>1165</v>
      </c>
      <c r="N18" s="112"/>
      <c r="O18" s="113">
        <f>IF((M18+K18)=0,"",K18/(M18+K18))</f>
        <v>2.5104602510460251E-2</v>
      </c>
      <c r="P18" s="112">
        <f>DSUM(VARDATA2,P$2-1,$A17:$B18)</f>
        <v>30</v>
      </c>
      <c r="Q18" s="112"/>
      <c r="R18" s="112">
        <f>DSUM(VARDATA2,P$2-1,$C17:$D18)</f>
        <v>1165</v>
      </c>
      <c r="S18" s="112"/>
      <c r="T18" s="113">
        <f>IF((R18+P18)=0,"",P18/(R18+P18))</f>
        <v>2.5104602510460251E-2</v>
      </c>
      <c r="U18" s="112">
        <f>DSUM(VARDATA2,U$2-1,$A17:$B18)</f>
        <v>30</v>
      </c>
      <c r="V18" s="112"/>
      <c r="W18" s="112">
        <f>DSUM(VARDATA2,U$2-1,$C17:$D18)</f>
        <v>1165</v>
      </c>
      <c r="X18" s="112"/>
      <c r="Y18" s="113">
        <f>IF((W18+U18)=0,"",U18/(W18+U18))</f>
        <v>2.5104602510460251E-2</v>
      </c>
      <c r="Z18" s="113"/>
      <c r="AA18" s="113"/>
      <c r="AB18" s="113"/>
      <c r="AC18" s="113"/>
      <c r="AD18" s="16"/>
    </row>
    <row r="19" spans="1:30" x14ac:dyDescent="0.2">
      <c r="A19" s="16" t="s">
        <v>79</v>
      </c>
      <c r="B19" s="16" t="s">
        <v>18</v>
      </c>
      <c r="C19" s="16" t="s">
        <v>79</v>
      </c>
      <c r="D19" s="16" t="s">
        <v>18</v>
      </c>
      <c r="F19" s="111"/>
      <c r="G19" s="111"/>
      <c r="H19" s="112"/>
      <c r="I19" s="112"/>
      <c r="J19" s="111"/>
      <c r="K19" s="111"/>
      <c r="L19" s="111"/>
      <c r="M19" s="112"/>
      <c r="N19" s="112"/>
      <c r="O19" s="111"/>
      <c r="P19" s="111"/>
      <c r="Q19" s="111"/>
      <c r="R19" s="112"/>
      <c r="S19" s="112"/>
      <c r="T19" s="111"/>
      <c r="U19" s="111"/>
      <c r="V19" s="111"/>
      <c r="W19" s="112"/>
      <c r="X19" s="112"/>
      <c r="Y19" s="111"/>
      <c r="Z19" s="111"/>
      <c r="AA19" s="111"/>
      <c r="AB19" s="111"/>
      <c r="AC19" s="111"/>
      <c r="AD19" s="16"/>
    </row>
    <row r="20" spans="1:30" x14ac:dyDescent="0.2">
      <c r="A20" s="67" t="s">
        <v>104</v>
      </c>
      <c r="B20" s="67" t="s">
        <v>0</v>
      </c>
      <c r="C20" s="67" t="s">
        <v>104</v>
      </c>
      <c r="D20" s="67" t="s">
        <v>1</v>
      </c>
      <c r="E20" s="110" t="str">
        <f>"DEALS="&amp;A20</f>
        <v>DEALS=NORDIC POWER</v>
      </c>
      <c r="F20" s="112">
        <f>DSUM(VARDATA2,F$2-1,$A19:$B20)</f>
        <v>0</v>
      </c>
      <c r="G20" s="112"/>
      <c r="H20" s="112">
        <f>DSUM(VARDATA2,F$2-1,$C19:$D20)</f>
        <v>31</v>
      </c>
      <c r="I20" s="112"/>
      <c r="J20" s="113">
        <f>IF((H20+F20)=0,"",F20/(H20+F20))</f>
        <v>0</v>
      </c>
      <c r="K20" s="112">
        <f>DSUM(VARDATA2,K$2-1,$A19:$B20)</f>
        <v>23</v>
      </c>
      <c r="L20" s="112"/>
      <c r="M20" s="112">
        <f>DSUM(VARDATA2,K$2-1,$C19:$D20)</f>
        <v>808</v>
      </c>
      <c r="N20" s="112"/>
      <c r="O20" s="113">
        <f>IF((M20+K20)=0,"",K20/(M20+K20))</f>
        <v>2.7677496991576414E-2</v>
      </c>
      <c r="P20" s="112">
        <f>DSUM(VARDATA2,P$2-1,$A19:$B20)</f>
        <v>23</v>
      </c>
      <c r="Q20" s="112"/>
      <c r="R20" s="112">
        <f>DSUM(VARDATA2,P$2-1,$C19:$D20)</f>
        <v>808</v>
      </c>
      <c r="S20" s="112"/>
      <c r="T20" s="113">
        <f>IF((R20+P20)=0,"",P20/(R20+P20))</f>
        <v>2.7677496991576414E-2</v>
      </c>
      <c r="U20" s="112">
        <f>DSUM(VARDATA2,U$2-1,$A19:$B20)</f>
        <v>27</v>
      </c>
      <c r="V20" s="112"/>
      <c r="W20" s="112">
        <f>DSUM(VARDATA2,U$2-1,$C19:$D20)</f>
        <v>1193</v>
      </c>
      <c r="X20" s="112"/>
      <c r="Y20" s="113">
        <f>IF((W20+U20)=0,"",U20/(W20+U20))</f>
        <v>2.2131147540983605E-2</v>
      </c>
      <c r="Z20" s="113"/>
      <c r="AA20" s="113"/>
      <c r="AB20" s="113"/>
      <c r="AC20" s="113"/>
      <c r="AD20" s="16"/>
    </row>
    <row r="21" spans="1:30" x14ac:dyDescent="0.2">
      <c r="A21" s="16" t="s">
        <v>79</v>
      </c>
      <c r="B21" s="16" t="s">
        <v>18</v>
      </c>
      <c r="C21" s="16" t="s">
        <v>79</v>
      </c>
      <c r="D21" s="16" t="s">
        <v>18</v>
      </c>
      <c r="F21" s="111"/>
      <c r="G21" s="111"/>
      <c r="H21" s="112"/>
      <c r="I21" s="112"/>
      <c r="J21" s="111"/>
      <c r="K21" s="111"/>
      <c r="L21" s="111"/>
      <c r="M21" s="112"/>
      <c r="N21" s="112"/>
      <c r="O21" s="111"/>
      <c r="P21" s="111"/>
      <c r="Q21" s="111"/>
      <c r="R21" s="112"/>
      <c r="S21" s="112"/>
      <c r="T21" s="111"/>
      <c r="U21" s="111"/>
      <c r="V21" s="111"/>
      <c r="W21" s="112"/>
      <c r="X21" s="112"/>
      <c r="Y21" s="111"/>
      <c r="Z21" s="111"/>
      <c r="AA21" s="111"/>
      <c r="AB21" s="111"/>
      <c r="AC21" s="111"/>
      <c r="AD21" s="16"/>
    </row>
    <row r="22" spans="1:30" x14ac:dyDescent="0.2">
      <c r="A22" s="67" t="s">
        <v>88</v>
      </c>
      <c r="B22" s="67" t="s">
        <v>0</v>
      </c>
      <c r="C22" s="67" t="str">
        <f>A22</f>
        <v>UK POWER</v>
      </c>
      <c r="D22" s="67" t="s">
        <v>1</v>
      </c>
      <c r="E22" s="110" t="str">
        <f>"DEALS="&amp;A22</f>
        <v>DEALS=UK POWER</v>
      </c>
      <c r="F22" s="112">
        <f>DSUM(VARDATA2,F$2-1,$A21:$B22)</f>
        <v>3</v>
      </c>
      <c r="G22" s="112"/>
      <c r="H22" s="112">
        <f>DSUM(VARDATA2,F$2-1,$C21:$D22)</f>
        <v>11</v>
      </c>
      <c r="I22" s="112"/>
      <c r="J22" s="113">
        <f>IF((H22+F22)=0,"",F22/(H22+F22))</f>
        <v>0.21428571428571427</v>
      </c>
      <c r="K22" s="112">
        <f>DSUM(VARDATA2,K$2-1,$A21:$B22)</f>
        <v>59</v>
      </c>
      <c r="L22" s="112"/>
      <c r="M22" s="112">
        <f>DSUM(VARDATA2,K$2-1,$C21:$D22)</f>
        <v>281</v>
      </c>
      <c r="N22" s="112"/>
      <c r="O22" s="113">
        <f>IF((M22+K22)=0,"",K22/(M22+K22))</f>
        <v>0.17352941176470588</v>
      </c>
      <c r="P22" s="112">
        <f>DSUM(VARDATA2,P$2-1,$A21:$B22)</f>
        <v>59</v>
      </c>
      <c r="Q22" s="112"/>
      <c r="R22" s="112">
        <f>DSUM(VARDATA2,P$2-1,$C21:$D22)</f>
        <v>281</v>
      </c>
      <c r="S22" s="112"/>
      <c r="T22" s="113">
        <f>IF((R22+P22)=0,"",P22/(R22+P22))</f>
        <v>0.17352941176470588</v>
      </c>
      <c r="U22" s="112">
        <f>DSUM(VARDATA2,U$2-1,$A21:$B22)</f>
        <v>59</v>
      </c>
      <c r="V22" s="112"/>
      <c r="W22" s="112">
        <f>DSUM(VARDATA2,U$2-1,$C21:$D22)</f>
        <v>281</v>
      </c>
      <c r="X22" s="112"/>
      <c r="Y22" s="113">
        <f>IF((W22+U22)=0,"",U22/(W22+U22))</f>
        <v>0.17352941176470588</v>
      </c>
      <c r="Z22" s="113"/>
      <c r="AA22" s="113"/>
      <c r="AB22" s="113"/>
      <c r="AC22" s="113"/>
      <c r="AD22" s="16"/>
    </row>
    <row r="23" spans="1:30" x14ac:dyDescent="0.2">
      <c r="A23" s="16" t="s">
        <v>79</v>
      </c>
      <c r="B23" s="16" t="s">
        <v>18</v>
      </c>
      <c r="C23" s="16" t="s">
        <v>79</v>
      </c>
      <c r="D23" s="16" t="s">
        <v>18</v>
      </c>
      <c r="F23" s="111"/>
      <c r="G23" s="111"/>
      <c r="H23" s="112"/>
      <c r="I23" s="112"/>
      <c r="J23" s="111"/>
      <c r="K23" s="111"/>
      <c r="L23" s="111"/>
      <c r="M23" s="112"/>
      <c r="N23" s="112"/>
      <c r="O23" s="111"/>
      <c r="P23" s="111"/>
      <c r="Q23" s="111"/>
      <c r="R23" s="112"/>
      <c r="S23" s="112"/>
      <c r="T23" s="111"/>
      <c r="U23" s="111"/>
      <c r="V23" s="111"/>
      <c r="W23" s="112"/>
      <c r="X23" s="112"/>
      <c r="Y23" s="111"/>
      <c r="Z23" s="111"/>
      <c r="AA23" s="111"/>
      <c r="AB23" s="111"/>
      <c r="AC23" s="111"/>
      <c r="AD23" s="16"/>
    </row>
    <row r="24" spans="1:30" x14ac:dyDescent="0.2">
      <c r="A24" s="67" t="s">
        <v>102</v>
      </c>
      <c r="B24" s="67" t="s">
        <v>0</v>
      </c>
      <c r="C24" s="67" t="s">
        <v>102</v>
      </c>
      <c r="D24" s="67" t="s">
        <v>1</v>
      </c>
      <c r="E24" s="110" t="str">
        <f>"DEALS="&amp;A24</f>
        <v>DEALS=CRUDE &amp; PRODUCTS</v>
      </c>
      <c r="F24" s="112">
        <f>DSUM(VARDATA2,F$2-1,$A23:$B24)</f>
        <v>4</v>
      </c>
      <c r="G24" s="112"/>
      <c r="H24" s="112">
        <f>DSUM(VARDATA2,F$2-1,$C23:$D24)</f>
        <v>82</v>
      </c>
      <c r="I24" s="112"/>
      <c r="J24" s="113">
        <f>IF((H24+F24)=0,"",F24/(H24+F24))</f>
        <v>4.6511627906976744E-2</v>
      </c>
      <c r="K24" s="112">
        <f>DSUM(VARDATA2,K$2-1,$A23:$B24)</f>
        <v>111</v>
      </c>
      <c r="L24" s="112"/>
      <c r="M24" s="112">
        <f>DSUM(VARDATA2,K$2-1,$C23:$D24)</f>
        <v>1034</v>
      </c>
      <c r="N24" s="112"/>
      <c r="O24" s="113">
        <f>IF((M24+K24)=0,"",K24/(M24+K24))</f>
        <v>9.6943231441048036E-2</v>
      </c>
      <c r="P24" s="112">
        <f>DSUM(VARDATA2,P$2-1,$A23:$B24)</f>
        <v>111</v>
      </c>
      <c r="Q24" s="112"/>
      <c r="R24" s="112">
        <f>DSUM(VARDATA2,P$2-1,$C23:$D24)</f>
        <v>1034</v>
      </c>
      <c r="S24" s="112"/>
      <c r="T24" s="113">
        <f>IF((R24+P24)=0,"",P24/(R24+P24))</f>
        <v>9.6943231441048036E-2</v>
      </c>
      <c r="U24" s="112">
        <f>DSUM(VARDATA2,U$2-1,$A23:$B24)</f>
        <v>111</v>
      </c>
      <c r="V24" s="112"/>
      <c r="W24" s="112">
        <f>DSUM(VARDATA2,U$2-1,$C23:$D24)</f>
        <v>1034</v>
      </c>
      <c r="X24" s="112"/>
      <c r="Y24" s="113">
        <f>IF((W24+U24)=0,"",U24/(W24+U24))</f>
        <v>9.6943231441048036E-2</v>
      </c>
      <c r="Z24" s="113"/>
      <c r="AA24" s="113"/>
      <c r="AB24" s="113"/>
      <c r="AC24" s="113"/>
      <c r="AD24" s="16"/>
    </row>
    <row r="25" spans="1:30" x14ac:dyDescent="0.2">
      <c r="A25" s="16" t="s">
        <v>79</v>
      </c>
      <c r="B25" s="16" t="s">
        <v>18</v>
      </c>
      <c r="C25" s="16" t="s">
        <v>79</v>
      </c>
      <c r="D25" s="16" t="s">
        <v>18</v>
      </c>
      <c r="F25" s="111"/>
      <c r="G25" s="111"/>
      <c r="H25" s="112"/>
      <c r="I25" s="112"/>
      <c r="J25" s="111"/>
      <c r="K25" s="111"/>
      <c r="L25" s="111"/>
      <c r="M25" s="112"/>
      <c r="N25" s="112"/>
      <c r="O25" s="111"/>
      <c r="P25" s="111"/>
      <c r="Q25" s="111"/>
      <c r="R25" s="112"/>
      <c r="S25" s="112"/>
      <c r="T25" s="111"/>
      <c r="U25" s="111"/>
      <c r="V25" s="111"/>
      <c r="W25" s="112"/>
      <c r="X25" s="112"/>
      <c r="Y25" s="111"/>
      <c r="Z25" s="111"/>
      <c r="AA25" s="111"/>
      <c r="AB25" s="111"/>
      <c r="AC25" s="111"/>
      <c r="AD25" s="16"/>
    </row>
    <row r="26" spans="1:30" x14ac:dyDescent="0.2">
      <c r="A26" s="67" t="s">
        <v>101</v>
      </c>
      <c r="B26" s="67" t="s">
        <v>0</v>
      </c>
      <c r="C26" s="67" t="s">
        <v>101</v>
      </c>
      <c r="D26" s="67" t="s">
        <v>1</v>
      </c>
      <c r="E26" s="110" t="str">
        <f>"DEALS="&amp;A26</f>
        <v>DEALS=LPG</v>
      </c>
      <c r="F26" s="112">
        <f>DSUM(VARDATA2,F$2-1,$A25:$B26)</f>
        <v>5</v>
      </c>
      <c r="G26" s="112"/>
      <c r="H26" s="112">
        <f>DSUM(VARDATA2,F$2-1,$C25:$D26)</f>
        <v>11</v>
      </c>
      <c r="I26" s="112"/>
      <c r="J26" s="113">
        <f>IF((H26+F26)=0,"",F26/(H26+F26))</f>
        <v>0.3125</v>
      </c>
      <c r="K26" s="112">
        <f>DSUM(VARDATA2,K$2-1,$A25:$B26)</f>
        <v>16</v>
      </c>
      <c r="L26" s="112"/>
      <c r="M26" s="112">
        <f>DSUM(VARDATA2,K$2-1,$C25:$D26)</f>
        <v>236</v>
      </c>
      <c r="N26" s="112"/>
      <c r="O26" s="113">
        <f>IF((M26+K26)=0,"",K26/(M26+K26))</f>
        <v>6.3492063492063489E-2</v>
      </c>
      <c r="P26" s="112">
        <f>DSUM(VARDATA2,P$2-1,$A25:$B26)</f>
        <v>16</v>
      </c>
      <c r="Q26" s="112"/>
      <c r="R26" s="112">
        <f>DSUM(VARDATA2,P$2-1,$C25:$D26)</f>
        <v>236</v>
      </c>
      <c r="S26" s="112"/>
      <c r="T26" s="113">
        <f>IF((R26+P26)=0,"",P26/(R26+P26))</f>
        <v>6.3492063492063489E-2</v>
      </c>
      <c r="U26" s="112">
        <f>DSUM(VARDATA2,U$2-1,$A25:$B26)</f>
        <v>16</v>
      </c>
      <c r="V26" s="112"/>
      <c r="W26" s="112">
        <f>DSUM(VARDATA2,U$2-1,$C25:$D26)</f>
        <v>236</v>
      </c>
      <c r="X26" s="112"/>
      <c r="Y26" s="113">
        <f>IF((W26+U26)=0,"",U26/(W26+U26))</f>
        <v>6.3492063492063489E-2</v>
      </c>
      <c r="Z26" s="113"/>
      <c r="AA26" s="113"/>
      <c r="AB26" s="113"/>
      <c r="AC26" s="113"/>
      <c r="AD26" s="16"/>
    </row>
    <row r="27" spans="1:30" x14ac:dyDescent="0.2">
      <c r="A27" s="16" t="s">
        <v>79</v>
      </c>
      <c r="B27" s="16" t="s">
        <v>18</v>
      </c>
      <c r="C27" s="16" t="s">
        <v>79</v>
      </c>
      <c r="D27" s="16" t="s">
        <v>18</v>
      </c>
      <c r="F27" s="111"/>
      <c r="G27" s="111"/>
      <c r="H27" s="112"/>
      <c r="I27" s="112"/>
      <c r="J27" s="111"/>
      <c r="K27" s="111"/>
      <c r="L27" s="111"/>
      <c r="M27" s="112"/>
      <c r="N27" s="112"/>
      <c r="O27" s="111"/>
      <c r="P27" s="111"/>
      <c r="Q27" s="111"/>
      <c r="R27" s="112"/>
      <c r="S27" s="112"/>
      <c r="T27" s="111"/>
      <c r="U27" s="111"/>
      <c r="V27" s="111"/>
      <c r="W27" s="112"/>
      <c r="X27" s="112"/>
      <c r="Y27" s="111"/>
      <c r="Z27" s="111"/>
      <c r="AA27" s="111"/>
      <c r="AB27" s="111"/>
      <c r="AC27" s="111"/>
      <c r="AD27" s="16"/>
    </row>
    <row r="28" spans="1:30" x14ac:dyDescent="0.2">
      <c r="A28" s="67" t="s">
        <v>85</v>
      </c>
      <c r="B28" s="67" t="s">
        <v>0</v>
      </c>
      <c r="C28" s="67" t="str">
        <f>A28</f>
        <v>PLASTICS</v>
      </c>
      <c r="D28" s="67" t="s">
        <v>1</v>
      </c>
      <c r="E28" s="110" t="str">
        <f>"DEALS="&amp;A28</f>
        <v>DEALS=PLASTICS</v>
      </c>
      <c r="F28" s="112">
        <f>DSUM(VARDATA2,F$2-1,$A27:$B28)</f>
        <v>0</v>
      </c>
      <c r="G28" s="112"/>
      <c r="H28" s="112">
        <f>DSUM(VARDATA2,F$2-1,$C27:$D28)</f>
        <v>0</v>
      </c>
      <c r="I28" s="112"/>
      <c r="J28" s="113" t="str">
        <f>IF((H28+F28)=0,"",F28/(H28+F28))</f>
        <v/>
      </c>
      <c r="K28" s="112">
        <f>DSUM(VARDATA2,K$2-1,$A27:$B28)</f>
        <v>0</v>
      </c>
      <c r="L28" s="112"/>
      <c r="M28" s="112">
        <f>DSUM(VARDATA2,K$2-1,$C27:$D28)</f>
        <v>0</v>
      </c>
      <c r="N28" s="112"/>
      <c r="O28" s="113" t="str">
        <f>IF((M28+K28)=0,"",K28/(M28+K28))</f>
        <v/>
      </c>
      <c r="P28" s="112">
        <f>DSUM(VARDATA2,P$2-1,$A27:$B28)</f>
        <v>0</v>
      </c>
      <c r="Q28" s="112"/>
      <c r="R28" s="112">
        <f>DSUM(VARDATA2,P$2-1,$C27:$D28)</f>
        <v>0</v>
      </c>
      <c r="S28" s="112"/>
      <c r="T28" s="113" t="str">
        <f>IF((R28+P28)=0,"",P28/(R28+P28))</f>
        <v/>
      </c>
      <c r="U28" s="112">
        <f>DSUM(VARDATA2,U$2-1,$A27:$B28)</f>
        <v>0</v>
      </c>
      <c r="V28" s="112"/>
      <c r="W28" s="112">
        <f>DSUM(VARDATA2,U$2-1,$C27:$D28)</f>
        <v>52</v>
      </c>
      <c r="X28" s="112"/>
      <c r="Y28" s="113">
        <f>IF((W28+U28)=0,"",U28/(W28+U28))</f>
        <v>0</v>
      </c>
      <c r="Z28" s="113"/>
      <c r="AA28" s="113"/>
      <c r="AB28" s="113"/>
      <c r="AC28" s="113"/>
      <c r="AD28" s="16"/>
    </row>
    <row r="29" spans="1:30" x14ac:dyDescent="0.2">
      <c r="A29" s="16" t="s">
        <v>79</v>
      </c>
      <c r="B29" s="16" t="s">
        <v>18</v>
      </c>
      <c r="C29" s="16" t="s">
        <v>79</v>
      </c>
      <c r="D29" s="16" t="s">
        <v>18</v>
      </c>
      <c r="F29" s="111"/>
      <c r="G29" s="111"/>
      <c r="H29" s="112"/>
      <c r="I29" s="112"/>
      <c r="J29" s="111"/>
      <c r="K29" s="111"/>
      <c r="L29" s="111"/>
      <c r="M29" s="112"/>
      <c r="N29" s="112"/>
      <c r="O29" s="111"/>
      <c r="P29" s="111"/>
      <c r="Q29" s="111"/>
      <c r="R29" s="112"/>
      <c r="S29" s="112"/>
      <c r="T29" s="111"/>
      <c r="U29" s="111"/>
      <c r="V29" s="111"/>
      <c r="W29" s="112"/>
      <c r="X29" s="112"/>
      <c r="Y29" s="111"/>
      <c r="Z29" s="111"/>
      <c r="AA29" s="111"/>
      <c r="AB29" s="111"/>
      <c r="AC29" s="111"/>
      <c r="AD29" s="16"/>
    </row>
    <row r="30" spans="1:30" x14ac:dyDescent="0.2">
      <c r="A30" s="67" t="s">
        <v>100</v>
      </c>
      <c r="B30" s="67" t="s">
        <v>0</v>
      </c>
      <c r="C30" s="67" t="s">
        <v>100</v>
      </c>
      <c r="D30" s="67" t="s">
        <v>1</v>
      </c>
      <c r="E30" s="110" t="str">
        <f>"DEALS="&amp;A30</f>
        <v>DEALS=PETROCHEMICALS</v>
      </c>
      <c r="F30" s="112">
        <f>DSUM(VARDATA2,F$2-1,$A29:$B30)</f>
        <v>0</v>
      </c>
      <c r="G30" s="112"/>
      <c r="H30" s="112">
        <f>DSUM(VARDATA2,F$2-1,$C29:$D30)</f>
        <v>12</v>
      </c>
      <c r="I30" s="112"/>
      <c r="J30" s="113">
        <f>IF((H30+F30)=0,"",F30/(H30+F30))</f>
        <v>0</v>
      </c>
      <c r="K30" s="112">
        <f>DSUM(VARDATA2,K$2-1,$A29:$B30)</f>
        <v>8</v>
      </c>
      <c r="L30" s="112"/>
      <c r="M30" s="112">
        <f>DSUM(VARDATA2,K$2-1,$C29:$D30)</f>
        <v>73</v>
      </c>
      <c r="N30" s="112"/>
      <c r="O30" s="113">
        <f>IF((M30+K30)=0,"",K30/(M30+K30))</f>
        <v>9.8765432098765427E-2</v>
      </c>
      <c r="P30" s="112">
        <f>DSUM(VARDATA2,P$2-1,$A29:$B30)</f>
        <v>8</v>
      </c>
      <c r="Q30" s="112"/>
      <c r="R30" s="112">
        <f>DSUM(VARDATA2,P$2-1,$C29:$D30)</f>
        <v>73</v>
      </c>
      <c r="S30" s="112"/>
      <c r="T30" s="113">
        <f>IF((R30+P30)=0,"",P30/(R30+P30))</f>
        <v>9.8765432098765427E-2</v>
      </c>
      <c r="U30" s="112">
        <f>DSUM(VARDATA2,U$2-1,$A29:$B30)</f>
        <v>8</v>
      </c>
      <c r="V30" s="112"/>
      <c r="W30" s="112">
        <f>DSUM(VARDATA2,U$2-1,$C29:$D30)</f>
        <v>73</v>
      </c>
      <c r="X30" s="112"/>
      <c r="Y30" s="113">
        <f>IF((W30+U30)=0,"",U30/(W30+U30))</f>
        <v>9.8765432098765427E-2</v>
      </c>
      <c r="Z30" s="113"/>
      <c r="AA30" s="113"/>
      <c r="AB30" s="113"/>
      <c r="AC30" s="113"/>
      <c r="AD30" s="16"/>
    </row>
    <row r="31" spans="1:30" x14ac:dyDescent="0.2">
      <c r="A31" s="16" t="s">
        <v>79</v>
      </c>
      <c r="B31" s="16" t="s">
        <v>18</v>
      </c>
      <c r="C31" s="16" t="s">
        <v>79</v>
      </c>
      <c r="D31" s="16" t="s">
        <v>18</v>
      </c>
      <c r="F31" s="111"/>
      <c r="G31" s="111"/>
      <c r="H31" s="112"/>
      <c r="I31" s="112"/>
      <c r="J31" s="111"/>
      <c r="K31" s="111"/>
      <c r="L31" s="111"/>
      <c r="M31" s="112"/>
      <c r="N31" s="112"/>
      <c r="O31" s="111"/>
      <c r="P31" s="111"/>
      <c r="Q31" s="111"/>
      <c r="R31" s="112"/>
      <c r="S31" s="112"/>
      <c r="T31" s="111"/>
      <c r="U31" s="111"/>
      <c r="V31" s="111"/>
      <c r="W31" s="112"/>
      <c r="X31" s="112"/>
      <c r="Y31" s="111"/>
      <c r="Z31" s="111"/>
      <c r="AA31" s="111"/>
      <c r="AB31" s="111"/>
      <c r="AC31" s="111"/>
      <c r="AD31" s="16"/>
    </row>
    <row r="32" spans="1:30" x14ac:dyDescent="0.2">
      <c r="A32" s="67" t="s">
        <v>83</v>
      </c>
      <c r="B32" s="67" t="s">
        <v>0</v>
      </c>
      <c r="C32" s="67" t="s">
        <v>83</v>
      </c>
      <c r="D32" s="67" t="s">
        <v>1</v>
      </c>
      <c r="E32" s="110" t="str">
        <f>"DEALS="&amp;A32</f>
        <v>DEALS=COAL</v>
      </c>
      <c r="F32" s="112">
        <f>DSUM(VARDATA2,F$2-1,$A31:$B32)</f>
        <v>0</v>
      </c>
      <c r="G32" s="112"/>
      <c r="H32" s="112">
        <f>DSUM(VARDATA2,F$2-1,$C31:$D32)</f>
        <v>1</v>
      </c>
      <c r="I32" s="112"/>
      <c r="J32" s="113">
        <f>IF((H32+F32)=0,"",F32/(H32+F32))</f>
        <v>0</v>
      </c>
      <c r="K32" s="112">
        <f>DSUM(VARDATA2,K$2-1,$A31:$B32)</f>
        <v>30</v>
      </c>
      <c r="L32" s="112"/>
      <c r="M32" s="112">
        <f>DSUM(VARDATA2,K$2-1,$C31:$D32)</f>
        <v>52</v>
      </c>
      <c r="N32" s="112"/>
      <c r="O32" s="113">
        <f>IF((M32+K32)=0,"",K32/(M32+K32))</f>
        <v>0.36585365853658536</v>
      </c>
      <c r="P32" s="112">
        <f>DSUM(VARDATA2,P$2-1,$A31:$B32)</f>
        <v>30</v>
      </c>
      <c r="Q32" s="112"/>
      <c r="R32" s="112">
        <f>DSUM(VARDATA2,P$2-1,$C31:$D32)</f>
        <v>52</v>
      </c>
      <c r="S32" s="112"/>
      <c r="T32" s="113">
        <f>IF((R32+P32)=0,"",P32/(R32+P32))</f>
        <v>0.36585365853658536</v>
      </c>
      <c r="U32" s="112">
        <f>DSUM(VARDATA2,U$2-1,$A31:$B32)</f>
        <v>51</v>
      </c>
      <c r="V32" s="112"/>
      <c r="W32" s="112">
        <f>DSUM(VARDATA2,U$2-1,$C31:$D32)</f>
        <v>100</v>
      </c>
      <c r="X32" s="112"/>
      <c r="Y32" s="113">
        <f>IF((W32+U32)=0,"",U32/(W32+U32))</f>
        <v>0.33774834437086093</v>
      </c>
      <c r="Z32" s="113"/>
      <c r="AA32" s="113"/>
      <c r="AB32" s="113"/>
      <c r="AC32" s="113"/>
      <c r="AD32" s="16"/>
    </row>
    <row r="33" spans="1:30" x14ac:dyDescent="0.2">
      <c r="A33" s="16" t="s">
        <v>79</v>
      </c>
      <c r="B33" s="16" t="s">
        <v>18</v>
      </c>
      <c r="C33" s="16" t="s">
        <v>79</v>
      </c>
      <c r="D33" s="16" t="s">
        <v>18</v>
      </c>
      <c r="F33" s="112"/>
      <c r="G33" s="112"/>
      <c r="H33" s="112"/>
      <c r="I33" s="112"/>
      <c r="J33" s="113"/>
      <c r="K33" s="112"/>
      <c r="L33" s="112"/>
      <c r="M33" s="112"/>
      <c r="N33" s="112"/>
      <c r="O33" s="113"/>
      <c r="P33" s="112"/>
      <c r="Q33" s="112"/>
      <c r="R33" s="112"/>
      <c r="S33" s="112"/>
      <c r="T33" s="113"/>
      <c r="U33" s="112"/>
      <c r="V33" s="112"/>
      <c r="W33" s="112"/>
      <c r="X33" s="112"/>
      <c r="Y33" s="113"/>
      <c r="Z33" s="113"/>
      <c r="AA33" s="113"/>
      <c r="AB33" s="113"/>
      <c r="AC33" s="113"/>
      <c r="AD33" s="16"/>
    </row>
    <row r="34" spans="1:30" x14ac:dyDescent="0.2">
      <c r="A34" s="67" t="s">
        <v>105</v>
      </c>
      <c r="B34" s="67" t="s">
        <v>0</v>
      </c>
      <c r="C34" s="67" t="s">
        <v>105</v>
      </c>
      <c r="D34" s="67" t="s">
        <v>1</v>
      </c>
      <c r="E34" s="110" t="str">
        <f>"DEALS="&amp;A34</f>
        <v>DEALS=EMISSIONS</v>
      </c>
      <c r="F34" s="112">
        <f>DSUM(VARDATA2,F$2-1,$A33:$B34)</f>
        <v>5</v>
      </c>
      <c r="G34" s="112"/>
      <c r="H34" s="112">
        <f>DSUM(VARDATA2,F$2-1,$C33:$D34)</f>
        <v>25</v>
      </c>
      <c r="I34" s="112"/>
      <c r="J34" s="113">
        <f>IF((H34+F34)=0,"",F34/(H34+F34))</f>
        <v>0.16666666666666666</v>
      </c>
      <c r="K34" s="112">
        <f>DSUM(VARDATA2,K$2-1,$A33:$B34)</f>
        <v>32</v>
      </c>
      <c r="L34" s="112"/>
      <c r="M34" s="112">
        <f>DSUM(VARDATA2,K$2-1,$C33:$D34)</f>
        <v>195</v>
      </c>
      <c r="N34" s="112"/>
      <c r="O34" s="113">
        <f>IF((M34+K34)=0,"",K34/(M34+K34))</f>
        <v>0.14096916299559473</v>
      </c>
      <c r="P34" s="112">
        <f>DSUM(VARDATA2,P$2-1,$A33:$B34)</f>
        <v>32</v>
      </c>
      <c r="Q34" s="112"/>
      <c r="R34" s="112">
        <f>DSUM(VARDATA2,P$2-1,$C33:$D34)</f>
        <v>195</v>
      </c>
      <c r="S34" s="112"/>
      <c r="T34" s="113">
        <f>IF((R34+P34)=0,"",P34/(R34+P34))</f>
        <v>0.14096916299559473</v>
      </c>
      <c r="U34" s="112">
        <f>DSUM(VARDATA2,U$2-1,$A33:$B34)</f>
        <v>32</v>
      </c>
      <c r="V34" s="112"/>
      <c r="W34" s="112">
        <f>DSUM(VARDATA2,U$2-1,$C33:$D34)</f>
        <v>195</v>
      </c>
      <c r="X34" s="112"/>
      <c r="Y34" s="113">
        <f>IF((W34+U34)=0,"",U34/(W34+U34))</f>
        <v>0.14096916299559473</v>
      </c>
      <c r="Z34" s="113"/>
      <c r="AA34" s="113"/>
      <c r="AB34" s="113"/>
      <c r="AC34" s="113"/>
      <c r="AD34" s="16"/>
    </row>
    <row r="35" spans="1:30" x14ac:dyDescent="0.2">
      <c r="A35" s="16" t="s">
        <v>79</v>
      </c>
      <c r="B35" s="16" t="s">
        <v>18</v>
      </c>
      <c r="C35" s="16" t="s">
        <v>79</v>
      </c>
      <c r="D35" s="16" t="s">
        <v>18</v>
      </c>
      <c r="F35" s="112"/>
      <c r="G35" s="112"/>
      <c r="H35" s="112"/>
      <c r="I35" s="112"/>
      <c r="J35" s="113"/>
      <c r="K35" s="112"/>
      <c r="L35" s="112"/>
      <c r="M35" s="112"/>
      <c r="N35" s="112"/>
      <c r="O35" s="113"/>
      <c r="P35" s="112"/>
      <c r="Q35" s="112"/>
      <c r="R35" s="112"/>
      <c r="S35" s="112"/>
      <c r="T35" s="113"/>
      <c r="U35" s="112"/>
      <c r="V35" s="112"/>
      <c r="W35" s="112"/>
      <c r="X35" s="112"/>
      <c r="Y35" s="113"/>
      <c r="Z35" s="113"/>
      <c r="AA35" s="113"/>
      <c r="AB35" s="113"/>
      <c r="AC35" s="113"/>
      <c r="AD35" s="16"/>
    </row>
    <row r="36" spans="1:30" x14ac:dyDescent="0.2">
      <c r="A36" s="67" t="s">
        <v>84</v>
      </c>
      <c r="B36" s="67" t="s">
        <v>0</v>
      </c>
      <c r="C36" s="67" t="s">
        <v>84</v>
      </c>
      <c r="D36" s="67" t="s">
        <v>1</v>
      </c>
      <c r="E36" s="110" t="str">
        <f>"DEALS="&amp;A36</f>
        <v>DEALS=PAPER &amp; PULP</v>
      </c>
      <c r="F36" s="112">
        <f>DSUM(VARDATA2,F$2-1,$A35:$B36)</f>
        <v>0</v>
      </c>
      <c r="G36" s="112"/>
      <c r="H36" s="112">
        <f>DSUM(VARDATA2,F$2-1,$C35:$D36)</f>
        <v>0</v>
      </c>
      <c r="I36" s="112"/>
      <c r="J36" s="113" t="str">
        <f>IF((H36+F36)=0,"",F36/(H36+F36))</f>
        <v/>
      </c>
      <c r="K36" s="112">
        <f>DSUM(VARDATA2,K$2-1,$A35:$B36)</f>
        <v>1</v>
      </c>
      <c r="L36" s="112"/>
      <c r="M36" s="112">
        <f>DSUM(VARDATA2,K$2-1,$C35:$D36)</f>
        <v>60</v>
      </c>
      <c r="N36" s="112"/>
      <c r="O36" s="113">
        <f>IF((M36+K36)=0,"",K36/(M36+K36))</f>
        <v>1.6393442622950821E-2</v>
      </c>
      <c r="P36" s="112">
        <f>DSUM(VARDATA2,P$2-1,$A35:$B36)</f>
        <v>1</v>
      </c>
      <c r="Q36" s="112"/>
      <c r="R36" s="112">
        <f>DSUM(VARDATA2,P$2-1,$C35:$D36)</f>
        <v>60</v>
      </c>
      <c r="S36" s="112"/>
      <c r="T36" s="113">
        <f>IF((R36+P36)=0,"",P36/(R36+P36))</f>
        <v>1.6393442622950821E-2</v>
      </c>
      <c r="U36" s="112">
        <f>DSUM(VARDATA2,U$2-1,$A35:$B36)</f>
        <v>4</v>
      </c>
      <c r="V36" s="112"/>
      <c r="W36" s="112">
        <f>DSUM(VARDATA2,U$2-1,$C35:$D36)</f>
        <v>119</v>
      </c>
      <c r="X36" s="112"/>
      <c r="Y36" s="113">
        <f>IF((W36+U36)=0,"",U36/(W36+U36))</f>
        <v>3.2520325203252036E-2</v>
      </c>
      <c r="Z36" s="113"/>
      <c r="AA36" s="113"/>
      <c r="AB36" s="113"/>
      <c r="AC36" s="113"/>
      <c r="AD36" s="16"/>
    </row>
    <row r="37" spans="1:30" x14ac:dyDescent="0.2">
      <c r="A37" s="16" t="s">
        <v>79</v>
      </c>
      <c r="B37" s="16" t="s">
        <v>18</v>
      </c>
      <c r="C37" s="16" t="s">
        <v>79</v>
      </c>
      <c r="D37" s="16" t="s">
        <v>18</v>
      </c>
      <c r="F37" s="111"/>
      <c r="G37" s="111"/>
      <c r="H37" s="112"/>
      <c r="I37" s="112"/>
      <c r="J37" s="111"/>
      <c r="K37" s="111"/>
      <c r="L37" s="111"/>
      <c r="M37" s="112"/>
      <c r="N37" s="112"/>
      <c r="O37" s="111"/>
      <c r="P37" s="111"/>
      <c r="Q37" s="111"/>
      <c r="R37" s="112"/>
      <c r="S37" s="112"/>
      <c r="T37" s="111"/>
      <c r="U37" s="111"/>
      <c r="V37" s="111"/>
      <c r="W37" s="112"/>
      <c r="X37" s="112"/>
      <c r="Y37" s="111"/>
      <c r="Z37" s="111"/>
      <c r="AA37" s="111"/>
      <c r="AB37" s="111"/>
      <c r="AC37" s="111"/>
      <c r="AD37" s="16"/>
    </row>
    <row r="38" spans="1:30" x14ac:dyDescent="0.2">
      <c r="A38" s="67" t="s">
        <v>106</v>
      </c>
      <c r="B38" s="67" t="s">
        <v>0</v>
      </c>
      <c r="C38" s="67" t="s">
        <v>106</v>
      </c>
      <c r="D38" s="67" t="s">
        <v>1</v>
      </c>
      <c r="E38" s="110" t="str">
        <f>"DEALS="&amp;A38</f>
        <v>DEALS=WEATHER</v>
      </c>
      <c r="F38" s="112">
        <f>DSUM(VARDATA2,F$2-1,$A37:$B38)</f>
        <v>1</v>
      </c>
      <c r="G38" s="112"/>
      <c r="H38" s="112">
        <f>DSUM(VARDATA2,F$2-1,$C37:$D38)</f>
        <v>2</v>
      </c>
      <c r="I38" s="112"/>
      <c r="J38" s="113">
        <f>IF((H38+F38)=0,"",F38/(H38+F38))</f>
        <v>0.33333333333333331</v>
      </c>
      <c r="K38" s="112">
        <f>DSUM(VARDATA2,K$2-1,$A37:$B38)</f>
        <v>29</v>
      </c>
      <c r="L38" s="112"/>
      <c r="M38" s="112">
        <f>DSUM(VARDATA2,K$2-1,$C37:$D38)</f>
        <v>12</v>
      </c>
      <c r="N38" s="112"/>
      <c r="O38" s="113">
        <f>IF((M38+K38)=0,"",K38/(M38+K38))</f>
        <v>0.70731707317073167</v>
      </c>
      <c r="P38" s="112">
        <f>DSUM(VARDATA2,P$2-1,$A37:$B38)</f>
        <v>29</v>
      </c>
      <c r="Q38" s="112"/>
      <c r="R38" s="112">
        <f>DSUM(VARDATA2,P$2-1,$C37:$D38)</f>
        <v>12</v>
      </c>
      <c r="S38" s="112"/>
      <c r="T38" s="113">
        <f>IF((R38+P38)=0,"",P38/(R38+P38))</f>
        <v>0.70731707317073167</v>
      </c>
      <c r="U38" s="112">
        <f>DSUM(VARDATA2,U$2-1,$A37:$B38)</f>
        <v>29</v>
      </c>
      <c r="V38" s="112"/>
      <c r="W38" s="112">
        <f>DSUM(VARDATA2,U$2-1,$C37:$D38)</f>
        <v>12</v>
      </c>
      <c r="X38" s="112"/>
      <c r="Y38" s="113">
        <f>IF((W38+U38)=0,"",U38/(W38+U38))</f>
        <v>0.70731707317073167</v>
      </c>
      <c r="Z38" s="113"/>
      <c r="AA38" s="113"/>
      <c r="AB38" s="113"/>
      <c r="AC38" s="113"/>
      <c r="AD38" s="16"/>
    </row>
    <row r="39" spans="1:30" s="1" customFormat="1" x14ac:dyDescent="0.2">
      <c r="A39" s="1" t="s">
        <v>10</v>
      </c>
      <c r="B39" s="122"/>
      <c r="C39" s="122"/>
      <c r="D39" s="122"/>
      <c r="E39" s="1" t="str">
        <f>"DEALS="&amp;A39</f>
        <v>DEALS=TOTAL</v>
      </c>
      <c r="F39" s="123">
        <f>SUM(F10:F38)</f>
        <v>868</v>
      </c>
      <c r="G39" s="123"/>
      <c r="H39" s="123">
        <f>SUM(H10:H38)</f>
        <v>1712</v>
      </c>
      <c r="I39" s="123"/>
      <c r="J39" s="124">
        <f>IF((H39+F39)=0,"",F39/(H39+F39))</f>
        <v>0.33643410852713179</v>
      </c>
      <c r="K39" s="123">
        <f>SUM(K10:K38)</f>
        <v>9907</v>
      </c>
      <c r="L39" s="123"/>
      <c r="M39" s="123">
        <f>SUM(M10:M38)</f>
        <v>20637</v>
      </c>
      <c r="N39" s="123"/>
      <c r="O39" s="124">
        <f>IF((M39+K39)=0,"",K39/(M39+K39))</f>
        <v>0.32435175484546885</v>
      </c>
      <c r="P39" s="123">
        <f>SUM(P10:P38)</f>
        <v>9907</v>
      </c>
      <c r="Q39" s="123"/>
      <c r="R39" s="123">
        <f>SUM(R10:R38)</f>
        <v>20637</v>
      </c>
      <c r="S39" s="123"/>
      <c r="T39" s="124">
        <f>IF((R39+P39)=0,"",P39/(R39+P39))</f>
        <v>0.32435175484546885</v>
      </c>
      <c r="U39" s="123">
        <f>SUM(U10:U38)</f>
        <v>14902</v>
      </c>
      <c r="V39" s="123"/>
      <c r="W39" s="123">
        <f>SUM(W10:W38)</f>
        <v>36151</v>
      </c>
      <c r="X39" s="123"/>
      <c r="Y39" s="124">
        <f>IF((W39+U39)=0,"",U39/(W39+U39))</f>
        <v>0.29189273891837891</v>
      </c>
      <c r="Z39" s="125"/>
      <c r="AA39" s="125"/>
      <c r="AB39" s="125"/>
      <c r="AC39" s="125"/>
      <c r="AD39" s="122"/>
    </row>
    <row r="40" spans="1:30" x14ac:dyDescent="0.2">
      <c r="F40" s="112"/>
      <c r="G40" s="112"/>
      <c r="H40" s="112"/>
      <c r="I40" s="112"/>
      <c r="J40" s="117"/>
      <c r="K40" s="112"/>
      <c r="L40" s="112"/>
      <c r="M40" s="112"/>
      <c r="N40" s="112"/>
      <c r="O40" s="117"/>
      <c r="P40" s="112"/>
      <c r="Q40" s="112"/>
      <c r="R40" s="112"/>
      <c r="S40" s="112"/>
      <c r="T40" s="117"/>
      <c r="U40" s="112"/>
      <c r="V40" s="112"/>
      <c r="W40" s="112"/>
      <c r="X40" s="112"/>
      <c r="Y40" s="117"/>
      <c r="Z40" s="117"/>
      <c r="AA40" s="117"/>
      <c r="AB40" s="117"/>
      <c r="AC40" s="117"/>
      <c r="AD40" s="16"/>
    </row>
    <row r="41" spans="1:30" x14ac:dyDescent="0.2">
      <c r="F41" s="112"/>
      <c r="G41" s="112"/>
      <c r="H41" s="112"/>
      <c r="I41" s="112"/>
      <c r="J41" s="117"/>
      <c r="K41" s="112"/>
      <c r="L41" s="112"/>
      <c r="M41" s="112"/>
      <c r="N41" s="112"/>
      <c r="O41" s="117"/>
      <c r="P41" s="112"/>
      <c r="Q41" s="112"/>
      <c r="R41" s="112"/>
      <c r="S41" s="112"/>
      <c r="T41" s="117"/>
      <c r="U41" s="112"/>
      <c r="V41" s="112"/>
      <c r="W41" s="112"/>
      <c r="X41" s="112"/>
      <c r="Y41" s="117"/>
      <c r="Z41" s="117"/>
      <c r="AA41" s="117"/>
      <c r="AB41" s="117"/>
      <c r="AC41" s="117"/>
      <c r="AD41" s="16"/>
    </row>
    <row r="42" spans="1:30" x14ac:dyDescent="0.2">
      <c r="A42" s="16" t="s">
        <v>79</v>
      </c>
      <c r="B42" s="16" t="s">
        <v>18</v>
      </c>
      <c r="C42" s="16" t="s">
        <v>79</v>
      </c>
      <c r="D42" s="16" t="s">
        <v>18</v>
      </c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6"/>
    </row>
    <row r="43" spans="1:30" x14ac:dyDescent="0.2">
      <c r="A43" s="67" t="s">
        <v>74</v>
      </c>
      <c r="B43" s="67" t="s">
        <v>0</v>
      </c>
      <c r="C43" s="67" t="str">
        <f>A43</f>
        <v>GAS</v>
      </c>
      <c r="D43" s="67" t="s">
        <v>1</v>
      </c>
      <c r="E43" s="110" t="str">
        <f>"VOL="&amp;A43</f>
        <v>VOL=GAS</v>
      </c>
      <c r="F43" s="112">
        <f t="shared" ref="F43:F71" si="0">ABS(DSUM(VARDATA2,H$4-1,$A42:$B43))+ABS(DSUM(VARDATA2,F$4-1,$A42:$B43))</f>
        <v>140327720.72</v>
      </c>
      <c r="G43" s="112">
        <f>F43*VLOOKUP($A43,'CONVERSION FACTORS'!$A$1:$E$41,5,FALSE)</f>
        <v>140327720.72</v>
      </c>
      <c r="H43" s="112">
        <f t="shared" ref="H43:H71" si="1">ABS(DSUM(VARDATA2,F$4-1,$C42:$D43))+ABS(DSUM(VARDATA2,H$4-1,$C42:$D43))</f>
        <v>231149391</v>
      </c>
      <c r="I43" s="112">
        <f>H43*VLOOKUP($A43,'CONVERSION FACTORS'!$A$1:$E$41,5,FALSE)</f>
        <v>231149391</v>
      </c>
      <c r="J43" s="113">
        <f t="shared" ref="J43:J71" si="2">IF((H43+F43)=0,"",F43/(H43+F43))</f>
        <v>0.37775603473995911</v>
      </c>
      <c r="K43" s="112">
        <f t="shared" ref="K43:K71" si="3">ABS(DSUM(VARDATA2,M$4-1,$A42:$B43))+ABS(DSUM(VARDATA2,K$4-1,$A42:$B43))</f>
        <v>1371675236.47</v>
      </c>
      <c r="L43" s="112">
        <f>K43*VLOOKUP($A43,'CONVERSION FACTORS'!$A$1:$E$41,5,FALSE)</f>
        <v>1371675236.47</v>
      </c>
      <c r="M43" s="112">
        <f t="shared" ref="M43:M71" si="4">ABS(DSUM(VARDATA2,K$4-1,$C42:$D43))+ABS(DSUM(VARDATA2,M$4-1,$C42:$D43))</f>
        <v>3171416225.8599997</v>
      </c>
      <c r="N43" s="112">
        <f>M43*VLOOKUP($A43,'CONVERSION FACTORS'!$A$1:$E$41,5,FALSE)</f>
        <v>3171416225.8599997</v>
      </c>
      <c r="O43" s="113">
        <f t="shared" ref="O43:O71" si="5">IF((M43+K43)=0,"",K43/(M43+K43))</f>
        <v>0.30192551654386318</v>
      </c>
      <c r="P43" s="112">
        <f t="shared" ref="P43:P71" si="6">ABS(DSUM(VARDATA2,R$4-1,$A42:$B43))+ABS(DSUM(VARDATA2,P$4-1,$A42:$B43))</f>
        <v>1371675236.4659629</v>
      </c>
      <c r="Q43" s="112">
        <f>P43*VLOOKUP($A43,'CONVERSION FACTORS'!$A$1:$E$41,5,FALSE)</f>
        <v>1371675236.4659629</v>
      </c>
      <c r="R43" s="112">
        <f t="shared" ref="R43:R71" si="7">ABS(DSUM(VARDATA2,P$4-1,$C42:$D43))+ABS(DSUM(VARDATA2,R$4-1,$C42:$D43))</f>
        <v>3171416225.8535929</v>
      </c>
      <c r="S43" s="112">
        <f>R43*VLOOKUP($A43,'CONVERSION FACTORS'!$A$1:$E$41,5,FALSE)</f>
        <v>3171416225.8535929</v>
      </c>
      <c r="T43" s="113">
        <f t="shared" ref="T43:T71" si="8">IF((R43+P43)=0,"",P43/(R43+P43))</f>
        <v>0.30192551654366867</v>
      </c>
      <c r="U43" s="112">
        <f t="shared" ref="U43:U71" si="9">ABS(DSUM(VARDATA2,W$4-1,$A42:$B43))+ABS(DSUM(VARDATA2,U$4-1,$A42:$B43))</f>
        <v>2269685726.8599997</v>
      </c>
      <c r="V43" s="112">
        <f>U43*VLOOKUP($A43,'CONVERSION FACTORS'!$A$1:$E$41,5,FALSE)</f>
        <v>2269685726.8599997</v>
      </c>
      <c r="W43" s="112">
        <f t="shared" ref="W43:W71" si="10">ABS(DSUM(VARDATA2,U$4-1,$C42:$D43))+ABS(DSUM(VARDATA2,W$4-1,$C42:$D43))</f>
        <v>7571007873.1999998</v>
      </c>
      <c r="X43" s="112">
        <f>W43*VLOOKUP($A43,'CONVERSION FACTORS'!$A$1:$E$41,5,FALSE)</f>
        <v>7571007873.1999998</v>
      </c>
      <c r="Y43" s="113">
        <f t="shared" ref="Y43:Y71" si="11">IF((W43+U43)=0,"",U43/(W43+U43))</f>
        <v>0.23064286107293913</v>
      </c>
      <c r="Z43" s="113"/>
      <c r="AA43" s="113"/>
      <c r="AB43" s="113"/>
      <c r="AC43" s="113"/>
      <c r="AD43" s="16"/>
    </row>
    <row r="44" spans="1:30" x14ac:dyDescent="0.2">
      <c r="A44" s="16" t="s">
        <v>79</v>
      </c>
      <c r="B44" s="16" t="s">
        <v>18</v>
      </c>
      <c r="C44" s="16" t="s">
        <v>79</v>
      </c>
      <c r="D44" s="16" t="s">
        <v>18</v>
      </c>
      <c r="F44" s="112">
        <f t="shared" si="0"/>
        <v>0</v>
      </c>
      <c r="G44" s="112">
        <f>F44*VLOOKUP($A44,'CONVERSION FACTORS'!$A$1:$E$41,5,FALSE)</f>
        <v>0</v>
      </c>
      <c r="H44" s="112">
        <f t="shared" si="1"/>
        <v>0</v>
      </c>
      <c r="I44" s="112">
        <f>H44*VLOOKUP($A44,'CONVERSION FACTORS'!$A$1:$E$41,5,FALSE)</f>
        <v>0</v>
      </c>
      <c r="J44" s="113" t="str">
        <f t="shared" si="2"/>
        <v/>
      </c>
      <c r="K44" s="112">
        <f t="shared" si="3"/>
        <v>0</v>
      </c>
      <c r="L44" s="112">
        <f>K44*VLOOKUP($A44,'CONVERSION FACTORS'!$A$1:$E$41,5,FALSE)</f>
        <v>0</v>
      </c>
      <c r="M44" s="112">
        <f t="shared" si="4"/>
        <v>0</v>
      </c>
      <c r="N44" s="112">
        <f>M44*VLOOKUP($A44,'CONVERSION FACTORS'!$A$1:$E$41,5,FALSE)</f>
        <v>0</v>
      </c>
      <c r="O44" s="113" t="str">
        <f t="shared" si="5"/>
        <v/>
      </c>
      <c r="P44" s="112">
        <f t="shared" si="6"/>
        <v>0</v>
      </c>
      <c r="Q44" s="112">
        <f>P44*VLOOKUP($A44,'CONVERSION FACTORS'!$A$1:$E$41,5,FALSE)</f>
        <v>0</v>
      </c>
      <c r="R44" s="112">
        <f t="shared" si="7"/>
        <v>0</v>
      </c>
      <c r="S44" s="112">
        <f>R44*VLOOKUP($A44,'CONVERSION FACTORS'!$A$1:$E$41,5,FALSE)</f>
        <v>0</v>
      </c>
      <c r="T44" s="113" t="str">
        <f t="shared" si="8"/>
        <v/>
      </c>
      <c r="U44" s="112">
        <f t="shared" si="9"/>
        <v>0</v>
      </c>
      <c r="V44" s="112">
        <f>U44*VLOOKUP($A44,'CONVERSION FACTORS'!$A$1:$E$41,5,FALSE)</f>
        <v>0</v>
      </c>
      <c r="W44" s="112">
        <f t="shared" si="10"/>
        <v>0</v>
      </c>
      <c r="X44" s="112">
        <f>W44*VLOOKUP($A44,'CONVERSION FACTORS'!$A$1:$E$41,5,FALSE)</f>
        <v>0</v>
      </c>
      <c r="Y44" s="113" t="str">
        <f t="shared" si="11"/>
        <v/>
      </c>
      <c r="Z44" s="111"/>
      <c r="AA44" s="111"/>
      <c r="AB44" s="111"/>
      <c r="AC44" s="111"/>
      <c r="AD44" s="16"/>
    </row>
    <row r="45" spans="1:30" x14ac:dyDescent="0.2">
      <c r="A45" s="67" t="s">
        <v>167</v>
      </c>
      <c r="B45" s="67" t="s">
        <v>0</v>
      </c>
      <c r="C45" s="67" t="str">
        <f>A45</f>
        <v>CONTINENTAL GAS</v>
      </c>
      <c r="D45" s="67" t="s">
        <v>1</v>
      </c>
      <c r="E45" s="110" t="str">
        <f>"VOL="&amp;A45</f>
        <v>VOL=CONTINENTAL GAS</v>
      </c>
      <c r="F45" s="112">
        <f t="shared" si="0"/>
        <v>72500</v>
      </c>
      <c r="G45" s="112">
        <f>F45*VLOOKUP($A45,'CONVERSION FACTORS'!$A$1:$E$41,5,FALSE)</f>
        <v>72500</v>
      </c>
      <c r="H45" s="112">
        <f t="shared" si="1"/>
        <v>1013457.72</v>
      </c>
      <c r="I45" s="112">
        <f>H45*VLOOKUP($A45,'CONVERSION FACTORS'!$A$1:$E$41,5,FALSE)</f>
        <v>1013457.72</v>
      </c>
      <c r="J45" s="113">
        <f t="shared" si="2"/>
        <v>6.6761346841385322E-2</v>
      </c>
      <c r="K45" s="112">
        <f t="shared" si="3"/>
        <v>11152500</v>
      </c>
      <c r="L45" s="112">
        <f>K45*VLOOKUP($A45,'CONVERSION FACTORS'!$A$1:$E$41,5,FALSE)</f>
        <v>11152500</v>
      </c>
      <c r="M45" s="112">
        <f t="shared" si="4"/>
        <v>31220470.52</v>
      </c>
      <c r="N45" s="112">
        <f>M45*VLOOKUP($A45,'CONVERSION FACTORS'!$A$1:$E$41,5,FALSE)</f>
        <v>31220470.52</v>
      </c>
      <c r="O45" s="113">
        <f t="shared" si="5"/>
        <v>0.26319844615887933</v>
      </c>
      <c r="P45" s="112">
        <f t="shared" si="6"/>
        <v>11152500</v>
      </c>
      <c r="Q45" s="112">
        <f>P45*VLOOKUP($A45,'CONVERSION FACTORS'!$A$1:$E$41,5,FALSE)</f>
        <v>11152500</v>
      </c>
      <c r="R45" s="112">
        <f t="shared" si="7"/>
        <v>31220470.51698</v>
      </c>
      <c r="S45" s="112">
        <f>R45*VLOOKUP($A45,'CONVERSION FACTORS'!$A$1:$E$41,5,FALSE)</f>
        <v>31220470.51698</v>
      </c>
      <c r="T45" s="113">
        <f t="shared" si="8"/>
        <v>0.26319844617763793</v>
      </c>
      <c r="U45" s="112">
        <f t="shared" si="9"/>
        <v>11152500</v>
      </c>
      <c r="V45" s="112">
        <f>U45*VLOOKUP($A45,'CONVERSION FACTORS'!$A$1:$E$41,5,FALSE)</f>
        <v>11152500</v>
      </c>
      <c r="W45" s="112">
        <f t="shared" si="10"/>
        <v>31220470.52</v>
      </c>
      <c r="X45" s="112">
        <f>W45*VLOOKUP($A45,'CONVERSION FACTORS'!$A$1:$E$41,5,FALSE)</f>
        <v>31220470.52</v>
      </c>
      <c r="Y45" s="113">
        <f t="shared" si="11"/>
        <v>0.26319844615887933</v>
      </c>
      <c r="Z45" s="113"/>
      <c r="AA45" s="113"/>
      <c r="AB45" s="113"/>
      <c r="AC45" s="113"/>
      <c r="AD45" s="16"/>
    </row>
    <row r="46" spans="1:30" x14ac:dyDescent="0.2">
      <c r="A46" s="16" t="s">
        <v>79</v>
      </c>
      <c r="B46" s="16" t="s">
        <v>18</v>
      </c>
      <c r="C46" s="16" t="s">
        <v>79</v>
      </c>
      <c r="D46" s="16" t="s">
        <v>18</v>
      </c>
      <c r="F46" s="112">
        <f t="shared" si="0"/>
        <v>0</v>
      </c>
      <c r="G46" s="112">
        <f>F46*VLOOKUP($A46,'CONVERSION FACTORS'!$A$1:$E$41,5,FALSE)</f>
        <v>0</v>
      </c>
      <c r="H46" s="112">
        <f t="shared" si="1"/>
        <v>0</v>
      </c>
      <c r="I46" s="112">
        <f>H46*VLOOKUP($A46,'CONVERSION FACTORS'!$A$1:$E$41,5,FALSE)</f>
        <v>0</v>
      </c>
      <c r="J46" s="113" t="str">
        <f t="shared" si="2"/>
        <v/>
      </c>
      <c r="K46" s="112">
        <f t="shared" si="3"/>
        <v>0</v>
      </c>
      <c r="L46" s="112">
        <f>K46*VLOOKUP($A46,'CONVERSION FACTORS'!$A$1:$E$41,5,FALSE)</f>
        <v>0</v>
      </c>
      <c r="M46" s="112">
        <f t="shared" si="4"/>
        <v>0</v>
      </c>
      <c r="N46" s="112">
        <f>M46*VLOOKUP($A46,'CONVERSION FACTORS'!$A$1:$E$41,5,FALSE)</f>
        <v>0</v>
      </c>
      <c r="O46" s="113" t="str">
        <f t="shared" si="5"/>
        <v/>
      </c>
      <c r="P46" s="112">
        <f t="shared" si="6"/>
        <v>0</v>
      </c>
      <c r="Q46" s="112">
        <f>P46*VLOOKUP($A46,'CONVERSION FACTORS'!$A$1:$E$41,5,FALSE)</f>
        <v>0</v>
      </c>
      <c r="R46" s="112">
        <f t="shared" si="7"/>
        <v>0</v>
      </c>
      <c r="S46" s="112">
        <f>R46*VLOOKUP($A46,'CONVERSION FACTORS'!$A$1:$E$41,5,FALSE)</f>
        <v>0</v>
      </c>
      <c r="T46" s="113" t="str">
        <f t="shared" si="8"/>
        <v/>
      </c>
      <c r="U46" s="112">
        <f t="shared" si="9"/>
        <v>0</v>
      </c>
      <c r="V46" s="112">
        <f>U46*VLOOKUP($A46,'CONVERSION FACTORS'!$A$1:$E$41,5,FALSE)</f>
        <v>0</v>
      </c>
      <c r="W46" s="112">
        <f t="shared" si="10"/>
        <v>0</v>
      </c>
      <c r="X46" s="112">
        <f>W46*VLOOKUP($A46,'CONVERSION FACTORS'!$A$1:$E$41,5,FALSE)</f>
        <v>0</v>
      </c>
      <c r="Y46" s="113" t="str">
        <f t="shared" si="11"/>
        <v/>
      </c>
      <c r="Z46" s="111"/>
      <c r="AA46" s="111"/>
      <c r="AB46" s="111"/>
      <c r="AC46" s="111"/>
      <c r="AD46" s="16"/>
    </row>
    <row r="47" spans="1:30" x14ac:dyDescent="0.2">
      <c r="A47" s="67" t="s">
        <v>87</v>
      </c>
      <c r="B47" s="67" t="s">
        <v>0</v>
      </c>
      <c r="C47" s="67" t="str">
        <f>A47</f>
        <v>UK GAS</v>
      </c>
      <c r="D47" s="67" t="s">
        <v>1</v>
      </c>
      <c r="E47" s="110" t="str">
        <f>"VOL="&amp;A47</f>
        <v>VOL=UK GAS</v>
      </c>
      <c r="F47" s="112">
        <f t="shared" si="0"/>
        <v>6282500</v>
      </c>
      <c r="G47" s="112">
        <f>F47*VLOOKUP($A47,'CONVERSION FACTORS'!$A$1:$E$41,5,FALSE)</f>
        <v>6282500</v>
      </c>
      <c r="H47" s="112">
        <f t="shared" si="1"/>
        <v>9017120.2800000012</v>
      </c>
      <c r="I47" s="112">
        <f>H47*VLOOKUP($A47,'CONVERSION FACTORS'!$A$1:$E$41,5,FALSE)</f>
        <v>9017120.2800000012</v>
      </c>
      <c r="J47" s="113">
        <f t="shared" si="2"/>
        <v>0.41063110619893106</v>
      </c>
      <c r="K47" s="112">
        <f t="shared" si="3"/>
        <v>79194000</v>
      </c>
      <c r="L47" s="112">
        <f>K47*VLOOKUP($A47,'CONVERSION FACTORS'!$A$1:$E$41,5,FALSE)</f>
        <v>79194000</v>
      </c>
      <c r="M47" s="112">
        <f t="shared" si="4"/>
        <v>242543800.86000001</v>
      </c>
      <c r="N47" s="112">
        <f>M47*VLOOKUP($A47,'CONVERSION FACTORS'!$A$1:$E$41,5,FALSE)</f>
        <v>242543800.86000001</v>
      </c>
      <c r="O47" s="113">
        <f t="shared" si="5"/>
        <v>0.24614453069647302</v>
      </c>
      <c r="P47" s="112">
        <f t="shared" si="6"/>
        <v>79194000</v>
      </c>
      <c r="Q47" s="112">
        <f>P47*VLOOKUP($A47,'CONVERSION FACTORS'!$A$1:$E$41,5,FALSE)</f>
        <v>79194000</v>
      </c>
      <c r="R47" s="112">
        <f t="shared" si="7"/>
        <v>242543800.85427999</v>
      </c>
      <c r="S47" s="112">
        <f>R47*VLOOKUP($A47,'CONVERSION FACTORS'!$A$1:$E$41,5,FALSE)</f>
        <v>242543800.85427999</v>
      </c>
      <c r="T47" s="113">
        <f t="shared" si="8"/>
        <v>0.2461445307008491</v>
      </c>
      <c r="U47" s="112">
        <f t="shared" si="9"/>
        <v>79194000</v>
      </c>
      <c r="V47" s="112">
        <f>U47*VLOOKUP($A47,'CONVERSION FACTORS'!$A$1:$E$41,5,FALSE)</f>
        <v>79194000</v>
      </c>
      <c r="W47" s="112">
        <f t="shared" si="10"/>
        <v>242543800.86000001</v>
      </c>
      <c r="X47" s="112">
        <f>W47*VLOOKUP($A47,'CONVERSION FACTORS'!$A$1:$E$41,5,FALSE)</f>
        <v>242543800.86000001</v>
      </c>
      <c r="Y47" s="113">
        <f t="shared" si="11"/>
        <v>0.24614453069647302</v>
      </c>
      <c r="Z47" s="113"/>
      <c r="AA47" s="113"/>
      <c r="AB47" s="113"/>
      <c r="AC47" s="113"/>
      <c r="AD47" s="16"/>
    </row>
    <row r="48" spans="1:30" x14ac:dyDescent="0.2">
      <c r="A48" s="16" t="s">
        <v>79</v>
      </c>
      <c r="B48" s="16" t="s">
        <v>18</v>
      </c>
      <c r="C48" s="16" t="s">
        <v>79</v>
      </c>
      <c r="D48" s="16" t="s">
        <v>18</v>
      </c>
      <c r="F48" s="112">
        <f t="shared" si="0"/>
        <v>0</v>
      </c>
      <c r="G48" s="112">
        <f>F48*VLOOKUP($A48,'CONVERSION FACTORS'!$A$1:$E$41,5,FALSE)</f>
        <v>0</v>
      </c>
      <c r="H48" s="112">
        <f t="shared" si="1"/>
        <v>0</v>
      </c>
      <c r="I48" s="112">
        <f>H48*VLOOKUP($A48,'CONVERSION FACTORS'!$A$1:$E$41,5,FALSE)</f>
        <v>0</v>
      </c>
      <c r="J48" s="113" t="str">
        <f t="shared" si="2"/>
        <v/>
      </c>
      <c r="K48" s="112">
        <f t="shared" si="3"/>
        <v>0</v>
      </c>
      <c r="L48" s="112">
        <f>K48*VLOOKUP($A48,'CONVERSION FACTORS'!$A$1:$E$41,5,FALSE)</f>
        <v>0</v>
      </c>
      <c r="M48" s="112">
        <f t="shared" si="4"/>
        <v>0</v>
      </c>
      <c r="N48" s="112">
        <f>M48*VLOOKUP($A48,'CONVERSION FACTORS'!$A$1:$E$41,5,FALSE)</f>
        <v>0</v>
      </c>
      <c r="O48" s="113" t="str">
        <f t="shared" si="5"/>
        <v/>
      </c>
      <c r="P48" s="112">
        <f t="shared" si="6"/>
        <v>0</v>
      </c>
      <c r="Q48" s="112">
        <f>P48*VLOOKUP($A48,'CONVERSION FACTORS'!$A$1:$E$41,5,FALSE)</f>
        <v>0</v>
      </c>
      <c r="R48" s="112">
        <f t="shared" si="7"/>
        <v>0</v>
      </c>
      <c r="S48" s="112">
        <f>R48*VLOOKUP($A48,'CONVERSION FACTORS'!$A$1:$E$41,5,FALSE)</f>
        <v>0</v>
      </c>
      <c r="T48" s="113" t="str">
        <f t="shared" si="8"/>
        <v/>
      </c>
      <c r="U48" s="112">
        <f t="shared" si="9"/>
        <v>0</v>
      </c>
      <c r="V48" s="112">
        <f>U48*VLOOKUP($A48,'CONVERSION FACTORS'!$A$1:$E$41,5,FALSE)</f>
        <v>0</v>
      </c>
      <c r="W48" s="112">
        <f t="shared" si="10"/>
        <v>0</v>
      </c>
      <c r="X48" s="112">
        <f>W48*VLOOKUP($A48,'CONVERSION FACTORS'!$A$1:$E$41,5,FALSE)</f>
        <v>0</v>
      </c>
      <c r="Y48" s="113" t="str">
        <f t="shared" si="11"/>
        <v/>
      </c>
      <c r="Z48" s="111"/>
      <c r="AA48" s="111"/>
      <c r="AB48" s="111"/>
      <c r="AC48" s="111"/>
      <c r="AD48" s="16"/>
    </row>
    <row r="49" spans="1:30" x14ac:dyDescent="0.2">
      <c r="A49" s="67" t="s">
        <v>86</v>
      </c>
      <c r="B49" s="67" t="s">
        <v>0</v>
      </c>
      <c r="C49" s="67" t="str">
        <f>A49</f>
        <v>POWER</v>
      </c>
      <c r="D49" s="67" t="s">
        <v>1</v>
      </c>
      <c r="E49" s="110" t="str">
        <f>"VOL="&amp;A49</f>
        <v>VOL=POWER</v>
      </c>
      <c r="F49" s="112">
        <f t="shared" si="0"/>
        <v>776800</v>
      </c>
      <c r="G49" s="112">
        <f>F49*VLOOKUP($A49,'CONVERSION FACTORS'!$A$1:$E$41,5,FALSE)</f>
        <v>7768000</v>
      </c>
      <c r="H49" s="112">
        <f t="shared" si="1"/>
        <v>8487864.6799999997</v>
      </c>
      <c r="I49" s="112">
        <f>H49*VLOOKUP($A49,'CONVERSION FACTORS'!$A$1:$E$41,5,FALSE)</f>
        <v>84878646.799999997</v>
      </c>
      <c r="J49" s="113">
        <f t="shared" si="2"/>
        <v>8.3845452245768712E-2</v>
      </c>
      <c r="K49" s="112">
        <f t="shared" si="3"/>
        <v>6703500</v>
      </c>
      <c r="L49" s="112">
        <f>K49*VLOOKUP($A49,'CONVERSION FACTORS'!$A$1:$E$41,5,FALSE)</f>
        <v>67035000</v>
      </c>
      <c r="M49" s="112">
        <f t="shared" si="4"/>
        <v>69273663.99000001</v>
      </c>
      <c r="N49" s="112">
        <f>M49*VLOOKUP($A49,'CONVERSION FACTORS'!$A$1:$E$41,5,FALSE)</f>
        <v>692736639.9000001</v>
      </c>
      <c r="O49" s="113">
        <f t="shared" si="5"/>
        <v>8.8230458310898568E-2</v>
      </c>
      <c r="P49" s="112">
        <f t="shared" si="6"/>
        <v>6703500</v>
      </c>
      <c r="Q49" s="112">
        <f>P49*VLOOKUP($A49,'CONVERSION FACTORS'!$A$1:$E$41,5,FALSE)</f>
        <v>67035000</v>
      </c>
      <c r="R49" s="112">
        <f t="shared" si="7"/>
        <v>69273663.99000001</v>
      </c>
      <c r="S49" s="112">
        <f>R49*VLOOKUP($A49,'CONVERSION FACTORS'!$A$1:$E$41,5,FALSE)</f>
        <v>692736639.9000001</v>
      </c>
      <c r="T49" s="113">
        <f t="shared" si="8"/>
        <v>8.8230458310898568E-2</v>
      </c>
      <c r="U49" s="112">
        <f t="shared" si="9"/>
        <v>8333100</v>
      </c>
      <c r="V49" s="112">
        <f>U49*VLOOKUP($A49,'CONVERSION FACTORS'!$A$1:$E$41,5,FALSE)</f>
        <v>83331000</v>
      </c>
      <c r="W49" s="112">
        <f t="shared" si="10"/>
        <v>138646023.94</v>
      </c>
      <c r="X49" s="112">
        <f>W49*VLOOKUP($A49,'CONVERSION FACTORS'!$A$1:$E$41,5,FALSE)</f>
        <v>1386460239.4000001</v>
      </c>
      <c r="Y49" s="113">
        <f t="shared" si="11"/>
        <v>5.6695806701105037E-2</v>
      </c>
      <c r="Z49" s="113"/>
      <c r="AA49" s="113"/>
      <c r="AB49" s="113"/>
      <c r="AC49" s="113"/>
      <c r="AD49" s="16"/>
    </row>
    <row r="50" spans="1:30" x14ac:dyDescent="0.2">
      <c r="A50" s="16" t="s">
        <v>79</v>
      </c>
      <c r="B50" s="16" t="s">
        <v>18</v>
      </c>
      <c r="C50" s="16" t="s">
        <v>79</v>
      </c>
      <c r="D50" s="16" t="s">
        <v>18</v>
      </c>
      <c r="F50" s="112">
        <f t="shared" si="0"/>
        <v>0</v>
      </c>
      <c r="G50" s="112">
        <f>F50*VLOOKUP($A50,'CONVERSION FACTORS'!$A$1:$E$41,5,FALSE)</f>
        <v>0</v>
      </c>
      <c r="H50" s="112">
        <f t="shared" si="1"/>
        <v>0</v>
      </c>
      <c r="I50" s="112">
        <f>H50*VLOOKUP($A50,'CONVERSION FACTORS'!$A$1:$E$41,5,FALSE)</f>
        <v>0</v>
      </c>
      <c r="J50" s="113" t="str">
        <f t="shared" si="2"/>
        <v/>
      </c>
      <c r="K50" s="112">
        <f t="shared" si="3"/>
        <v>0</v>
      </c>
      <c r="L50" s="112">
        <f>K50*VLOOKUP($A50,'CONVERSION FACTORS'!$A$1:$E$41,5,FALSE)</f>
        <v>0</v>
      </c>
      <c r="M50" s="112">
        <f t="shared" si="4"/>
        <v>0</v>
      </c>
      <c r="N50" s="112">
        <f>M50*VLOOKUP($A50,'CONVERSION FACTORS'!$A$1:$E$41,5,FALSE)</f>
        <v>0</v>
      </c>
      <c r="O50" s="113" t="str">
        <f t="shared" si="5"/>
        <v/>
      </c>
      <c r="P50" s="112">
        <f t="shared" si="6"/>
        <v>0</v>
      </c>
      <c r="Q50" s="112">
        <f>P50*VLOOKUP($A50,'CONVERSION FACTORS'!$A$1:$E$41,5,FALSE)</f>
        <v>0</v>
      </c>
      <c r="R50" s="112">
        <f t="shared" si="7"/>
        <v>0</v>
      </c>
      <c r="S50" s="112">
        <f>R50*VLOOKUP($A50,'CONVERSION FACTORS'!$A$1:$E$41,5,FALSE)</f>
        <v>0</v>
      </c>
      <c r="T50" s="113" t="str">
        <f t="shared" si="8"/>
        <v/>
      </c>
      <c r="U50" s="112">
        <f t="shared" si="9"/>
        <v>0</v>
      </c>
      <c r="V50" s="112">
        <f>U50*VLOOKUP($A50,'CONVERSION FACTORS'!$A$1:$E$41,5,FALSE)</f>
        <v>0</v>
      </c>
      <c r="W50" s="112">
        <f t="shared" si="10"/>
        <v>0</v>
      </c>
      <c r="X50" s="112">
        <f>W50*VLOOKUP($A50,'CONVERSION FACTORS'!$A$1:$E$41,5,FALSE)</f>
        <v>0</v>
      </c>
      <c r="Y50" s="113" t="str">
        <f t="shared" si="11"/>
        <v/>
      </c>
      <c r="Z50" s="111"/>
      <c r="AA50" s="111"/>
      <c r="AB50" s="111"/>
      <c r="AC50" s="111"/>
      <c r="AD50" s="16"/>
    </row>
    <row r="51" spans="1:30" x14ac:dyDescent="0.2">
      <c r="A51" s="67" t="s">
        <v>80</v>
      </c>
      <c r="B51" s="67" t="s">
        <v>0</v>
      </c>
      <c r="C51" s="67" t="str">
        <f>A51</f>
        <v>CONTINENTAL POWER</v>
      </c>
      <c r="D51" s="67" t="s">
        <v>1</v>
      </c>
      <c r="E51" s="110" t="str">
        <f>"VOL="&amp;A51</f>
        <v>VOL=CONTINENTAL POWER</v>
      </c>
      <c r="F51" s="112">
        <f t="shared" si="0"/>
        <v>11220</v>
      </c>
      <c r="G51" s="112">
        <f>F51*VLOOKUP($A51,'CONVERSION FACTORS'!$A$1:$E$41,5,FALSE)</f>
        <v>112200</v>
      </c>
      <c r="H51" s="112">
        <f t="shared" si="1"/>
        <v>64939.9</v>
      </c>
      <c r="I51" s="112">
        <f>H51*VLOOKUP($A51,'CONVERSION FACTORS'!$A$1:$E$41,5,FALSE)</f>
        <v>649399</v>
      </c>
      <c r="J51" s="113">
        <f t="shared" si="2"/>
        <v>0.14732162200843227</v>
      </c>
      <c r="K51" s="112">
        <f t="shared" si="3"/>
        <v>97520</v>
      </c>
      <c r="L51" s="112">
        <f>K51*VLOOKUP($A51,'CONVERSION FACTORS'!$A$1:$E$41,5,FALSE)</f>
        <v>975200</v>
      </c>
      <c r="M51" s="112">
        <f t="shared" si="4"/>
        <v>4168454.8</v>
      </c>
      <c r="N51" s="112">
        <f>M51*VLOOKUP($A51,'CONVERSION FACTORS'!$A$1:$E$41,5,FALSE)</f>
        <v>41684548</v>
      </c>
      <c r="O51" s="113">
        <f t="shared" si="5"/>
        <v>2.2859956884883615E-2</v>
      </c>
      <c r="P51" s="112">
        <f t="shared" si="6"/>
        <v>97520</v>
      </c>
      <c r="Q51" s="112">
        <f>P51*VLOOKUP($A51,'CONVERSION FACTORS'!$A$1:$E$41,5,FALSE)</f>
        <v>975200</v>
      </c>
      <c r="R51" s="112">
        <f t="shared" si="7"/>
        <v>4168454.8</v>
      </c>
      <c r="S51" s="112">
        <f>R51*VLOOKUP($A51,'CONVERSION FACTORS'!$A$1:$E$41,5,FALSE)</f>
        <v>41684548</v>
      </c>
      <c r="T51" s="113">
        <f t="shared" si="8"/>
        <v>2.2859956884883615E-2</v>
      </c>
      <c r="U51" s="112">
        <f t="shared" si="9"/>
        <v>97520</v>
      </c>
      <c r="V51" s="112">
        <f>U51*VLOOKUP($A51,'CONVERSION FACTORS'!$A$1:$E$41,5,FALSE)</f>
        <v>975200</v>
      </c>
      <c r="W51" s="112">
        <f t="shared" si="10"/>
        <v>4168454.8</v>
      </c>
      <c r="X51" s="112">
        <f>W51*VLOOKUP($A51,'CONVERSION FACTORS'!$A$1:$E$41,5,FALSE)</f>
        <v>41684548</v>
      </c>
      <c r="Y51" s="113">
        <f t="shared" si="11"/>
        <v>2.2859956884883615E-2</v>
      </c>
      <c r="Z51" s="113"/>
      <c r="AA51" s="113"/>
      <c r="AB51" s="113"/>
      <c r="AC51" s="113"/>
      <c r="AD51" s="16"/>
    </row>
    <row r="52" spans="1:30" x14ac:dyDescent="0.2">
      <c r="A52" s="16" t="s">
        <v>79</v>
      </c>
      <c r="B52" s="16" t="s">
        <v>18</v>
      </c>
      <c r="C52" s="16" t="s">
        <v>79</v>
      </c>
      <c r="D52" s="16" t="s">
        <v>18</v>
      </c>
      <c r="F52" s="112">
        <f t="shared" si="0"/>
        <v>0</v>
      </c>
      <c r="G52" s="112">
        <f>F52*VLOOKUP($A52,'CONVERSION FACTORS'!$A$1:$E$41,5,FALSE)</f>
        <v>0</v>
      </c>
      <c r="H52" s="112">
        <f t="shared" si="1"/>
        <v>0</v>
      </c>
      <c r="I52" s="112">
        <f>H52*VLOOKUP($A52,'CONVERSION FACTORS'!$A$1:$E$41,5,FALSE)</f>
        <v>0</v>
      </c>
      <c r="J52" s="113" t="str">
        <f t="shared" si="2"/>
        <v/>
      </c>
      <c r="K52" s="112">
        <f t="shared" si="3"/>
        <v>0</v>
      </c>
      <c r="L52" s="112">
        <f>K52*VLOOKUP($A52,'CONVERSION FACTORS'!$A$1:$E$41,5,FALSE)</f>
        <v>0</v>
      </c>
      <c r="M52" s="112">
        <f t="shared" si="4"/>
        <v>0</v>
      </c>
      <c r="N52" s="112">
        <f>M52*VLOOKUP($A52,'CONVERSION FACTORS'!$A$1:$E$41,5,FALSE)</f>
        <v>0</v>
      </c>
      <c r="O52" s="113" t="str">
        <f t="shared" si="5"/>
        <v/>
      </c>
      <c r="P52" s="112">
        <f t="shared" si="6"/>
        <v>0</v>
      </c>
      <c r="Q52" s="112">
        <f>P52*VLOOKUP($A52,'CONVERSION FACTORS'!$A$1:$E$41,5,FALSE)</f>
        <v>0</v>
      </c>
      <c r="R52" s="112">
        <f t="shared" si="7"/>
        <v>0</v>
      </c>
      <c r="S52" s="112">
        <f>R52*VLOOKUP($A52,'CONVERSION FACTORS'!$A$1:$E$41,5,FALSE)</f>
        <v>0</v>
      </c>
      <c r="T52" s="113" t="str">
        <f t="shared" si="8"/>
        <v/>
      </c>
      <c r="U52" s="112">
        <f t="shared" si="9"/>
        <v>0</v>
      </c>
      <c r="V52" s="112">
        <f>U52*VLOOKUP($A52,'CONVERSION FACTORS'!$A$1:$E$41,5,FALSE)</f>
        <v>0</v>
      </c>
      <c r="W52" s="112">
        <f t="shared" si="10"/>
        <v>0</v>
      </c>
      <c r="X52" s="112">
        <f>W52*VLOOKUP($A52,'CONVERSION FACTORS'!$A$1:$E$41,5,FALSE)</f>
        <v>0</v>
      </c>
      <c r="Y52" s="113" t="str">
        <f t="shared" si="11"/>
        <v/>
      </c>
      <c r="Z52" s="111"/>
      <c r="AA52" s="111"/>
      <c r="AB52" s="111"/>
      <c r="AC52" s="111"/>
      <c r="AD52" s="16"/>
    </row>
    <row r="53" spans="1:30" x14ac:dyDescent="0.2">
      <c r="A53" s="67" t="s">
        <v>104</v>
      </c>
      <c r="B53" s="67" t="s">
        <v>0</v>
      </c>
      <c r="C53" s="67" t="s">
        <v>104</v>
      </c>
      <c r="D53" s="67" t="s">
        <v>1</v>
      </c>
      <c r="E53" s="110" t="str">
        <f>"VOL="&amp;A53</f>
        <v>VOL=NORDIC POWER</v>
      </c>
      <c r="F53" s="112">
        <f t="shared" si="0"/>
        <v>0</v>
      </c>
      <c r="G53" s="112">
        <f>F53*VLOOKUP($A53,'CONVERSION FACTORS'!$A$1:$E$41,5,FALSE)</f>
        <v>0</v>
      </c>
      <c r="H53" s="112">
        <f t="shared" si="1"/>
        <v>487413</v>
      </c>
      <c r="I53" s="112">
        <f>H53*VLOOKUP($A53,'CONVERSION FACTORS'!$A$1:$E$41,5,FALSE)</f>
        <v>4874130</v>
      </c>
      <c r="J53" s="113">
        <f t="shared" si="2"/>
        <v>0</v>
      </c>
      <c r="K53" s="112">
        <f t="shared" si="3"/>
        <v>439845</v>
      </c>
      <c r="L53" s="112">
        <f>K53*VLOOKUP($A53,'CONVERSION FACTORS'!$A$1:$E$41,5,FALSE)</f>
        <v>4398450</v>
      </c>
      <c r="M53" s="112">
        <f t="shared" si="4"/>
        <v>14845604.630000001</v>
      </c>
      <c r="N53" s="112">
        <f>M53*VLOOKUP($A53,'CONVERSION FACTORS'!$A$1:$E$41,5,FALSE)</f>
        <v>148456046.30000001</v>
      </c>
      <c r="O53" s="113">
        <f t="shared" si="5"/>
        <v>2.8775404757262608E-2</v>
      </c>
      <c r="P53" s="112">
        <f t="shared" si="6"/>
        <v>439845</v>
      </c>
      <c r="Q53" s="112">
        <f>P53*VLOOKUP($A53,'CONVERSION FACTORS'!$A$1:$E$41,5,FALSE)</f>
        <v>4398450</v>
      </c>
      <c r="R53" s="112">
        <f t="shared" si="7"/>
        <v>14845604.630000001</v>
      </c>
      <c r="S53" s="112">
        <f>R53*VLOOKUP($A53,'CONVERSION FACTORS'!$A$1:$E$41,5,FALSE)</f>
        <v>148456046.30000001</v>
      </c>
      <c r="T53" s="113">
        <f t="shared" si="8"/>
        <v>2.8775404757262608E-2</v>
      </c>
      <c r="U53" s="112">
        <f t="shared" si="9"/>
        <v>502125</v>
      </c>
      <c r="V53" s="112">
        <f>U53*VLOOKUP($A53,'CONVERSION FACTORS'!$A$1:$E$41,5,FALSE)</f>
        <v>5021250</v>
      </c>
      <c r="W53" s="112">
        <f t="shared" si="10"/>
        <v>23094475.350000001</v>
      </c>
      <c r="X53" s="112">
        <f>W53*VLOOKUP($A53,'CONVERSION FACTORS'!$A$1:$E$41,5,FALSE)</f>
        <v>230944753.5</v>
      </c>
      <c r="Y53" s="113">
        <f t="shared" si="11"/>
        <v>2.1279548432916521E-2</v>
      </c>
      <c r="Z53" s="113"/>
      <c r="AA53" s="113"/>
      <c r="AB53" s="113"/>
      <c r="AC53" s="113"/>
      <c r="AD53" s="16"/>
    </row>
    <row r="54" spans="1:30" x14ac:dyDescent="0.2">
      <c r="A54" s="16" t="s">
        <v>79</v>
      </c>
      <c r="B54" s="16" t="s">
        <v>18</v>
      </c>
      <c r="C54" s="16" t="s">
        <v>79</v>
      </c>
      <c r="D54" s="16" t="s">
        <v>18</v>
      </c>
      <c r="F54" s="112">
        <f t="shared" si="0"/>
        <v>0</v>
      </c>
      <c r="G54" s="112">
        <f>F54*VLOOKUP($A54,'CONVERSION FACTORS'!$A$1:$E$41,5,FALSE)</f>
        <v>0</v>
      </c>
      <c r="H54" s="112">
        <f t="shared" si="1"/>
        <v>0</v>
      </c>
      <c r="I54" s="112">
        <f>H54*VLOOKUP($A54,'CONVERSION FACTORS'!$A$1:$E$41,5,FALSE)</f>
        <v>0</v>
      </c>
      <c r="J54" s="113" t="str">
        <f t="shared" si="2"/>
        <v/>
      </c>
      <c r="K54" s="112">
        <f t="shared" si="3"/>
        <v>0</v>
      </c>
      <c r="L54" s="112">
        <f>K54*VLOOKUP($A54,'CONVERSION FACTORS'!$A$1:$E$41,5,FALSE)</f>
        <v>0</v>
      </c>
      <c r="M54" s="112">
        <f t="shared" si="4"/>
        <v>0</v>
      </c>
      <c r="N54" s="112">
        <f>M54*VLOOKUP($A54,'CONVERSION FACTORS'!$A$1:$E$41,5,FALSE)</f>
        <v>0</v>
      </c>
      <c r="O54" s="113" t="str">
        <f t="shared" si="5"/>
        <v/>
      </c>
      <c r="P54" s="112">
        <f t="shared" si="6"/>
        <v>0</v>
      </c>
      <c r="Q54" s="112">
        <f>P54*VLOOKUP($A54,'CONVERSION FACTORS'!$A$1:$E$41,5,FALSE)</f>
        <v>0</v>
      </c>
      <c r="R54" s="112">
        <f t="shared" si="7"/>
        <v>0</v>
      </c>
      <c r="S54" s="112">
        <f>R54*VLOOKUP($A54,'CONVERSION FACTORS'!$A$1:$E$41,5,FALSE)</f>
        <v>0</v>
      </c>
      <c r="T54" s="113" t="str">
        <f t="shared" si="8"/>
        <v/>
      </c>
      <c r="U54" s="112">
        <f t="shared" si="9"/>
        <v>0</v>
      </c>
      <c r="V54" s="112">
        <f>U54*VLOOKUP($A54,'CONVERSION FACTORS'!$A$1:$E$41,5,FALSE)</f>
        <v>0</v>
      </c>
      <c r="W54" s="112">
        <f t="shared" si="10"/>
        <v>0</v>
      </c>
      <c r="X54" s="112">
        <f>W54*VLOOKUP($A54,'CONVERSION FACTORS'!$A$1:$E$41,5,FALSE)</f>
        <v>0</v>
      </c>
      <c r="Y54" s="113" t="str">
        <f t="shared" si="11"/>
        <v/>
      </c>
      <c r="Z54" s="111"/>
      <c r="AA54" s="111"/>
      <c r="AB54" s="111"/>
      <c r="AC54" s="111"/>
      <c r="AD54" s="16"/>
    </row>
    <row r="55" spans="1:30" x14ac:dyDescent="0.2">
      <c r="A55" s="67" t="s">
        <v>88</v>
      </c>
      <c r="B55" s="67" t="s">
        <v>0</v>
      </c>
      <c r="C55" s="67" t="str">
        <f>A55</f>
        <v>UK POWER</v>
      </c>
      <c r="D55" s="67" t="s">
        <v>1</v>
      </c>
      <c r="E55" s="110" t="str">
        <f>"VOL="&amp;A55</f>
        <v>VOL=UK POWER</v>
      </c>
      <c r="F55" s="112">
        <f t="shared" si="0"/>
        <v>43660</v>
      </c>
      <c r="G55" s="112">
        <f>F55*VLOOKUP($A55,'CONVERSION FACTORS'!$A$1:$E$41,5,FALSE)</f>
        <v>436600</v>
      </c>
      <c r="H55" s="112">
        <f t="shared" si="1"/>
        <v>308940</v>
      </c>
      <c r="I55" s="112">
        <f>H55*VLOOKUP($A55,'CONVERSION FACTORS'!$A$1:$E$41,5,FALSE)</f>
        <v>3089400</v>
      </c>
      <c r="J55" s="113">
        <f t="shared" si="2"/>
        <v>0.12382302892796369</v>
      </c>
      <c r="K55" s="112">
        <f t="shared" si="3"/>
        <v>2164300</v>
      </c>
      <c r="L55" s="112">
        <f>K55*VLOOKUP($A55,'CONVERSION FACTORS'!$A$1:$E$41,5,FALSE)</f>
        <v>21643000</v>
      </c>
      <c r="M55" s="112">
        <f t="shared" si="4"/>
        <v>14421742.699999999</v>
      </c>
      <c r="N55" s="112">
        <f>M55*VLOOKUP($A55,'CONVERSION FACTORS'!$A$1:$E$41,5,FALSE)</f>
        <v>144217427</v>
      </c>
      <c r="O55" s="113">
        <f t="shared" si="5"/>
        <v>0.13048923357709674</v>
      </c>
      <c r="P55" s="112">
        <f t="shared" si="6"/>
        <v>2164300</v>
      </c>
      <c r="Q55" s="112">
        <f>P55*VLOOKUP($A55,'CONVERSION FACTORS'!$A$1:$E$41,5,FALSE)</f>
        <v>21643000</v>
      </c>
      <c r="R55" s="112">
        <f t="shared" si="7"/>
        <v>14421742.6992824</v>
      </c>
      <c r="S55" s="112">
        <f>R55*VLOOKUP($A55,'CONVERSION FACTORS'!$A$1:$E$41,5,FALSE)</f>
        <v>144217426.99282402</v>
      </c>
      <c r="T55" s="113">
        <f t="shared" si="8"/>
        <v>0.13048923358274236</v>
      </c>
      <c r="U55" s="112">
        <f t="shared" si="9"/>
        <v>2164300</v>
      </c>
      <c r="V55" s="112">
        <f>U55*VLOOKUP($A55,'CONVERSION FACTORS'!$A$1:$E$41,5,FALSE)</f>
        <v>21643000</v>
      </c>
      <c r="W55" s="112">
        <f t="shared" si="10"/>
        <v>14421742.699999999</v>
      </c>
      <c r="X55" s="112">
        <f>W55*VLOOKUP($A55,'CONVERSION FACTORS'!$A$1:$E$41,5,FALSE)</f>
        <v>144217427</v>
      </c>
      <c r="Y55" s="113">
        <f t="shared" si="11"/>
        <v>0.13048923357709674</v>
      </c>
      <c r="Z55" s="113"/>
      <c r="AA55" s="113"/>
      <c r="AB55" s="113"/>
      <c r="AC55" s="113"/>
      <c r="AD55" s="16"/>
    </row>
    <row r="56" spans="1:30" x14ac:dyDescent="0.2">
      <c r="A56" s="16" t="s">
        <v>79</v>
      </c>
      <c r="B56" s="16" t="s">
        <v>18</v>
      </c>
      <c r="C56" s="16" t="s">
        <v>79</v>
      </c>
      <c r="D56" s="16" t="s">
        <v>18</v>
      </c>
      <c r="F56" s="112">
        <f t="shared" si="0"/>
        <v>0</v>
      </c>
      <c r="G56" s="112">
        <f>F56*VLOOKUP($A56,'CONVERSION FACTORS'!$A$1:$E$41,5,FALSE)</f>
        <v>0</v>
      </c>
      <c r="H56" s="112">
        <f t="shared" si="1"/>
        <v>0</v>
      </c>
      <c r="I56" s="112">
        <f>H56*VLOOKUP($A56,'CONVERSION FACTORS'!$A$1:$E$41,5,FALSE)</f>
        <v>0</v>
      </c>
      <c r="J56" s="113" t="str">
        <f t="shared" si="2"/>
        <v/>
      </c>
      <c r="K56" s="112">
        <f t="shared" si="3"/>
        <v>0</v>
      </c>
      <c r="L56" s="112">
        <f>K56*VLOOKUP($A56,'CONVERSION FACTORS'!$A$1:$E$41,5,FALSE)</f>
        <v>0</v>
      </c>
      <c r="M56" s="112">
        <f t="shared" si="4"/>
        <v>0</v>
      </c>
      <c r="N56" s="112">
        <f>M56*VLOOKUP($A56,'CONVERSION FACTORS'!$A$1:$E$41,5,FALSE)</f>
        <v>0</v>
      </c>
      <c r="O56" s="113" t="str">
        <f t="shared" si="5"/>
        <v/>
      </c>
      <c r="P56" s="112">
        <f t="shared" si="6"/>
        <v>0</v>
      </c>
      <c r="Q56" s="112">
        <f>P56*VLOOKUP($A56,'CONVERSION FACTORS'!$A$1:$E$41,5,FALSE)</f>
        <v>0</v>
      </c>
      <c r="R56" s="112">
        <f t="shared" si="7"/>
        <v>0</v>
      </c>
      <c r="S56" s="112">
        <f>R56*VLOOKUP($A56,'CONVERSION FACTORS'!$A$1:$E$41,5,FALSE)</f>
        <v>0</v>
      </c>
      <c r="T56" s="113" t="str">
        <f t="shared" si="8"/>
        <v/>
      </c>
      <c r="U56" s="112">
        <f t="shared" si="9"/>
        <v>0</v>
      </c>
      <c r="V56" s="112">
        <f>U56*VLOOKUP($A56,'CONVERSION FACTORS'!$A$1:$E$41,5,FALSE)</f>
        <v>0</v>
      </c>
      <c r="W56" s="112">
        <f t="shared" si="10"/>
        <v>0</v>
      </c>
      <c r="X56" s="112">
        <f>W56*VLOOKUP($A56,'CONVERSION FACTORS'!$A$1:$E$41,5,FALSE)</f>
        <v>0</v>
      </c>
      <c r="Y56" s="113" t="str">
        <f t="shared" si="11"/>
        <v/>
      </c>
      <c r="Z56" s="111"/>
      <c r="AA56" s="111"/>
      <c r="AB56" s="111"/>
      <c r="AC56" s="111"/>
      <c r="AD56" s="16"/>
    </row>
    <row r="57" spans="1:30" x14ac:dyDescent="0.2">
      <c r="A57" s="67" t="s">
        <v>102</v>
      </c>
      <c r="B57" s="67" t="s">
        <v>0</v>
      </c>
      <c r="C57" s="67" t="s">
        <v>102</v>
      </c>
      <c r="D57" s="67" t="s">
        <v>1</v>
      </c>
      <c r="E57" s="110" t="str">
        <f>"VOL="&amp;A57</f>
        <v>VOL=CRUDE &amp; PRODUCTS</v>
      </c>
      <c r="F57" s="112">
        <f t="shared" si="0"/>
        <v>602000</v>
      </c>
      <c r="G57" s="112">
        <f>F57*VLOOKUP($A57,'CONVERSION FACTORS'!$A$1:$E$41,5,FALSE)</f>
        <v>3507252</v>
      </c>
      <c r="H57" s="112">
        <f t="shared" si="1"/>
        <v>6966071.9900000002</v>
      </c>
      <c r="I57" s="112">
        <f>H57*VLOOKUP($A57,'CONVERSION FACTORS'!$A$1:$E$41,5,FALSE)</f>
        <v>40584335.413740002</v>
      </c>
      <c r="J57" s="113">
        <f t="shared" si="2"/>
        <v>7.9544697882822327E-2</v>
      </c>
      <c r="K57" s="112">
        <f t="shared" si="3"/>
        <v>12482999.960000001</v>
      </c>
      <c r="L57" s="112">
        <f>K57*VLOOKUP($A57,'CONVERSION FACTORS'!$A$1:$E$41,5,FALSE)</f>
        <v>72725957.766959995</v>
      </c>
      <c r="M57" s="112">
        <f t="shared" si="4"/>
        <v>95843672.230000019</v>
      </c>
      <c r="N57" s="112">
        <f>M57*VLOOKUP($A57,'CONVERSION FACTORS'!$A$1:$E$41,5,FALSE)</f>
        <v>558385234.41198003</v>
      </c>
      <c r="O57" s="113">
        <f t="shared" si="5"/>
        <v>0.11523477743417974</v>
      </c>
      <c r="P57" s="112">
        <f t="shared" si="6"/>
        <v>12482999.9619</v>
      </c>
      <c r="Q57" s="112">
        <f>P57*VLOOKUP($A57,'CONVERSION FACTORS'!$A$1:$E$41,5,FALSE)</f>
        <v>72725957.778029397</v>
      </c>
      <c r="R57" s="112">
        <f t="shared" si="7"/>
        <v>95843672.226899996</v>
      </c>
      <c r="S57" s="112">
        <f>R57*VLOOKUP($A57,'CONVERSION FACTORS'!$A$1:$E$41,5,FALSE)</f>
        <v>558385234.39391935</v>
      </c>
      <c r="T57" s="113">
        <f t="shared" si="8"/>
        <v>0.11523477745299583</v>
      </c>
      <c r="U57" s="112">
        <f t="shared" si="9"/>
        <v>12482999.960000001</v>
      </c>
      <c r="V57" s="112">
        <f>U57*VLOOKUP($A57,'CONVERSION FACTORS'!$A$1:$E$41,5,FALSE)</f>
        <v>72725957.766959995</v>
      </c>
      <c r="W57" s="112">
        <f t="shared" si="10"/>
        <v>95843672.230000019</v>
      </c>
      <c r="X57" s="112">
        <f>W57*VLOOKUP($A57,'CONVERSION FACTORS'!$A$1:$E$41,5,FALSE)</f>
        <v>558385234.41198003</v>
      </c>
      <c r="Y57" s="113">
        <f t="shared" si="11"/>
        <v>0.11523477743417974</v>
      </c>
      <c r="Z57" s="113"/>
      <c r="AA57" s="113"/>
      <c r="AB57" s="113"/>
      <c r="AC57" s="113"/>
      <c r="AD57" s="16"/>
    </row>
    <row r="58" spans="1:30" x14ac:dyDescent="0.2">
      <c r="A58" s="16" t="s">
        <v>79</v>
      </c>
      <c r="B58" s="16" t="s">
        <v>18</v>
      </c>
      <c r="C58" s="16" t="s">
        <v>79</v>
      </c>
      <c r="D58" s="16" t="s">
        <v>18</v>
      </c>
      <c r="F58" s="112">
        <f t="shared" si="0"/>
        <v>0</v>
      </c>
      <c r="G58" s="112">
        <f>F58*VLOOKUP($A58,'CONVERSION FACTORS'!$A$1:$E$41,5,FALSE)</f>
        <v>0</v>
      </c>
      <c r="H58" s="112">
        <f t="shared" si="1"/>
        <v>0</v>
      </c>
      <c r="I58" s="112">
        <f>H58*VLOOKUP($A58,'CONVERSION FACTORS'!$A$1:$E$41,5,FALSE)</f>
        <v>0</v>
      </c>
      <c r="J58" s="113" t="str">
        <f t="shared" si="2"/>
        <v/>
      </c>
      <c r="K58" s="112">
        <f t="shared" si="3"/>
        <v>0</v>
      </c>
      <c r="L58" s="112">
        <f>K58*VLOOKUP($A58,'CONVERSION FACTORS'!$A$1:$E$41,5,FALSE)</f>
        <v>0</v>
      </c>
      <c r="M58" s="112">
        <f t="shared" si="4"/>
        <v>0</v>
      </c>
      <c r="N58" s="112">
        <f>M58*VLOOKUP($A58,'CONVERSION FACTORS'!$A$1:$E$41,5,FALSE)</f>
        <v>0</v>
      </c>
      <c r="O58" s="113" t="str">
        <f t="shared" si="5"/>
        <v/>
      </c>
      <c r="P58" s="112">
        <f t="shared" si="6"/>
        <v>0</v>
      </c>
      <c r="Q58" s="112">
        <f>P58*VLOOKUP($A58,'CONVERSION FACTORS'!$A$1:$E$41,5,FALSE)</f>
        <v>0</v>
      </c>
      <c r="R58" s="112">
        <f t="shared" si="7"/>
        <v>0</v>
      </c>
      <c r="S58" s="112">
        <f>R58*VLOOKUP($A58,'CONVERSION FACTORS'!$A$1:$E$41,5,FALSE)</f>
        <v>0</v>
      </c>
      <c r="T58" s="113" t="str">
        <f t="shared" si="8"/>
        <v/>
      </c>
      <c r="U58" s="112">
        <f t="shared" si="9"/>
        <v>0</v>
      </c>
      <c r="V58" s="112">
        <f>U58*VLOOKUP($A58,'CONVERSION FACTORS'!$A$1:$E$41,5,FALSE)</f>
        <v>0</v>
      </c>
      <c r="W58" s="112">
        <f t="shared" si="10"/>
        <v>0</v>
      </c>
      <c r="X58" s="112">
        <f>W58*VLOOKUP($A58,'CONVERSION FACTORS'!$A$1:$E$41,5,FALSE)</f>
        <v>0</v>
      </c>
      <c r="Y58" s="113" t="str">
        <f t="shared" si="11"/>
        <v/>
      </c>
      <c r="Z58" s="111"/>
      <c r="AA58" s="111"/>
      <c r="AB58" s="111"/>
      <c r="AC58" s="111"/>
      <c r="AD58" s="16"/>
    </row>
    <row r="59" spans="1:30" x14ac:dyDescent="0.2">
      <c r="A59" s="67" t="s">
        <v>101</v>
      </c>
      <c r="B59" s="67" t="s">
        <v>0</v>
      </c>
      <c r="C59" s="67" t="s">
        <v>101</v>
      </c>
      <c r="D59" s="67" t="s">
        <v>1</v>
      </c>
      <c r="E59" s="110" t="str">
        <f>"VOL="&amp;A59</f>
        <v>VOL=LPG</v>
      </c>
      <c r="F59" s="112">
        <f t="shared" si="0"/>
        <v>56000</v>
      </c>
      <c r="G59" s="112">
        <f>F59*VLOOKUP($A59,'CONVERSION FACTORS'!$A$1:$E$41,5,FALSE)</f>
        <v>226800</v>
      </c>
      <c r="H59" s="112">
        <f t="shared" si="1"/>
        <v>189383</v>
      </c>
      <c r="I59" s="112">
        <f>H59*VLOOKUP($A59,'CONVERSION FACTORS'!$A$1:$E$41,5,FALSE)</f>
        <v>767001.15</v>
      </c>
      <c r="J59" s="113">
        <f t="shared" si="2"/>
        <v>0.22821466849781769</v>
      </c>
      <c r="K59" s="112">
        <f t="shared" si="3"/>
        <v>216000</v>
      </c>
      <c r="L59" s="112">
        <f>K59*VLOOKUP($A59,'CONVERSION FACTORS'!$A$1:$E$41,5,FALSE)</f>
        <v>874800</v>
      </c>
      <c r="M59" s="112">
        <f t="shared" si="4"/>
        <v>5858352.3700000001</v>
      </c>
      <c r="N59" s="112">
        <f>M59*VLOOKUP($A59,'CONVERSION FACTORS'!$A$1:$E$41,5,FALSE)</f>
        <v>23726327.098499998</v>
      </c>
      <c r="O59" s="113">
        <f t="shared" si="5"/>
        <v>3.5559346386749048E-2</v>
      </c>
      <c r="P59" s="112">
        <f t="shared" si="6"/>
        <v>216000</v>
      </c>
      <c r="Q59" s="112">
        <f>P59*VLOOKUP($A59,'CONVERSION FACTORS'!$A$1:$E$41,5,FALSE)</f>
        <v>874800</v>
      </c>
      <c r="R59" s="112">
        <f t="shared" si="7"/>
        <v>5858352.3733999999</v>
      </c>
      <c r="S59" s="112">
        <f>R59*VLOOKUP($A59,'CONVERSION FACTORS'!$A$1:$E$41,5,FALSE)</f>
        <v>23726327.112269998</v>
      </c>
      <c r="T59" s="113">
        <f t="shared" si="8"/>
        <v>3.55593463668454E-2</v>
      </c>
      <c r="U59" s="112">
        <f t="shared" si="9"/>
        <v>216000</v>
      </c>
      <c r="V59" s="112">
        <f>U59*VLOOKUP($A59,'CONVERSION FACTORS'!$A$1:$E$41,5,FALSE)</f>
        <v>874800</v>
      </c>
      <c r="W59" s="112">
        <f t="shared" si="10"/>
        <v>5858352.3700000001</v>
      </c>
      <c r="X59" s="112">
        <f>W59*VLOOKUP($A59,'CONVERSION FACTORS'!$A$1:$E$41,5,FALSE)</f>
        <v>23726327.098499998</v>
      </c>
      <c r="Y59" s="113">
        <f t="shared" si="11"/>
        <v>3.5559346386749048E-2</v>
      </c>
      <c r="Z59" s="113"/>
      <c r="AA59" s="113"/>
      <c r="AB59" s="113"/>
      <c r="AC59" s="113"/>
      <c r="AD59" s="16"/>
    </row>
    <row r="60" spans="1:30" x14ac:dyDescent="0.2">
      <c r="A60" s="16" t="s">
        <v>79</v>
      </c>
      <c r="B60" s="16" t="s">
        <v>18</v>
      </c>
      <c r="C60" s="16" t="s">
        <v>79</v>
      </c>
      <c r="D60" s="16" t="s">
        <v>18</v>
      </c>
      <c r="F60" s="112">
        <f t="shared" si="0"/>
        <v>0</v>
      </c>
      <c r="G60" s="112">
        <f>F60*VLOOKUP($A60,'CONVERSION FACTORS'!$A$1:$E$41,5,FALSE)</f>
        <v>0</v>
      </c>
      <c r="H60" s="112">
        <f t="shared" si="1"/>
        <v>0</v>
      </c>
      <c r="I60" s="112">
        <f>H60*VLOOKUP($A60,'CONVERSION FACTORS'!$A$1:$E$41,5,FALSE)</f>
        <v>0</v>
      </c>
      <c r="J60" s="113" t="str">
        <f t="shared" si="2"/>
        <v/>
      </c>
      <c r="K60" s="112">
        <f t="shared" si="3"/>
        <v>0</v>
      </c>
      <c r="L60" s="112">
        <f>K60*VLOOKUP($A60,'CONVERSION FACTORS'!$A$1:$E$41,5,FALSE)</f>
        <v>0</v>
      </c>
      <c r="M60" s="112">
        <f t="shared" si="4"/>
        <v>0</v>
      </c>
      <c r="N60" s="112">
        <f>M60*VLOOKUP($A60,'CONVERSION FACTORS'!$A$1:$E$41,5,FALSE)</f>
        <v>0</v>
      </c>
      <c r="O60" s="113" t="str">
        <f t="shared" si="5"/>
        <v/>
      </c>
      <c r="P60" s="112">
        <f t="shared" si="6"/>
        <v>0</v>
      </c>
      <c r="Q60" s="112">
        <f>P60*VLOOKUP($A60,'CONVERSION FACTORS'!$A$1:$E$41,5,FALSE)</f>
        <v>0</v>
      </c>
      <c r="R60" s="112">
        <f t="shared" si="7"/>
        <v>0</v>
      </c>
      <c r="S60" s="112">
        <f>R60*VLOOKUP($A60,'CONVERSION FACTORS'!$A$1:$E$41,5,FALSE)</f>
        <v>0</v>
      </c>
      <c r="T60" s="113" t="str">
        <f t="shared" si="8"/>
        <v/>
      </c>
      <c r="U60" s="112">
        <f t="shared" si="9"/>
        <v>0</v>
      </c>
      <c r="V60" s="112">
        <f>U60*VLOOKUP($A60,'CONVERSION FACTORS'!$A$1:$E$41,5,FALSE)</f>
        <v>0</v>
      </c>
      <c r="W60" s="112">
        <f t="shared" si="10"/>
        <v>0</v>
      </c>
      <c r="X60" s="112">
        <f>W60*VLOOKUP($A60,'CONVERSION FACTORS'!$A$1:$E$41,5,FALSE)</f>
        <v>0</v>
      </c>
      <c r="Y60" s="113" t="str">
        <f t="shared" si="11"/>
        <v/>
      </c>
      <c r="Z60" s="111"/>
      <c r="AA60" s="111"/>
      <c r="AB60" s="111"/>
      <c r="AC60" s="111"/>
      <c r="AD60" s="16"/>
    </row>
    <row r="61" spans="1:30" x14ac:dyDescent="0.2">
      <c r="A61" s="67" t="s">
        <v>85</v>
      </c>
      <c r="B61" s="67" t="s">
        <v>0</v>
      </c>
      <c r="C61" s="67" t="str">
        <f>A61</f>
        <v>PLASTICS</v>
      </c>
      <c r="D61" s="67" t="s">
        <v>1</v>
      </c>
      <c r="E61" s="110" t="str">
        <f>"VOL="&amp;A61</f>
        <v>VOL=PLASTICS</v>
      </c>
      <c r="F61" s="112">
        <f t="shared" si="0"/>
        <v>0</v>
      </c>
      <c r="G61" s="112">
        <f>F61*VLOOKUP($A61,'CONVERSION FACTORS'!$A$1:$E$41,5,FALSE)</f>
        <v>0</v>
      </c>
      <c r="H61" s="112">
        <f t="shared" si="1"/>
        <v>0</v>
      </c>
      <c r="I61" s="112">
        <f>H61*VLOOKUP($A61,'CONVERSION FACTORS'!$A$1:$E$41,5,FALSE)</f>
        <v>0</v>
      </c>
      <c r="J61" s="113" t="str">
        <f t="shared" si="2"/>
        <v/>
      </c>
      <c r="K61" s="112">
        <f t="shared" si="3"/>
        <v>0</v>
      </c>
      <c r="L61" s="112">
        <f>K61*VLOOKUP($A61,'CONVERSION FACTORS'!$A$1:$E$41,5,FALSE)</f>
        <v>0</v>
      </c>
      <c r="M61" s="112">
        <f t="shared" si="4"/>
        <v>0</v>
      </c>
      <c r="N61" s="112">
        <f>M61*VLOOKUP($A61,'CONVERSION FACTORS'!$A$1:$E$41,5,FALSE)</f>
        <v>0</v>
      </c>
      <c r="O61" s="113" t="str">
        <f t="shared" si="5"/>
        <v/>
      </c>
      <c r="P61" s="112">
        <f t="shared" si="6"/>
        <v>0</v>
      </c>
      <c r="Q61" s="112">
        <f>P61*VLOOKUP($A61,'CONVERSION FACTORS'!$A$1:$E$41,5,FALSE)</f>
        <v>0</v>
      </c>
      <c r="R61" s="112">
        <f t="shared" si="7"/>
        <v>0</v>
      </c>
      <c r="S61" s="112">
        <f>R61*VLOOKUP($A61,'CONVERSION FACTORS'!$A$1:$E$41,5,FALSE)</f>
        <v>0</v>
      </c>
      <c r="T61" s="113" t="str">
        <f t="shared" si="8"/>
        <v/>
      </c>
      <c r="U61" s="112">
        <f t="shared" si="9"/>
        <v>0</v>
      </c>
      <c r="V61" s="112">
        <f>U61*VLOOKUP($A61,'CONVERSION FACTORS'!$A$1:$E$41,5,FALSE)</f>
        <v>0</v>
      </c>
      <c r="W61" s="112">
        <f t="shared" si="10"/>
        <v>17118012</v>
      </c>
      <c r="X61" s="112">
        <f>W61*VLOOKUP($A61,'CONVERSION FACTORS'!$A$1:$E$41,5,FALSE)</f>
        <v>0</v>
      </c>
      <c r="Y61" s="113">
        <f t="shared" si="11"/>
        <v>0</v>
      </c>
      <c r="Z61" s="113"/>
      <c r="AA61" s="113"/>
      <c r="AB61" s="113"/>
      <c r="AC61" s="113"/>
      <c r="AD61" s="16"/>
    </row>
    <row r="62" spans="1:30" x14ac:dyDescent="0.2">
      <c r="A62" s="16" t="s">
        <v>79</v>
      </c>
      <c r="B62" s="16" t="s">
        <v>18</v>
      </c>
      <c r="C62" s="16" t="s">
        <v>79</v>
      </c>
      <c r="D62" s="16" t="s">
        <v>18</v>
      </c>
      <c r="F62" s="112">
        <f t="shared" si="0"/>
        <v>0</v>
      </c>
      <c r="G62" s="112">
        <f>F62*VLOOKUP($A62,'CONVERSION FACTORS'!$A$1:$E$41,5,FALSE)</f>
        <v>0</v>
      </c>
      <c r="H62" s="112">
        <f t="shared" si="1"/>
        <v>0</v>
      </c>
      <c r="I62" s="112">
        <f>H62*VLOOKUP($A62,'CONVERSION FACTORS'!$A$1:$E$41,5,FALSE)</f>
        <v>0</v>
      </c>
      <c r="J62" s="113" t="str">
        <f t="shared" si="2"/>
        <v/>
      </c>
      <c r="K62" s="112">
        <f t="shared" si="3"/>
        <v>0</v>
      </c>
      <c r="L62" s="112">
        <f>K62*VLOOKUP($A62,'CONVERSION FACTORS'!$A$1:$E$41,5,FALSE)</f>
        <v>0</v>
      </c>
      <c r="M62" s="112">
        <f t="shared" si="4"/>
        <v>0</v>
      </c>
      <c r="N62" s="112">
        <f>M62*VLOOKUP($A62,'CONVERSION FACTORS'!$A$1:$E$41,5,FALSE)</f>
        <v>0</v>
      </c>
      <c r="O62" s="113" t="str">
        <f t="shared" si="5"/>
        <v/>
      </c>
      <c r="P62" s="112">
        <f t="shared" si="6"/>
        <v>0</v>
      </c>
      <c r="Q62" s="112">
        <f>P62*VLOOKUP($A62,'CONVERSION FACTORS'!$A$1:$E$41,5,FALSE)</f>
        <v>0</v>
      </c>
      <c r="R62" s="112">
        <f t="shared" si="7"/>
        <v>0</v>
      </c>
      <c r="S62" s="112">
        <f>R62*VLOOKUP($A62,'CONVERSION FACTORS'!$A$1:$E$41,5,FALSE)</f>
        <v>0</v>
      </c>
      <c r="T62" s="113" t="str">
        <f t="shared" si="8"/>
        <v/>
      </c>
      <c r="U62" s="112">
        <f t="shared" si="9"/>
        <v>0</v>
      </c>
      <c r="V62" s="112">
        <f>U62*VLOOKUP($A62,'CONVERSION FACTORS'!$A$1:$E$41,5,FALSE)</f>
        <v>0</v>
      </c>
      <c r="W62" s="112">
        <f t="shared" si="10"/>
        <v>0</v>
      </c>
      <c r="X62" s="112">
        <f>W62*VLOOKUP($A62,'CONVERSION FACTORS'!$A$1:$E$41,5,FALSE)</f>
        <v>0</v>
      </c>
      <c r="Y62" s="113" t="str">
        <f t="shared" si="11"/>
        <v/>
      </c>
      <c r="Z62" s="111"/>
      <c r="AA62" s="111"/>
      <c r="AB62" s="111"/>
      <c r="AC62" s="111"/>
      <c r="AD62" s="16"/>
    </row>
    <row r="63" spans="1:30" x14ac:dyDescent="0.2">
      <c r="A63" s="67" t="s">
        <v>100</v>
      </c>
      <c r="B63" s="67" t="s">
        <v>0</v>
      </c>
      <c r="C63" s="67" t="s">
        <v>100</v>
      </c>
      <c r="D63" s="67" t="s">
        <v>1</v>
      </c>
      <c r="E63" s="110" t="str">
        <f>"VOL="&amp;A63</f>
        <v>VOL=PETROCHEMICALS</v>
      </c>
      <c r="F63" s="112">
        <f t="shared" si="0"/>
        <v>0</v>
      </c>
      <c r="G63" s="112">
        <f>F63*VLOOKUP($A63,'CONVERSION FACTORS'!$A$1:$E$41,5,FALSE)</f>
        <v>0</v>
      </c>
      <c r="H63" s="112">
        <f t="shared" si="1"/>
        <v>81200</v>
      </c>
      <c r="I63" s="112">
        <f>H63*VLOOKUP($A63,'CONVERSION FACTORS'!$A$1:$E$41,5,FALSE)</f>
        <v>365400</v>
      </c>
      <c r="J63" s="113">
        <f t="shared" si="2"/>
        <v>0</v>
      </c>
      <c r="K63" s="112">
        <f t="shared" si="3"/>
        <v>64000</v>
      </c>
      <c r="L63" s="112">
        <f>K63*VLOOKUP($A63,'CONVERSION FACTORS'!$A$1:$E$41,5,FALSE)</f>
        <v>288000</v>
      </c>
      <c r="M63" s="112">
        <f t="shared" si="4"/>
        <v>1219986.2399999998</v>
      </c>
      <c r="N63" s="112">
        <f>M63*VLOOKUP($A63,'CONVERSION FACTORS'!$A$1:$E$41,5,FALSE)</f>
        <v>5489938.0799999991</v>
      </c>
      <c r="O63" s="113">
        <f t="shared" si="5"/>
        <v>4.9844770922155689E-2</v>
      </c>
      <c r="P63" s="112">
        <f t="shared" si="6"/>
        <v>64000</v>
      </c>
      <c r="Q63" s="112">
        <f>P63*VLOOKUP($A63,'CONVERSION FACTORS'!$A$1:$E$41,5,FALSE)</f>
        <v>288000</v>
      </c>
      <c r="R63" s="112">
        <f t="shared" si="7"/>
        <v>1219986.2399999998</v>
      </c>
      <c r="S63" s="112">
        <f>R63*VLOOKUP($A63,'CONVERSION FACTORS'!$A$1:$E$41,5,FALSE)</f>
        <v>5489938.0799999991</v>
      </c>
      <c r="T63" s="113">
        <f t="shared" si="8"/>
        <v>4.9844770922155689E-2</v>
      </c>
      <c r="U63" s="112">
        <f t="shared" si="9"/>
        <v>64000</v>
      </c>
      <c r="V63" s="112">
        <f>U63*VLOOKUP($A63,'CONVERSION FACTORS'!$A$1:$E$41,5,FALSE)</f>
        <v>288000</v>
      </c>
      <c r="W63" s="112">
        <f t="shared" si="10"/>
        <v>1219986.2399999998</v>
      </c>
      <c r="X63" s="112">
        <f>W63*VLOOKUP($A63,'CONVERSION FACTORS'!$A$1:$E$41,5,FALSE)</f>
        <v>5489938.0799999991</v>
      </c>
      <c r="Y63" s="113">
        <f t="shared" si="11"/>
        <v>4.9844770922155689E-2</v>
      </c>
      <c r="Z63" s="113"/>
      <c r="AA63" s="113"/>
      <c r="AB63" s="113"/>
      <c r="AC63" s="113"/>
      <c r="AD63" s="16"/>
    </row>
    <row r="64" spans="1:30" x14ac:dyDescent="0.2">
      <c r="A64" s="16" t="s">
        <v>79</v>
      </c>
      <c r="B64" s="16" t="s">
        <v>18</v>
      </c>
      <c r="C64" s="16" t="s">
        <v>79</v>
      </c>
      <c r="D64" s="16" t="s">
        <v>18</v>
      </c>
      <c r="F64" s="112">
        <f t="shared" si="0"/>
        <v>0</v>
      </c>
      <c r="G64" s="112">
        <f>F64*VLOOKUP($A64,'CONVERSION FACTORS'!$A$1:$E$41,5,FALSE)</f>
        <v>0</v>
      </c>
      <c r="H64" s="112">
        <f t="shared" si="1"/>
        <v>0</v>
      </c>
      <c r="I64" s="112">
        <f>H64*VLOOKUP($A64,'CONVERSION FACTORS'!$A$1:$E$41,5,FALSE)</f>
        <v>0</v>
      </c>
      <c r="J64" s="113" t="str">
        <f t="shared" si="2"/>
        <v/>
      </c>
      <c r="K64" s="112">
        <f t="shared" si="3"/>
        <v>0</v>
      </c>
      <c r="L64" s="112">
        <f>K64*VLOOKUP($A64,'CONVERSION FACTORS'!$A$1:$E$41,5,FALSE)</f>
        <v>0</v>
      </c>
      <c r="M64" s="112">
        <f t="shared" si="4"/>
        <v>0</v>
      </c>
      <c r="N64" s="112">
        <f>M64*VLOOKUP($A64,'CONVERSION FACTORS'!$A$1:$E$41,5,FALSE)</f>
        <v>0</v>
      </c>
      <c r="O64" s="113" t="str">
        <f t="shared" si="5"/>
        <v/>
      </c>
      <c r="P64" s="112">
        <f t="shared" si="6"/>
        <v>0</v>
      </c>
      <c r="Q64" s="112">
        <f>P64*VLOOKUP($A64,'CONVERSION FACTORS'!$A$1:$E$41,5,FALSE)</f>
        <v>0</v>
      </c>
      <c r="R64" s="112">
        <f t="shared" si="7"/>
        <v>0</v>
      </c>
      <c r="S64" s="112">
        <f>R64*VLOOKUP($A64,'CONVERSION FACTORS'!$A$1:$E$41,5,FALSE)</f>
        <v>0</v>
      </c>
      <c r="T64" s="113" t="str">
        <f t="shared" si="8"/>
        <v/>
      </c>
      <c r="U64" s="112">
        <f t="shared" si="9"/>
        <v>0</v>
      </c>
      <c r="V64" s="112">
        <f>U64*VLOOKUP($A64,'CONVERSION FACTORS'!$A$1:$E$41,5,FALSE)</f>
        <v>0</v>
      </c>
      <c r="W64" s="112">
        <f t="shared" si="10"/>
        <v>0</v>
      </c>
      <c r="X64" s="112">
        <f>W64*VLOOKUP($A64,'CONVERSION FACTORS'!$A$1:$E$41,5,FALSE)</f>
        <v>0</v>
      </c>
      <c r="Y64" s="113" t="str">
        <f t="shared" si="11"/>
        <v/>
      </c>
      <c r="Z64" s="111"/>
      <c r="AA64" s="111"/>
      <c r="AB64" s="111"/>
      <c r="AC64" s="111"/>
      <c r="AD64" s="16"/>
    </row>
    <row r="65" spans="1:30" x14ac:dyDescent="0.2">
      <c r="A65" s="67" t="s">
        <v>83</v>
      </c>
      <c r="B65" s="67" t="s">
        <v>0</v>
      </c>
      <c r="C65" s="67" t="s">
        <v>83</v>
      </c>
      <c r="D65" s="67" t="s">
        <v>1</v>
      </c>
      <c r="E65" s="110" t="str">
        <f>"VOL="&amp;A65</f>
        <v>VOL=COAL</v>
      </c>
      <c r="F65" s="112">
        <f t="shared" si="0"/>
        <v>0</v>
      </c>
      <c r="G65" s="112">
        <f>F65*VLOOKUP($A65,'CONVERSION FACTORS'!$A$1:$E$41,5,FALSE)</f>
        <v>0</v>
      </c>
      <c r="H65" s="112">
        <f t="shared" si="1"/>
        <v>23250</v>
      </c>
      <c r="I65" s="112">
        <f>H65*VLOOKUP($A65,'CONVERSION FACTORS'!$A$1:$E$41,5,FALSE)</f>
        <v>452600.00000000006</v>
      </c>
      <c r="J65" s="113">
        <f t="shared" si="2"/>
        <v>0</v>
      </c>
      <c r="K65" s="112">
        <f t="shared" si="3"/>
        <v>882750</v>
      </c>
      <c r="L65" s="112">
        <f>K65*VLOOKUP($A65,'CONVERSION FACTORS'!$A$1:$E$41,5,FALSE)</f>
        <v>17184200</v>
      </c>
      <c r="M65" s="112">
        <f t="shared" si="4"/>
        <v>2437592</v>
      </c>
      <c r="N65" s="112">
        <f>M65*VLOOKUP($A65,'CONVERSION FACTORS'!$A$1:$E$41,5,FALSE)</f>
        <v>47451790.933333337</v>
      </c>
      <c r="O65" s="113">
        <f t="shared" si="5"/>
        <v>0.26586116731348758</v>
      </c>
      <c r="P65" s="112">
        <f t="shared" si="6"/>
        <v>882750</v>
      </c>
      <c r="Q65" s="112">
        <f>P65*VLOOKUP($A65,'CONVERSION FACTORS'!$A$1:$E$41,5,FALSE)</f>
        <v>17184200</v>
      </c>
      <c r="R65" s="112">
        <f t="shared" si="7"/>
        <v>2437592</v>
      </c>
      <c r="S65" s="112">
        <f>R65*VLOOKUP($A65,'CONVERSION FACTORS'!$A$1:$E$41,5,FALSE)</f>
        <v>47451790.933333337</v>
      </c>
      <c r="T65" s="113">
        <f t="shared" si="8"/>
        <v>0.26586116731348758</v>
      </c>
      <c r="U65" s="112">
        <f t="shared" si="9"/>
        <v>1513500</v>
      </c>
      <c r="V65" s="112">
        <f>U65*VLOOKUP($A65,'CONVERSION FACTORS'!$A$1:$E$41,5,FALSE)</f>
        <v>29462800.000000004</v>
      </c>
      <c r="W65" s="112">
        <f t="shared" si="10"/>
        <v>8422542.0999999996</v>
      </c>
      <c r="X65" s="112">
        <f>W65*VLOOKUP($A65,'CONVERSION FACTORS'!$A$1:$E$41,5,FALSE)</f>
        <v>163958819.54666668</v>
      </c>
      <c r="Y65" s="113">
        <f t="shared" si="11"/>
        <v>0.15232423381136842</v>
      </c>
      <c r="Z65" s="113"/>
      <c r="AA65" s="113"/>
      <c r="AB65" s="113"/>
      <c r="AC65" s="113"/>
      <c r="AD65" s="16"/>
    </row>
    <row r="66" spans="1:30" x14ac:dyDescent="0.2">
      <c r="A66" s="16" t="s">
        <v>79</v>
      </c>
      <c r="B66" s="16" t="s">
        <v>18</v>
      </c>
      <c r="C66" s="16" t="s">
        <v>79</v>
      </c>
      <c r="D66" s="16" t="s">
        <v>18</v>
      </c>
      <c r="F66" s="112">
        <f t="shared" si="0"/>
        <v>0</v>
      </c>
      <c r="G66" s="112">
        <f>F66*VLOOKUP($A66,'CONVERSION FACTORS'!$A$1:$E$41,5,FALSE)</f>
        <v>0</v>
      </c>
      <c r="H66" s="112">
        <f t="shared" si="1"/>
        <v>0</v>
      </c>
      <c r="I66" s="112">
        <f>H66*VLOOKUP($A66,'CONVERSION FACTORS'!$A$1:$E$41,5,FALSE)</f>
        <v>0</v>
      </c>
      <c r="J66" s="113" t="str">
        <f t="shared" si="2"/>
        <v/>
      </c>
      <c r="K66" s="112">
        <f t="shared" si="3"/>
        <v>0</v>
      </c>
      <c r="L66" s="112">
        <f>K66*VLOOKUP($A66,'CONVERSION FACTORS'!$A$1:$E$41,5,FALSE)</f>
        <v>0</v>
      </c>
      <c r="M66" s="112">
        <f t="shared" si="4"/>
        <v>0</v>
      </c>
      <c r="N66" s="112">
        <f>M66*VLOOKUP($A66,'CONVERSION FACTORS'!$A$1:$E$41,5,FALSE)</f>
        <v>0</v>
      </c>
      <c r="O66" s="113" t="str">
        <f t="shared" si="5"/>
        <v/>
      </c>
      <c r="P66" s="112">
        <f t="shared" si="6"/>
        <v>0</v>
      </c>
      <c r="Q66" s="112">
        <f>P66*VLOOKUP($A66,'CONVERSION FACTORS'!$A$1:$E$41,5,FALSE)</f>
        <v>0</v>
      </c>
      <c r="R66" s="112">
        <f t="shared" si="7"/>
        <v>0</v>
      </c>
      <c r="S66" s="112">
        <f>R66*VLOOKUP($A66,'CONVERSION FACTORS'!$A$1:$E$41,5,FALSE)</f>
        <v>0</v>
      </c>
      <c r="T66" s="113" t="str">
        <f t="shared" si="8"/>
        <v/>
      </c>
      <c r="U66" s="112">
        <f t="shared" si="9"/>
        <v>0</v>
      </c>
      <c r="V66" s="112">
        <f>U66*VLOOKUP($A66,'CONVERSION FACTORS'!$A$1:$E$41,5,FALSE)</f>
        <v>0</v>
      </c>
      <c r="W66" s="112">
        <f t="shared" si="10"/>
        <v>0</v>
      </c>
      <c r="X66" s="112">
        <f>W66*VLOOKUP($A66,'CONVERSION FACTORS'!$A$1:$E$41,5,FALSE)</f>
        <v>0</v>
      </c>
      <c r="Y66" s="113" t="str">
        <f t="shared" si="11"/>
        <v/>
      </c>
      <c r="Z66" s="113"/>
      <c r="AA66" s="113"/>
      <c r="AB66" s="113"/>
      <c r="AC66" s="113"/>
      <c r="AD66" s="16"/>
    </row>
    <row r="67" spans="1:30" x14ac:dyDescent="0.2">
      <c r="A67" s="67" t="s">
        <v>105</v>
      </c>
      <c r="B67" s="67" t="s">
        <v>0</v>
      </c>
      <c r="C67" s="67" t="s">
        <v>105</v>
      </c>
      <c r="D67" s="67" t="s">
        <v>1</v>
      </c>
      <c r="E67" s="110" t="str">
        <f>"VOL="&amp;A67</f>
        <v>VOL=EMISSIONS</v>
      </c>
      <c r="F67" s="112">
        <f t="shared" si="0"/>
        <v>12500</v>
      </c>
      <c r="G67" s="112">
        <f>F67*VLOOKUP($A67,'CONVERSION FACTORS'!$A$1:$E$41,5,FALSE)</f>
        <v>0</v>
      </c>
      <c r="H67" s="112">
        <f t="shared" si="1"/>
        <v>102500</v>
      </c>
      <c r="I67" s="112">
        <f>H67*VLOOKUP($A67,'CONVERSION FACTORS'!$A$1:$E$41,5,FALSE)</f>
        <v>0</v>
      </c>
      <c r="J67" s="113">
        <f t="shared" si="2"/>
        <v>0.10869565217391304</v>
      </c>
      <c r="K67" s="112">
        <f t="shared" si="3"/>
        <v>80000</v>
      </c>
      <c r="L67" s="112">
        <f>K67*VLOOKUP($A67,'CONVERSION FACTORS'!$A$1:$E$41,5,FALSE)</f>
        <v>0</v>
      </c>
      <c r="M67" s="112">
        <f t="shared" si="4"/>
        <v>681424</v>
      </c>
      <c r="N67" s="112">
        <f>M67*VLOOKUP($A67,'CONVERSION FACTORS'!$A$1:$E$41,5,FALSE)</f>
        <v>0</v>
      </c>
      <c r="O67" s="113">
        <f t="shared" si="5"/>
        <v>0.10506629683330182</v>
      </c>
      <c r="P67" s="112">
        <f t="shared" si="6"/>
        <v>80000</v>
      </c>
      <c r="Q67" s="112">
        <f>P67*VLOOKUP($A67,'CONVERSION FACTORS'!$A$1:$E$41,5,FALSE)</f>
        <v>0</v>
      </c>
      <c r="R67" s="112">
        <f t="shared" si="7"/>
        <v>681424</v>
      </c>
      <c r="S67" s="112">
        <f>R67*VLOOKUP($A67,'CONVERSION FACTORS'!$A$1:$E$41,5,FALSE)</f>
        <v>0</v>
      </c>
      <c r="T67" s="113">
        <f t="shared" si="8"/>
        <v>0.10506629683330182</v>
      </c>
      <c r="U67" s="112">
        <f t="shared" si="9"/>
        <v>80000</v>
      </c>
      <c r="V67" s="112">
        <f>U67*VLOOKUP($A67,'CONVERSION FACTORS'!$A$1:$E$41,5,FALSE)</f>
        <v>0</v>
      </c>
      <c r="W67" s="112">
        <f t="shared" si="10"/>
        <v>681424</v>
      </c>
      <c r="X67" s="112">
        <f>W67*VLOOKUP($A67,'CONVERSION FACTORS'!$A$1:$E$41,5,FALSE)</f>
        <v>0</v>
      </c>
      <c r="Y67" s="113">
        <f t="shared" si="11"/>
        <v>0.10506629683330182</v>
      </c>
      <c r="Z67" s="113"/>
      <c r="AA67" s="113"/>
      <c r="AB67" s="113"/>
      <c r="AC67" s="113"/>
      <c r="AD67" s="16"/>
    </row>
    <row r="68" spans="1:30" x14ac:dyDescent="0.2">
      <c r="A68" s="16" t="s">
        <v>79</v>
      </c>
      <c r="B68" s="16" t="s">
        <v>18</v>
      </c>
      <c r="C68" s="16" t="s">
        <v>79</v>
      </c>
      <c r="D68" s="16" t="s">
        <v>18</v>
      </c>
      <c r="F68" s="112">
        <f t="shared" si="0"/>
        <v>0</v>
      </c>
      <c r="G68" s="112">
        <f>F68*VLOOKUP($A68,'CONVERSION FACTORS'!$A$1:$E$41,5,FALSE)</f>
        <v>0</v>
      </c>
      <c r="H68" s="112">
        <f t="shared" si="1"/>
        <v>0</v>
      </c>
      <c r="I68" s="112">
        <f>H68*VLOOKUP($A68,'CONVERSION FACTORS'!$A$1:$E$41,5,FALSE)</f>
        <v>0</v>
      </c>
      <c r="J68" s="113" t="str">
        <f t="shared" si="2"/>
        <v/>
      </c>
      <c r="K68" s="112">
        <f t="shared" si="3"/>
        <v>0</v>
      </c>
      <c r="L68" s="112">
        <f>K68*VLOOKUP($A68,'CONVERSION FACTORS'!$A$1:$E$41,5,FALSE)</f>
        <v>0</v>
      </c>
      <c r="M68" s="112">
        <f t="shared" si="4"/>
        <v>0</v>
      </c>
      <c r="N68" s="112">
        <f>M68*VLOOKUP($A68,'CONVERSION FACTORS'!$A$1:$E$41,5,FALSE)</f>
        <v>0</v>
      </c>
      <c r="O68" s="113" t="str">
        <f t="shared" si="5"/>
        <v/>
      </c>
      <c r="P68" s="112">
        <f t="shared" si="6"/>
        <v>0</v>
      </c>
      <c r="Q68" s="112">
        <f>P68*VLOOKUP($A68,'CONVERSION FACTORS'!$A$1:$E$41,5,FALSE)</f>
        <v>0</v>
      </c>
      <c r="R68" s="112">
        <f t="shared" si="7"/>
        <v>0</v>
      </c>
      <c r="S68" s="112">
        <f>R68*VLOOKUP($A68,'CONVERSION FACTORS'!$A$1:$E$41,5,FALSE)</f>
        <v>0</v>
      </c>
      <c r="T68" s="113" t="str">
        <f t="shared" si="8"/>
        <v/>
      </c>
      <c r="U68" s="112">
        <f t="shared" si="9"/>
        <v>0</v>
      </c>
      <c r="V68" s="112">
        <f>U68*VLOOKUP($A68,'CONVERSION FACTORS'!$A$1:$E$41,5,FALSE)</f>
        <v>0</v>
      </c>
      <c r="W68" s="112">
        <f t="shared" si="10"/>
        <v>0</v>
      </c>
      <c r="X68" s="112">
        <f>W68*VLOOKUP($A68,'CONVERSION FACTORS'!$A$1:$E$41,5,FALSE)</f>
        <v>0</v>
      </c>
      <c r="Y68" s="113" t="str">
        <f t="shared" si="11"/>
        <v/>
      </c>
      <c r="Z68" s="113"/>
      <c r="AA68" s="113"/>
      <c r="AB68" s="113"/>
      <c r="AC68" s="113"/>
      <c r="AD68" s="16"/>
    </row>
    <row r="69" spans="1:30" x14ac:dyDescent="0.2">
      <c r="A69" s="67" t="s">
        <v>84</v>
      </c>
      <c r="B69" s="67" t="s">
        <v>0</v>
      </c>
      <c r="C69" s="67" t="s">
        <v>84</v>
      </c>
      <c r="D69" s="67" t="s">
        <v>1</v>
      </c>
      <c r="E69" s="110" t="str">
        <f>"VOL="&amp;A69</f>
        <v>VOL=PAPER &amp; PULP</v>
      </c>
      <c r="F69" s="112">
        <f t="shared" si="0"/>
        <v>0</v>
      </c>
      <c r="G69" s="112">
        <f>F69*VLOOKUP($A69,'CONVERSION FACTORS'!$A$1:$E$41,5,FALSE)</f>
        <v>0</v>
      </c>
      <c r="H69" s="112">
        <f t="shared" si="1"/>
        <v>0</v>
      </c>
      <c r="I69" s="112">
        <f>H69*VLOOKUP($A69,'CONVERSION FACTORS'!$A$1:$E$41,5,FALSE)</f>
        <v>0</v>
      </c>
      <c r="J69" s="113" t="str">
        <f t="shared" si="2"/>
        <v/>
      </c>
      <c r="K69" s="112">
        <f t="shared" si="3"/>
        <v>750</v>
      </c>
      <c r="L69" s="112">
        <f>K69*VLOOKUP($A69,'CONVERSION FACTORS'!$A$1:$E$41,5,FALSE)</f>
        <v>0</v>
      </c>
      <c r="M69" s="112">
        <f t="shared" si="4"/>
        <v>308227</v>
      </c>
      <c r="N69" s="112">
        <f>M69*VLOOKUP($A69,'CONVERSION FACTORS'!$A$1:$E$41,5,FALSE)</f>
        <v>0</v>
      </c>
      <c r="O69" s="113">
        <f t="shared" si="5"/>
        <v>2.4273651436838343E-3</v>
      </c>
      <c r="P69" s="112">
        <f t="shared" si="6"/>
        <v>750</v>
      </c>
      <c r="Q69" s="112">
        <f>P69*VLOOKUP($A69,'CONVERSION FACTORS'!$A$1:$E$41,5,FALSE)</f>
        <v>0</v>
      </c>
      <c r="R69" s="112">
        <f t="shared" si="7"/>
        <v>308227</v>
      </c>
      <c r="S69" s="112">
        <f>R69*VLOOKUP($A69,'CONVERSION FACTORS'!$A$1:$E$41,5,FALSE)</f>
        <v>0</v>
      </c>
      <c r="T69" s="113">
        <f t="shared" si="8"/>
        <v>2.4273651436838343E-3</v>
      </c>
      <c r="U69" s="112">
        <f t="shared" si="9"/>
        <v>2550</v>
      </c>
      <c r="V69" s="112">
        <f>U69*VLOOKUP($A69,'CONVERSION FACTORS'!$A$1:$E$41,5,FALSE)</f>
        <v>0</v>
      </c>
      <c r="W69" s="112">
        <f t="shared" si="10"/>
        <v>535141.04</v>
      </c>
      <c r="X69" s="112">
        <f>W69*VLOOKUP($A69,'CONVERSION FACTORS'!$A$1:$E$41,5,FALSE)</f>
        <v>0</v>
      </c>
      <c r="Y69" s="113">
        <f t="shared" si="11"/>
        <v>4.7425004515604351E-3</v>
      </c>
      <c r="Z69" s="113"/>
      <c r="AA69" s="113"/>
      <c r="AB69" s="113"/>
      <c r="AC69" s="113"/>
      <c r="AD69" s="16"/>
    </row>
    <row r="70" spans="1:30" x14ac:dyDescent="0.2">
      <c r="A70" s="16" t="s">
        <v>79</v>
      </c>
      <c r="B70" s="16" t="s">
        <v>18</v>
      </c>
      <c r="C70" s="16" t="s">
        <v>79</v>
      </c>
      <c r="D70" s="16" t="s">
        <v>18</v>
      </c>
      <c r="F70" s="112">
        <f t="shared" si="0"/>
        <v>0</v>
      </c>
      <c r="G70" s="112">
        <f>F70*VLOOKUP($A70,'CONVERSION FACTORS'!$A$1:$E$41,5,FALSE)</f>
        <v>0</v>
      </c>
      <c r="H70" s="112">
        <f t="shared" si="1"/>
        <v>0</v>
      </c>
      <c r="I70" s="112">
        <f>H70*VLOOKUP($A70,'CONVERSION FACTORS'!$A$1:$E$41,5,FALSE)</f>
        <v>0</v>
      </c>
      <c r="J70" s="113" t="str">
        <f t="shared" si="2"/>
        <v/>
      </c>
      <c r="K70" s="112">
        <f t="shared" si="3"/>
        <v>0</v>
      </c>
      <c r="L70" s="112">
        <f>K70*VLOOKUP($A70,'CONVERSION FACTORS'!$A$1:$E$41,5,FALSE)</f>
        <v>0</v>
      </c>
      <c r="M70" s="112">
        <f t="shared" si="4"/>
        <v>0</v>
      </c>
      <c r="N70" s="112">
        <f>M70*VLOOKUP($A70,'CONVERSION FACTORS'!$A$1:$E$41,5,FALSE)</f>
        <v>0</v>
      </c>
      <c r="O70" s="113" t="str">
        <f t="shared" si="5"/>
        <v/>
      </c>
      <c r="P70" s="112">
        <f t="shared" si="6"/>
        <v>0</v>
      </c>
      <c r="Q70" s="112">
        <f>P70*VLOOKUP($A70,'CONVERSION FACTORS'!$A$1:$E$41,5,FALSE)</f>
        <v>0</v>
      </c>
      <c r="R70" s="112">
        <f t="shared" si="7"/>
        <v>0</v>
      </c>
      <c r="S70" s="112">
        <f>R70*VLOOKUP($A70,'CONVERSION FACTORS'!$A$1:$E$41,5,FALSE)</f>
        <v>0</v>
      </c>
      <c r="T70" s="113" t="str">
        <f t="shared" si="8"/>
        <v/>
      </c>
      <c r="U70" s="112">
        <f t="shared" si="9"/>
        <v>0</v>
      </c>
      <c r="V70" s="112">
        <f>U70*VLOOKUP($A70,'CONVERSION FACTORS'!$A$1:$E$41,5,FALSE)</f>
        <v>0</v>
      </c>
      <c r="W70" s="112">
        <f t="shared" si="10"/>
        <v>0</v>
      </c>
      <c r="X70" s="112">
        <f>W70*VLOOKUP($A70,'CONVERSION FACTORS'!$A$1:$E$41,5,FALSE)</f>
        <v>0</v>
      </c>
      <c r="Y70" s="113" t="str">
        <f t="shared" si="11"/>
        <v/>
      </c>
      <c r="Z70" s="111"/>
      <c r="AA70" s="111"/>
      <c r="AB70" s="111"/>
      <c r="AC70" s="111"/>
      <c r="AD70" s="16"/>
    </row>
    <row r="71" spans="1:30" x14ac:dyDescent="0.2">
      <c r="A71" s="67" t="s">
        <v>106</v>
      </c>
      <c r="B71" s="67" t="s">
        <v>0</v>
      </c>
      <c r="C71" s="67" t="s">
        <v>106</v>
      </c>
      <c r="D71" s="67" t="s">
        <v>1</v>
      </c>
      <c r="E71" s="110" t="str">
        <f>"VOL="&amp;A71</f>
        <v>VOL=WEATHER</v>
      </c>
      <c r="F71" s="112">
        <f t="shared" si="0"/>
        <v>1</v>
      </c>
      <c r="G71" s="112">
        <f>F71*VLOOKUP($A71,'CONVERSION FACTORS'!$A$1:$E$41,5,FALSE)</f>
        <v>0</v>
      </c>
      <c r="H71" s="112">
        <f t="shared" si="1"/>
        <v>2</v>
      </c>
      <c r="I71" s="112">
        <f>H71*VLOOKUP($A71,'CONVERSION FACTORS'!$A$1:$E$41,5,FALSE)</f>
        <v>0</v>
      </c>
      <c r="J71" s="113">
        <f t="shared" si="2"/>
        <v>0.33333333333333331</v>
      </c>
      <c r="K71" s="112">
        <f t="shared" si="3"/>
        <v>29</v>
      </c>
      <c r="L71" s="112">
        <f>K71*VLOOKUP($A71,'CONVERSION FACTORS'!$A$1:$E$41,5,FALSE)</f>
        <v>0</v>
      </c>
      <c r="M71" s="112">
        <f t="shared" si="4"/>
        <v>12</v>
      </c>
      <c r="N71" s="112">
        <f>M71*VLOOKUP($A71,'CONVERSION FACTORS'!$A$1:$E$41,5,FALSE)</f>
        <v>0</v>
      </c>
      <c r="O71" s="113">
        <f t="shared" si="5"/>
        <v>0.70731707317073167</v>
      </c>
      <c r="P71" s="112">
        <f t="shared" si="6"/>
        <v>29</v>
      </c>
      <c r="Q71" s="112">
        <f>P71*VLOOKUP($A71,'CONVERSION FACTORS'!$A$1:$E$41,5,FALSE)</f>
        <v>0</v>
      </c>
      <c r="R71" s="112">
        <f t="shared" si="7"/>
        <v>12</v>
      </c>
      <c r="S71" s="112">
        <f>R71*VLOOKUP($A71,'CONVERSION FACTORS'!$A$1:$E$41,5,FALSE)</f>
        <v>0</v>
      </c>
      <c r="T71" s="113">
        <f t="shared" si="8"/>
        <v>0.70731707317073167</v>
      </c>
      <c r="U71" s="112">
        <f t="shared" si="9"/>
        <v>29</v>
      </c>
      <c r="V71" s="112">
        <f>U71*VLOOKUP($A71,'CONVERSION FACTORS'!$A$1:$E$41,5,FALSE)</f>
        <v>0</v>
      </c>
      <c r="W71" s="112">
        <f t="shared" si="10"/>
        <v>12</v>
      </c>
      <c r="X71" s="112">
        <f>W71*VLOOKUP($A71,'CONVERSION FACTORS'!$A$1:$E$41,5,FALSE)</f>
        <v>0</v>
      </c>
      <c r="Y71" s="113">
        <f t="shared" si="11"/>
        <v>0.70731707317073167</v>
      </c>
      <c r="Z71" s="113"/>
      <c r="AA71" s="113"/>
      <c r="AB71" s="113"/>
      <c r="AC71" s="113"/>
      <c r="AD71" s="16"/>
    </row>
    <row r="72" spans="1:30" s="1" customFormat="1" x14ac:dyDescent="0.2">
      <c r="A72" s="1" t="s">
        <v>158</v>
      </c>
      <c r="B72" s="122"/>
      <c r="C72" s="122"/>
      <c r="D72" s="122"/>
      <c r="E72" s="1" t="str">
        <f>"VOL="&amp;A72</f>
        <v>VOL=MMBTU EQUIVALENT TOTALS</v>
      </c>
      <c r="F72" s="123">
        <f>SUM(G43:G71)</f>
        <v>158733572.72</v>
      </c>
      <c r="G72" s="123"/>
      <c r="H72" s="123"/>
      <c r="I72" s="123">
        <f>SUM(I43:I71)</f>
        <v>376840881.36373997</v>
      </c>
      <c r="J72" s="124">
        <f>IF((I72+F72)=0,"",F72/(I72+F72))</f>
        <v>0.29638002990930767</v>
      </c>
      <c r="K72" s="123">
        <f>SUM(L43:L71)</f>
        <v>1647146344.2369599</v>
      </c>
      <c r="L72" s="123"/>
      <c r="M72" s="123"/>
      <c r="N72" s="123">
        <f>SUM(N43:N71)</f>
        <v>5107328448.9638128</v>
      </c>
      <c r="O72" s="124">
        <f>IF((N72+K72)=0,"",K72/(N72+K72))</f>
        <v>0.24386001793877735</v>
      </c>
      <c r="P72" s="123">
        <f>SUM(Q43:Q71)</f>
        <v>1647146344.2439923</v>
      </c>
      <c r="Q72" s="123"/>
      <c r="R72" s="123"/>
      <c r="S72" s="123">
        <f>SUM(S43:S71)</f>
        <v>5107328448.9371996</v>
      </c>
      <c r="T72" s="124">
        <f>IF((S72+P72)=0,"",P72/(S72+P72))</f>
        <v>0.24386001794052542</v>
      </c>
      <c r="U72" s="123">
        <f>SUM(V43:V71)</f>
        <v>2574354234.6269598</v>
      </c>
      <c r="V72" s="123"/>
      <c r="W72" s="123"/>
      <c r="X72" s="123">
        <f>SUM(X43:X71)</f>
        <v>10399639431.617146</v>
      </c>
      <c r="Y72" s="124">
        <f>IF((X72+U72)=0,"",U72/(X72+U72))</f>
        <v>0.1984241938798649</v>
      </c>
      <c r="Z72" s="125"/>
      <c r="AA72" s="125"/>
      <c r="AB72" s="125"/>
      <c r="AC72" s="125"/>
      <c r="AD72" s="122"/>
    </row>
    <row r="73" spans="1:30" x14ac:dyDescent="0.2">
      <c r="AD73" s="16"/>
    </row>
    <row r="74" spans="1:30" x14ac:dyDescent="0.2">
      <c r="A74" s="118" t="s">
        <v>79</v>
      </c>
      <c r="B74" s="118" t="s">
        <v>18</v>
      </c>
      <c r="C74" s="118" t="s">
        <v>79</v>
      </c>
      <c r="D74" s="118" t="s">
        <v>18</v>
      </c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6"/>
    </row>
    <row r="75" spans="1:30" x14ac:dyDescent="0.2">
      <c r="A75" s="67" t="s">
        <v>74</v>
      </c>
      <c r="B75" s="67" t="s">
        <v>0</v>
      </c>
      <c r="C75" s="67" t="str">
        <f>A75</f>
        <v>GAS</v>
      </c>
      <c r="D75" s="67" t="s">
        <v>1</v>
      </c>
      <c r="E75" s="110" t="str">
        <f>"AMT="&amp;A75</f>
        <v>AMT=GAS</v>
      </c>
      <c r="F75" s="112">
        <f>ABS(DSUM(VARDATA2,H$6-1,$A74:$B75))+ABS(DSUM(VARDATA2,F$6-1,$A74:$B75))</f>
        <v>242965601.89999998</v>
      </c>
      <c r="G75" s="112"/>
      <c r="H75" s="112">
        <f>ABS(DSUM(VARDATA2,F$6-1,$C74:$D75))+ABS(DSUM(VARDATA2,H$6-1,$C74:$D75))</f>
        <v>451628602.84000003</v>
      </c>
      <c r="I75" s="112"/>
      <c r="J75" s="113">
        <f>IF((H75+F75)=0,"",F75/(H75+F75))</f>
        <v>0.34979503174943227</v>
      </c>
      <c r="K75" s="112">
        <f>ABS(DSUM(VARDATA2,M$6-1,$A74:$B75))+ABS(DSUM(VARDATA2,K$6-1,$A74:$B75))</f>
        <v>2204172115.5900002</v>
      </c>
      <c r="L75" s="112"/>
      <c r="M75" s="112">
        <f>ABS(DSUM(VARDATA2,K$6-1,$C74:$D75))+ABS(DSUM(VARDATA2,M$6-1,$C74:$D75))</f>
        <v>5648258055.9400005</v>
      </c>
      <c r="N75" s="112"/>
      <c r="O75" s="113">
        <f>IF((M75+K75)=0,"",K75/(M75+K75))</f>
        <v>0.2806993589808045</v>
      </c>
      <c r="P75" s="112">
        <f>ABS(DSUM(VARDATA2,R$6-1,$A74:$B75))+ABS(DSUM(VARDATA2,P$6-1,$A74:$B75))</f>
        <v>2204172115.581707</v>
      </c>
      <c r="Q75" s="112"/>
      <c r="R75" s="112">
        <f>ABS(DSUM(VARDATA2,P$6-1,$C74:$D75))+ABS(DSUM(VARDATA2,R$6-1,$C74:$D75))</f>
        <v>5648258055.9267445</v>
      </c>
      <c r="S75" s="112"/>
      <c r="T75" s="113">
        <f>IF((R75+P75)=0,"",P75/(R75+P75))</f>
        <v>0.28069935898051873</v>
      </c>
      <c r="U75" s="112">
        <f>ABS(DSUM(VARDATA2,W$6-1,$A74:$B75))+ABS(DSUM(VARDATA2,U$6-1,$A74:$B75))</f>
        <v>3340474562.8699999</v>
      </c>
      <c r="V75" s="112"/>
      <c r="W75" s="112">
        <f>ABS(DSUM(VARDATA2,U$6-1,$C74:$D75))+ABS(DSUM(VARDATA2,W$6-1,$C74:$D75))</f>
        <v>12553933586.15</v>
      </c>
      <c r="X75" s="112"/>
      <c r="Y75" s="113">
        <f>IF((W75+U75)=0,"",U75/(W75+U75))</f>
        <v>0.21016665304873042</v>
      </c>
      <c r="Z75" s="113"/>
      <c r="AA75" s="113"/>
      <c r="AB75" s="113"/>
      <c r="AC75" s="113"/>
      <c r="AD75" s="16"/>
    </row>
    <row r="76" spans="1:30" s="118" customFormat="1" x14ac:dyDescent="0.2">
      <c r="A76" s="118" t="s">
        <v>21</v>
      </c>
      <c r="B76" s="118" t="s">
        <v>18</v>
      </c>
      <c r="C76" s="118" t="s">
        <v>21</v>
      </c>
      <c r="D76" s="118" t="s">
        <v>18</v>
      </c>
      <c r="F76" s="119"/>
      <c r="G76" s="119"/>
      <c r="H76" s="120"/>
      <c r="I76" s="120"/>
      <c r="J76" s="119"/>
      <c r="K76" s="119"/>
      <c r="L76" s="119"/>
      <c r="M76" s="120"/>
      <c r="N76" s="120"/>
      <c r="O76" s="119"/>
      <c r="P76" s="119"/>
      <c r="Q76" s="119"/>
      <c r="R76" s="120"/>
      <c r="S76" s="120"/>
      <c r="T76" s="119"/>
      <c r="U76" s="119"/>
      <c r="V76" s="119"/>
      <c r="W76" s="120"/>
      <c r="X76" s="120"/>
      <c r="Y76" s="119"/>
      <c r="Z76" s="119"/>
      <c r="AA76" s="119"/>
      <c r="AB76" s="119"/>
      <c r="AC76" s="119"/>
    </row>
    <row r="77" spans="1:30" x14ac:dyDescent="0.2">
      <c r="A77" s="67" t="s">
        <v>22</v>
      </c>
      <c r="B77" s="67" t="s">
        <v>0</v>
      </c>
      <c r="C77" s="67" t="s">
        <v>22</v>
      </c>
      <c r="D77" s="67" t="s">
        <v>1</v>
      </c>
      <c r="E77" s="110" t="str">
        <f>"AMT="&amp;A77</f>
        <v>AMT=GAS-BASIS</v>
      </c>
      <c r="F77" s="112">
        <f>ABS(DSUM(VARDATA2,H$6-1,$A76:$B77))+ABS(DSUM(VARDATA2,F$6-1,$A76:$B77))</f>
        <v>5056675.0199999996</v>
      </c>
      <c r="G77" s="112"/>
      <c r="H77" s="112">
        <f>ABS(DSUM(VARDATA2,F$6-1,$C76:$D77))+ABS(DSUM(VARDATA2,H$6-1,$C76:$D77))</f>
        <v>8949650.3100000005</v>
      </c>
      <c r="I77" s="112"/>
      <c r="J77" s="113">
        <f>IF((H77+F77)=0,"",F77/(H77+F77))</f>
        <v>0.36102795707373447</v>
      </c>
      <c r="K77" s="112">
        <f>ABS(DSUM(VARDATA2,M$6-1,$A76:$B77))+ABS(DSUM(VARDATA2,K$6-1,$A76:$B77))</f>
        <v>48252512.519999996</v>
      </c>
      <c r="L77" s="112"/>
      <c r="M77" s="112">
        <f>ABS(DSUM(VARDATA2,K$6-1,$C76:$D77))+ABS(DSUM(VARDATA2,M$6-1,$C76:$D77))</f>
        <v>169664139.32999998</v>
      </c>
      <c r="N77" s="112"/>
      <c r="O77" s="113">
        <f>IF((M77+K77)=0,"",K77/(M77+K77))</f>
        <v>0.22142645874173017</v>
      </c>
      <c r="P77" s="112">
        <f>ABS(DSUM(VARDATA2,R$6-1,$A76:$B77))+ABS(DSUM(VARDATA2,P$6-1,$A76:$B77))</f>
        <v>48252512.515500002</v>
      </c>
      <c r="Q77" s="112"/>
      <c r="R77" s="112">
        <f>ABS(DSUM(VARDATA2,P$6-1,$C76:$D77))+ABS(DSUM(VARDATA2,R$6-1,$C76:$D77))</f>
        <v>169664139.33016932</v>
      </c>
      <c r="S77" s="112"/>
      <c r="T77" s="113">
        <f>IF((R77+P77)=0,"",P77/(R77+P77))</f>
        <v>0.2214264587254805</v>
      </c>
      <c r="U77" s="112">
        <f>ABS(DSUM(VARDATA2,W$6-1,$A76:$B77))+ABS(DSUM(VARDATA2,U$6-1,$A76:$B77))</f>
        <v>48252512.519999996</v>
      </c>
      <c r="V77" s="112"/>
      <c r="W77" s="112">
        <f>ABS(DSUM(VARDATA2,U$6-1,$C76:$D77))+ABS(DSUM(VARDATA2,W$6-1,$C76:$D77))</f>
        <v>169664139.32999998</v>
      </c>
      <c r="X77" s="112"/>
      <c r="Y77" s="113">
        <f>IF((W77+U77)=0,"",U77/(W77+U77))</f>
        <v>0.22142645874173017</v>
      </c>
      <c r="Z77" s="113"/>
      <c r="AA77" s="113"/>
      <c r="AB77" s="113"/>
      <c r="AC77" s="113"/>
      <c r="AD77" s="16"/>
    </row>
    <row r="78" spans="1:30" x14ac:dyDescent="0.2">
      <c r="A78" s="110" t="s">
        <v>178</v>
      </c>
      <c r="B78" s="67"/>
      <c r="C78" s="67"/>
      <c r="D78" s="67"/>
      <c r="E78" s="110" t="str">
        <f>"AMT="&amp;A78</f>
        <v>AMT=NORTH AMERICAN GAS (EXCL BASIS)</v>
      </c>
      <c r="F78" s="120">
        <f>F75-F77</f>
        <v>237908926.87999997</v>
      </c>
      <c r="G78" s="120"/>
      <c r="H78" s="120">
        <f>H75-H77</f>
        <v>442678952.53000003</v>
      </c>
      <c r="I78" s="120"/>
      <c r="J78" s="121">
        <f>IF((H78+F78)=0,"",F78/(H78+F78))</f>
        <v>0.34956386100534537</v>
      </c>
      <c r="K78" s="120">
        <f>K75-K77</f>
        <v>2155919603.0700002</v>
      </c>
      <c r="L78" s="120"/>
      <c r="M78" s="120">
        <f>M75-M77</f>
        <v>5478593916.6100006</v>
      </c>
      <c r="N78" s="120"/>
      <c r="O78" s="121">
        <f>IF((M78+K78)=0,"",K78/(M78+K78))</f>
        <v>0.28239122211422391</v>
      </c>
      <c r="P78" s="120">
        <f>P75-P77</f>
        <v>2155919603.0662069</v>
      </c>
      <c r="Q78" s="120"/>
      <c r="R78" s="120">
        <f>R75-R77</f>
        <v>5478593916.5965748</v>
      </c>
      <c r="S78" s="120"/>
      <c r="T78" s="121">
        <f>IF((R78+P78)=0,"",P78/(R78+P78))</f>
        <v>0.2823912221143639</v>
      </c>
      <c r="U78" s="120">
        <f>U75-U77</f>
        <v>3292222050.3499999</v>
      </c>
      <c r="V78" s="120"/>
      <c r="W78" s="120">
        <f>W75-W77</f>
        <v>12384269446.82</v>
      </c>
      <c r="X78" s="120"/>
      <c r="Y78" s="121">
        <f>IF((W78+U78)=0,"",U78/(W78+U78))</f>
        <v>0.21001013211051264</v>
      </c>
      <c r="Z78" s="113"/>
      <c r="AA78" s="113"/>
      <c r="AB78" s="113"/>
      <c r="AC78" s="113"/>
      <c r="AD78" s="16"/>
    </row>
    <row r="79" spans="1:30" x14ac:dyDescent="0.2">
      <c r="A79" s="16" t="s">
        <v>79</v>
      </c>
      <c r="B79" s="16" t="s">
        <v>18</v>
      </c>
      <c r="C79" s="16" t="s">
        <v>79</v>
      </c>
      <c r="D79" s="16" t="s">
        <v>18</v>
      </c>
      <c r="F79" s="111"/>
      <c r="G79" s="111"/>
      <c r="H79" s="112"/>
      <c r="I79" s="112"/>
      <c r="J79" s="111"/>
      <c r="K79" s="111"/>
      <c r="L79" s="111"/>
      <c r="M79" s="112"/>
      <c r="N79" s="112"/>
      <c r="O79" s="111"/>
      <c r="P79" s="111"/>
      <c r="Q79" s="111"/>
      <c r="R79" s="112"/>
      <c r="S79" s="112"/>
      <c r="T79" s="111"/>
      <c r="U79" s="111"/>
      <c r="V79" s="111"/>
      <c r="W79" s="112"/>
      <c r="X79" s="112"/>
      <c r="Y79" s="111"/>
      <c r="Z79" s="111"/>
      <c r="AA79" s="111"/>
      <c r="AB79" s="111"/>
      <c r="AC79" s="111"/>
      <c r="AD79" s="16"/>
    </row>
    <row r="80" spans="1:30" x14ac:dyDescent="0.2">
      <c r="A80" s="67" t="s">
        <v>167</v>
      </c>
      <c r="B80" s="67" t="s">
        <v>0</v>
      </c>
      <c r="C80" s="67" t="str">
        <f>A80</f>
        <v>CONTINENTAL GAS</v>
      </c>
      <c r="D80" s="67" t="s">
        <v>1</v>
      </c>
      <c r="E80" s="110" t="str">
        <f>"AMT="&amp;A80</f>
        <v>AMT=CONTINENTAL GAS</v>
      </c>
      <c r="F80" s="112">
        <f>ABS(DSUM(VARDATA2,H$6-1,$A79:$B80))+ABS(DSUM(VARDATA2,F$6-1,$A79:$B80))</f>
        <v>165150.76999999999</v>
      </c>
      <c r="G80" s="112"/>
      <c r="H80" s="112">
        <f>ABS(DSUM(VARDATA2,F$6-1,$C79:$D80))+ABS(DSUM(VARDATA2,H$6-1,$C79:$D80))</f>
        <v>1782469.72</v>
      </c>
      <c r="I80" s="112"/>
      <c r="J80" s="113">
        <f>IF((H80+F80)=0,"",F80/(H80+F80))</f>
        <v>8.4796176076377169E-2</v>
      </c>
      <c r="K80" s="112">
        <f>ABS(DSUM(VARDATA2,M$6-1,$A79:$B80))+ABS(DSUM(VARDATA2,K$6-1,$A79:$B80))</f>
        <v>21270544.879999999</v>
      </c>
      <c r="L80" s="112"/>
      <c r="M80" s="112">
        <f>ABS(DSUM(VARDATA2,K$6-1,$C79:$D80))+ABS(DSUM(VARDATA2,M$6-1,$C79:$D80))</f>
        <v>56768809.149999999</v>
      </c>
      <c r="N80" s="112"/>
      <c r="O80" s="113">
        <f>IF((M80+K80)=0,"",K80/(M80+K80))</f>
        <v>0.27256177532970283</v>
      </c>
      <c r="P80" s="112">
        <f>ABS(DSUM(VARDATA2,R$6-1,$A79:$B80))+ABS(DSUM(VARDATA2,P$6-1,$A79:$B80))</f>
        <v>21270544.882317301</v>
      </c>
      <c r="Q80" s="112"/>
      <c r="R80" s="112">
        <f>ABS(DSUM(VARDATA2,P$6-1,$C79:$D80))+ABS(DSUM(VARDATA2,R$6-1,$C79:$D80))</f>
        <v>56768809.151211031</v>
      </c>
      <c r="S80" s="112"/>
      <c r="T80" s="113">
        <f>IF((R80+P80)=0,"",P80/(R80+P80))</f>
        <v>0.27256177534707376</v>
      </c>
      <c r="U80" s="112">
        <f>ABS(DSUM(VARDATA2,W$6-1,$A79:$B80))+ABS(DSUM(VARDATA2,U$6-1,$A79:$B80))</f>
        <v>21270544.879999999</v>
      </c>
      <c r="V80" s="112"/>
      <c r="W80" s="112">
        <f>ABS(DSUM(VARDATA2,U$6-1,$C79:$D80))+ABS(DSUM(VARDATA2,W$6-1,$C79:$D80))</f>
        <v>56768809.149999999</v>
      </c>
      <c r="X80" s="112"/>
      <c r="Y80" s="113">
        <f>IF((W80+U80)=0,"",U80/(W80+U80))</f>
        <v>0.27256177532970283</v>
      </c>
      <c r="Z80" s="113"/>
      <c r="AA80" s="113"/>
      <c r="AB80" s="113"/>
      <c r="AC80" s="113"/>
      <c r="AD80" s="16"/>
    </row>
    <row r="81" spans="1:30" x14ac:dyDescent="0.2">
      <c r="A81" s="16" t="s">
        <v>79</v>
      </c>
      <c r="B81" s="16" t="s">
        <v>18</v>
      </c>
      <c r="C81" s="16" t="s">
        <v>79</v>
      </c>
      <c r="D81" s="16" t="s">
        <v>18</v>
      </c>
      <c r="F81" s="111"/>
      <c r="G81" s="111"/>
      <c r="H81" s="112"/>
      <c r="I81" s="112"/>
      <c r="J81" s="111"/>
      <c r="K81" s="111"/>
      <c r="L81" s="111"/>
      <c r="M81" s="112"/>
      <c r="N81" s="112"/>
      <c r="O81" s="111"/>
      <c r="P81" s="111"/>
      <c r="Q81" s="111"/>
      <c r="R81" s="112"/>
      <c r="S81" s="112"/>
      <c r="T81" s="111"/>
      <c r="U81" s="111"/>
      <c r="V81" s="111"/>
      <c r="W81" s="112"/>
      <c r="X81" s="112"/>
      <c r="Y81" s="111"/>
      <c r="Z81" s="111"/>
      <c r="AA81" s="111"/>
      <c r="AB81" s="111"/>
      <c r="AC81" s="111"/>
      <c r="AD81" s="16"/>
    </row>
    <row r="82" spans="1:30" x14ac:dyDescent="0.2">
      <c r="A82" s="67" t="s">
        <v>87</v>
      </c>
      <c r="B82" s="67" t="s">
        <v>0</v>
      </c>
      <c r="C82" s="67" t="str">
        <f>A82</f>
        <v>UK GAS</v>
      </c>
      <c r="D82" s="67" t="s">
        <v>1</v>
      </c>
      <c r="E82" s="110" t="str">
        <f>"AMT="&amp;A82</f>
        <v>AMT=UK GAS</v>
      </c>
      <c r="F82" s="112">
        <f>ABS(DSUM(VARDATA2,H$6-1,$A81:$B82))+ABS(DSUM(VARDATA2,F$6-1,$A81:$B82))</f>
        <v>12048877.42</v>
      </c>
      <c r="G82" s="112"/>
      <c r="H82" s="112">
        <f>ABS(DSUM(VARDATA2,F$6-1,$C81:$D82))+ABS(DSUM(VARDATA2,H$6-1,$C81:$D82))</f>
        <v>17827882.469999999</v>
      </c>
      <c r="I82" s="112"/>
      <c r="J82" s="113">
        <f>IF((H82+F82)=0,"",F82/(H82+F82))</f>
        <v>0.40328594748431401</v>
      </c>
      <c r="K82" s="112">
        <f>ABS(DSUM(VARDATA2,M$6-1,$A81:$B82))+ABS(DSUM(VARDATA2,K$6-1,$A81:$B82))</f>
        <v>153274571.72999999</v>
      </c>
      <c r="L82" s="112"/>
      <c r="M82" s="112">
        <f>ABS(DSUM(VARDATA2,K$6-1,$C81:$D82))+ABS(DSUM(VARDATA2,M$6-1,$C81:$D82))</f>
        <v>407204092.75</v>
      </c>
      <c r="N82" s="112"/>
      <c r="O82" s="113">
        <f>IF((M82+K82)=0,"",K82/(M82+K82))</f>
        <v>0.27347084098590052</v>
      </c>
      <c r="P82" s="112">
        <f>ABS(DSUM(VARDATA2,R$6-1,$A81:$B82))+ABS(DSUM(VARDATA2,P$6-1,$A81:$B82))</f>
        <v>153274571.72708142</v>
      </c>
      <c r="Q82" s="112"/>
      <c r="R82" s="112">
        <f>ABS(DSUM(VARDATA2,P$6-1,$C81:$D82))+ABS(DSUM(VARDATA2,R$6-1,$C81:$D82))</f>
        <v>407204092.7497493</v>
      </c>
      <c r="S82" s="112"/>
      <c r="T82" s="113">
        <f>IF((R82+P82)=0,"",P82/(R82+P82))</f>
        <v>0.27347084098223962</v>
      </c>
      <c r="U82" s="112">
        <f>ABS(DSUM(VARDATA2,W$6-1,$A81:$B82))+ABS(DSUM(VARDATA2,U$6-1,$A81:$B82))</f>
        <v>153274571.72999999</v>
      </c>
      <c r="V82" s="112"/>
      <c r="W82" s="112">
        <f>ABS(DSUM(VARDATA2,U$6-1,$C81:$D82))+ABS(DSUM(VARDATA2,W$6-1,$C81:$D82))</f>
        <v>407204092.75</v>
      </c>
      <c r="X82" s="112"/>
      <c r="Y82" s="113">
        <f>IF((W82+U82)=0,"",U82/(W82+U82))</f>
        <v>0.27347084098590052</v>
      </c>
      <c r="Z82" s="113"/>
      <c r="AA82" s="113"/>
      <c r="AB82" s="113"/>
      <c r="AC82" s="113"/>
      <c r="AD82" s="16"/>
    </row>
    <row r="83" spans="1:30" x14ac:dyDescent="0.2">
      <c r="A83" s="16" t="s">
        <v>79</v>
      </c>
      <c r="B83" s="16" t="s">
        <v>18</v>
      </c>
      <c r="C83" s="16" t="s">
        <v>79</v>
      </c>
      <c r="D83" s="16" t="s">
        <v>18</v>
      </c>
      <c r="F83" s="111"/>
      <c r="G83" s="111"/>
      <c r="H83" s="112"/>
      <c r="I83" s="112"/>
      <c r="J83" s="111"/>
      <c r="K83" s="111"/>
      <c r="L83" s="111"/>
      <c r="M83" s="112"/>
      <c r="N83" s="112"/>
      <c r="O83" s="111"/>
      <c r="P83" s="111"/>
      <c r="Q83" s="111"/>
      <c r="R83" s="112"/>
      <c r="S83" s="112"/>
      <c r="T83" s="111"/>
      <c r="U83" s="111"/>
      <c r="V83" s="111"/>
      <c r="W83" s="112"/>
      <c r="X83" s="112"/>
      <c r="Y83" s="111"/>
      <c r="Z83" s="111"/>
      <c r="AA83" s="111"/>
      <c r="AB83" s="111"/>
      <c r="AC83" s="111"/>
      <c r="AD83" s="16"/>
    </row>
    <row r="84" spans="1:30" x14ac:dyDescent="0.2">
      <c r="A84" s="67" t="s">
        <v>86</v>
      </c>
      <c r="B84" s="67" t="s">
        <v>0</v>
      </c>
      <c r="C84" s="67" t="str">
        <f>A84</f>
        <v>POWER</v>
      </c>
      <c r="D84" s="67" t="s">
        <v>1</v>
      </c>
      <c r="E84" s="110" t="str">
        <f>"AMT="&amp;A84</f>
        <v>AMT=POWER</v>
      </c>
      <c r="F84" s="112">
        <f>ABS(DSUM(VARDATA2,H$6-1,$A83:$B84))+ABS(DSUM(VARDATA2,F$6-1,$A83:$B84))</f>
        <v>28878800</v>
      </c>
      <c r="G84" s="112"/>
      <c r="H84" s="112">
        <f>ABS(DSUM(VARDATA2,F$6-1,$C83:$D84))+ABS(DSUM(VARDATA2,H$6-1,$C83:$D84))</f>
        <v>265680896.34999999</v>
      </c>
      <c r="I84" s="112"/>
      <c r="J84" s="113">
        <f>IF((H84+F84)=0,"",F84/(H84+F84))</f>
        <v>9.8040568203484973E-2</v>
      </c>
      <c r="K84" s="112">
        <f>ABS(DSUM(VARDATA2,M$6-1,$A83:$B84))+ABS(DSUM(VARDATA2,K$6-1,$A83:$B84))</f>
        <v>216583528</v>
      </c>
      <c r="L84" s="112"/>
      <c r="M84" s="112">
        <f>ABS(DSUM(VARDATA2,K$6-1,$C83:$D84))+ABS(DSUM(VARDATA2,M$6-1,$C83:$D84))</f>
        <v>2165490926.4699998</v>
      </c>
      <c r="N84" s="112"/>
      <c r="O84" s="113">
        <f>IF((M84+K84)=0,"",K84/(M84+K84))</f>
        <v>9.0922232759592228E-2</v>
      </c>
      <c r="P84" s="112">
        <f>ABS(DSUM(VARDATA2,R$6-1,$A83:$B84))+ABS(DSUM(VARDATA2,P$6-1,$A83:$B84))</f>
        <v>216583528</v>
      </c>
      <c r="Q84" s="112"/>
      <c r="R84" s="112">
        <f>ABS(DSUM(VARDATA2,P$6-1,$C83:$D84))+ABS(DSUM(VARDATA2,R$6-1,$C83:$D84))</f>
        <v>2165490926.4699998</v>
      </c>
      <c r="S84" s="112"/>
      <c r="T84" s="113">
        <f>IF((R84+P84)=0,"",P84/(R84+P84))</f>
        <v>9.0922232759592228E-2</v>
      </c>
      <c r="U84" s="112">
        <f>ABS(DSUM(VARDATA2,W$6-1,$A83:$B84))+ABS(DSUM(VARDATA2,U$6-1,$A83:$B84))</f>
        <v>264475404</v>
      </c>
      <c r="V84" s="112"/>
      <c r="W84" s="112">
        <f>ABS(DSUM(VARDATA2,U$6-1,$C83:$D84))+ABS(DSUM(VARDATA2,W$6-1,$C83:$D84))</f>
        <v>4073929420.98</v>
      </c>
      <c r="X84" s="112"/>
      <c r="Y84" s="113">
        <f>IF((W84+U84)=0,"",U84/(W84+U84))</f>
        <v>6.0961439669526288E-2</v>
      </c>
      <c r="Z84" s="113"/>
      <c r="AA84" s="113"/>
      <c r="AB84" s="113"/>
      <c r="AC84" s="113"/>
      <c r="AD84" s="16"/>
    </row>
    <row r="85" spans="1:30" x14ac:dyDescent="0.2">
      <c r="A85" s="16" t="s">
        <v>79</v>
      </c>
      <c r="B85" s="16" t="s">
        <v>18</v>
      </c>
      <c r="C85" s="16" t="s">
        <v>79</v>
      </c>
      <c r="D85" s="16" t="s">
        <v>18</v>
      </c>
      <c r="F85" s="111"/>
      <c r="G85" s="111"/>
      <c r="H85" s="112"/>
      <c r="I85" s="112"/>
      <c r="J85" s="111"/>
      <c r="K85" s="111"/>
      <c r="L85" s="111"/>
      <c r="M85" s="112"/>
      <c r="N85" s="112"/>
      <c r="O85" s="111"/>
      <c r="P85" s="111"/>
      <c r="Q85" s="111"/>
      <c r="R85" s="112"/>
      <c r="S85" s="112"/>
      <c r="T85" s="111"/>
      <c r="U85" s="111"/>
      <c r="V85" s="111"/>
      <c r="W85" s="112"/>
      <c r="X85" s="112"/>
      <c r="Y85" s="111"/>
      <c r="Z85" s="111"/>
      <c r="AA85" s="111"/>
      <c r="AB85" s="111"/>
      <c r="AC85" s="111"/>
      <c r="AD85" s="16"/>
    </row>
    <row r="86" spans="1:30" x14ac:dyDescent="0.2">
      <c r="A86" s="67" t="s">
        <v>80</v>
      </c>
      <c r="B86" s="67" t="s">
        <v>0</v>
      </c>
      <c r="C86" s="67" t="str">
        <f>A86</f>
        <v>CONTINENTAL POWER</v>
      </c>
      <c r="D86" s="67" t="s">
        <v>1</v>
      </c>
      <c r="E86" s="110" t="str">
        <f>"AMT="&amp;A86</f>
        <v>AMT=CONTINENTAL POWER</v>
      </c>
      <c r="F86" s="112">
        <f>ABS(DSUM(VARDATA2,H$6-1,$A85:$B86))+ABS(DSUM(VARDATA2,F$6-1,$A85:$B86))</f>
        <v>231659.39</v>
      </c>
      <c r="G86" s="112"/>
      <c r="H86" s="112">
        <f>ABS(DSUM(VARDATA2,F$6-1,$C85:$D86))+ABS(DSUM(VARDATA2,H$6-1,$C85:$D86))</f>
        <v>1646798.3399999999</v>
      </c>
      <c r="I86" s="112"/>
      <c r="J86" s="113">
        <f>IF((H86+F86)=0,"",F86/(H86+F86))</f>
        <v>0.12332424962258801</v>
      </c>
      <c r="K86" s="112">
        <f>ABS(DSUM(VARDATA2,M$6-1,$A85:$B86))+ABS(DSUM(VARDATA2,K$6-1,$A85:$B86))</f>
        <v>2284753.0300000003</v>
      </c>
      <c r="L86" s="112"/>
      <c r="M86" s="112">
        <f>ABS(DSUM(VARDATA2,K$6-1,$C85:$D86))+ABS(DSUM(VARDATA2,M$6-1,$C85:$D86))</f>
        <v>138490354.22</v>
      </c>
      <c r="N86" s="112"/>
      <c r="O86" s="113">
        <f>IF((M86+K86)=0,"",K86/(M86+K86))</f>
        <v>1.6229808484127441E-2</v>
      </c>
      <c r="P86" s="112">
        <f>ABS(DSUM(VARDATA2,R$6-1,$A85:$B86))+ABS(DSUM(VARDATA2,P$6-1,$A85:$B86))</f>
        <v>2284753.0364183579</v>
      </c>
      <c r="Q86" s="112"/>
      <c r="R86" s="112">
        <f>ABS(DSUM(VARDATA2,P$6-1,$C85:$D86))+ABS(DSUM(VARDATA2,R$6-1,$C85:$D86))</f>
        <v>138490354.214176</v>
      </c>
      <c r="S86" s="112"/>
      <c r="T86" s="113">
        <f>IF((R86+P86)=0,"",P86/(R86+P86))</f>
        <v>1.6229808529651904E-2</v>
      </c>
      <c r="U86" s="112">
        <f>ABS(DSUM(VARDATA2,W$6-1,$A85:$B86))+ABS(DSUM(VARDATA2,U$6-1,$A85:$B86))</f>
        <v>2284753.0300000003</v>
      </c>
      <c r="V86" s="112"/>
      <c r="W86" s="112">
        <f>ABS(DSUM(VARDATA2,U$6-1,$C85:$D86))+ABS(DSUM(VARDATA2,W$6-1,$C85:$D86))</f>
        <v>138490354.22</v>
      </c>
      <c r="X86" s="112"/>
      <c r="Y86" s="113">
        <f>IF((W86+U86)=0,"",U86/(W86+U86))</f>
        <v>1.6229808484127441E-2</v>
      </c>
      <c r="Z86" s="113"/>
      <c r="AA86" s="113"/>
      <c r="AB86" s="113"/>
      <c r="AC86" s="113"/>
      <c r="AD86" s="16"/>
    </row>
    <row r="87" spans="1:30" x14ac:dyDescent="0.2">
      <c r="A87" s="16" t="s">
        <v>79</v>
      </c>
      <c r="B87" s="16" t="s">
        <v>18</v>
      </c>
      <c r="C87" s="16" t="s">
        <v>79</v>
      </c>
      <c r="D87" s="16" t="s">
        <v>18</v>
      </c>
      <c r="F87" s="111"/>
      <c r="G87" s="111"/>
      <c r="H87" s="112"/>
      <c r="I87" s="112"/>
      <c r="J87" s="111"/>
      <c r="K87" s="111"/>
      <c r="L87" s="111"/>
      <c r="M87" s="112"/>
      <c r="N87" s="112"/>
      <c r="O87" s="111"/>
      <c r="P87" s="111"/>
      <c r="Q87" s="111"/>
      <c r="R87" s="112"/>
      <c r="S87" s="112"/>
      <c r="T87" s="111"/>
      <c r="U87" s="111"/>
      <c r="V87" s="111"/>
      <c r="W87" s="112"/>
      <c r="X87" s="112"/>
      <c r="Y87" s="111"/>
      <c r="Z87" s="111"/>
      <c r="AA87" s="111"/>
      <c r="AB87" s="111"/>
      <c r="AC87" s="111"/>
      <c r="AD87" s="16"/>
    </row>
    <row r="88" spans="1:30" x14ac:dyDescent="0.2">
      <c r="A88" s="67" t="s">
        <v>104</v>
      </c>
      <c r="B88" s="67" t="s">
        <v>0</v>
      </c>
      <c r="C88" s="67" t="s">
        <v>104</v>
      </c>
      <c r="D88" s="67" t="s">
        <v>1</v>
      </c>
      <c r="E88" s="110" t="str">
        <f>"AMT="&amp;A88</f>
        <v>AMT=NORDIC POWER</v>
      </c>
      <c r="F88" s="112">
        <f>ABS(DSUM(VARDATA2,H$6-1,$A87:$B88))+ABS(DSUM(VARDATA2,F$6-1,$A87:$B88))</f>
        <v>0</v>
      </c>
      <c r="G88" s="112"/>
      <c r="H88" s="112">
        <f>ABS(DSUM(VARDATA2,F$6-1,$C87:$D88))+ABS(DSUM(VARDATA2,H$6-1,$C87:$D88))</f>
        <v>6516558.4399999995</v>
      </c>
      <c r="I88" s="112"/>
      <c r="J88" s="113">
        <f>IF((H88+F88)=0,"",F88/(H88+F88))</f>
        <v>0</v>
      </c>
      <c r="K88" s="112">
        <f>ABS(DSUM(VARDATA2,M$6-1,$A87:$B88))+ABS(DSUM(VARDATA2,K$6-1,$A87:$B88))</f>
        <v>6770163.6300000008</v>
      </c>
      <c r="L88" s="112"/>
      <c r="M88" s="112">
        <f>ABS(DSUM(VARDATA2,K$6-1,$C87:$D88))+ABS(DSUM(VARDATA2,M$6-1,$C87:$D88))</f>
        <v>221086797.68000001</v>
      </c>
      <c r="N88" s="112"/>
      <c r="O88" s="113">
        <f>IF((M88+K88)=0,"",K88/(M88+K88))</f>
        <v>2.9712340545036828E-2</v>
      </c>
      <c r="P88" s="112">
        <f>ABS(DSUM(VARDATA2,R$6-1,$A87:$B88))+ABS(DSUM(VARDATA2,P$6-1,$A87:$B88))</f>
        <v>6770163.6275069695</v>
      </c>
      <c r="Q88" s="112"/>
      <c r="R88" s="112">
        <f>ABS(DSUM(VARDATA2,P$6-1,$C87:$D88))+ABS(DSUM(VARDATA2,R$6-1,$C87:$D88))</f>
        <v>221086797.68357474</v>
      </c>
      <c r="S88" s="112"/>
      <c r="T88" s="113">
        <f>IF((R88+P88)=0,"",P88/(R88+P88))</f>
        <v>2.9712340533954561E-2</v>
      </c>
      <c r="U88" s="112">
        <f>ABS(DSUM(VARDATA2,W$6-1,$A87:$B88))+ABS(DSUM(VARDATA2,U$6-1,$A87:$B88))</f>
        <v>7722373.8300000001</v>
      </c>
      <c r="V88" s="112"/>
      <c r="W88" s="112">
        <f>ABS(DSUM(VARDATA2,U$6-1,$C87:$D88))+ABS(DSUM(VARDATA2,W$6-1,$C87:$D88))</f>
        <v>357421321.56</v>
      </c>
      <c r="X88" s="112"/>
      <c r="Y88" s="113">
        <f>IF((W88+U88)=0,"",U88/(W88+U88))</f>
        <v>2.1148862564235003E-2</v>
      </c>
      <c r="Z88" s="113"/>
      <c r="AA88" s="113"/>
      <c r="AB88" s="113"/>
      <c r="AC88" s="113"/>
      <c r="AD88" s="16"/>
    </row>
    <row r="89" spans="1:30" x14ac:dyDescent="0.2">
      <c r="A89" s="16" t="s">
        <v>79</v>
      </c>
      <c r="B89" s="16" t="s">
        <v>18</v>
      </c>
      <c r="C89" s="16" t="s">
        <v>79</v>
      </c>
      <c r="D89" s="16" t="s">
        <v>18</v>
      </c>
      <c r="F89" s="111"/>
      <c r="G89" s="111"/>
      <c r="H89" s="112"/>
      <c r="I89" s="112"/>
      <c r="J89" s="111"/>
      <c r="K89" s="111"/>
      <c r="L89" s="111"/>
      <c r="M89" s="112"/>
      <c r="N89" s="112"/>
      <c r="O89" s="111"/>
      <c r="P89" s="111"/>
      <c r="Q89" s="111"/>
      <c r="R89" s="112"/>
      <c r="S89" s="112"/>
      <c r="T89" s="111"/>
      <c r="U89" s="111"/>
      <c r="V89" s="111"/>
      <c r="W89" s="112"/>
      <c r="X89" s="112"/>
      <c r="Y89" s="111"/>
      <c r="Z89" s="111"/>
      <c r="AA89" s="111"/>
      <c r="AB89" s="111"/>
      <c r="AC89" s="111"/>
      <c r="AD89" s="16"/>
    </row>
    <row r="90" spans="1:30" x14ac:dyDescent="0.2">
      <c r="A90" s="67" t="s">
        <v>88</v>
      </c>
      <c r="B90" s="67" t="s">
        <v>0</v>
      </c>
      <c r="C90" s="67" t="str">
        <f>A90</f>
        <v>UK POWER</v>
      </c>
      <c r="D90" s="67" t="s">
        <v>1</v>
      </c>
      <c r="E90" s="110" t="str">
        <f>"AMT="&amp;A90</f>
        <v>AMT=UK POWER</v>
      </c>
      <c r="F90" s="112">
        <f>ABS(DSUM(VARDATA2,H$6-1,$A89:$B90))+ABS(DSUM(VARDATA2,F$6-1,$A89:$B90))</f>
        <v>1723313.67</v>
      </c>
      <c r="G90" s="112"/>
      <c r="H90" s="112">
        <f>ABS(DSUM(VARDATA2,F$6-1,$C89:$D90))+ABS(DSUM(VARDATA2,H$6-1,$C89:$D90))</f>
        <v>10319791.869999999</v>
      </c>
      <c r="I90" s="112"/>
      <c r="J90" s="113">
        <f>IF((H90+F90)=0,"",F90/(H90+F90))</f>
        <v>0.14309545526078651</v>
      </c>
      <c r="K90" s="112">
        <f>ABS(DSUM(VARDATA2,M$6-1,$A89:$B90))+ABS(DSUM(VARDATA2,K$6-1,$A89:$B90))</f>
        <v>88656079.730000004</v>
      </c>
      <c r="L90" s="112"/>
      <c r="M90" s="112">
        <f>ABS(DSUM(VARDATA2,K$6-1,$C89:$D90))+ABS(DSUM(VARDATA2,M$6-1,$C89:$D90))</f>
        <v>556159285.39999998</v>
      </c>
      <c r="N90" s="112"/>
      <c r="O90" s="113">
        <f>IF((M90+K90)=0,"",K90/(M90+K90))</f>
        <v>0.13749064387156193</v>
      </c>
      <c r="P90" s="112">
        <f>ABS(DSUM(VARDATA2,R$6-1,$A89:$B90))+ABS(DSUM(VARDATA2,P$6-1,$A89:$B90))</f>
        <v>88656079.731622607</v>
      </c>
      <c r="Q90" s="112"/>
      <c r="R90" s="112">
        <f>ABS(DSUM(VARDATA2,P$6-1,$C89:$D90))+ABS(DSUM(VARDATA2,R$6-1,$C89:$D90))</f>
        <v>556159285.40210903</v>
      </c>
      <c r="S90" s="112"/>
      <c r="T90" s="113">
        <f>IF((R90+P90)=0,"",P90/(R90+P90))</f>
        <v>0.13749064387328264</v>
      </c>
      <c r="U90" s="112">
        <f>ABS(DSUM(VARDATA2,W$6-1,$A89:$B90))+ABS(DSUM(VARDATA2,U$6-1,$A89:$B90))</f>
        <v>88656079.730000004</v>
      </c>
      <c r="V90" s="112"/>
      <c r="W90" s="112">
        <f>ABS(DSUM(VARDATA2,U$6-1,$C89:$D90))+ABS(DSUM(VARDATA2,W$6-1,$C89:$D90))</f>
        <v>556159285.39999998</v>
      </c>
      <c r="X90" s="112"/>
      <c r="Y90" s="113">
        <f>IF((W90+U90)=0,"",U90/(W90+U90))</f>
        <v>0.13749064387156193</v>
      </c>
      <c r="Z90" s="113"/>
      <c r="AA90" s="113"/>
      <c r="AB90" s="113"/>
      <c r="AC90" s="113"/>
      <c r="AD90" s="16"/>
    </row>
    <row r="91" spans="1:30" x14ac:dyDescent="0.2">
      <c r="A91" s="16" t="s">
        <v>79</v>
      </c>
      <c r="B91" s="16" t="s">
        <v>18</v>
      </c>
      <c r="C91" s="16" t="s">
        <v>79</v>
      </c>
      <c r="D91" s="16" t="s">
        <v>18</v>
      </c>
      <c r="F91" s="111"/>
      <c r="G91" s="111"/>
      <c r="H91" s="112"/>
      <c r="I91" s="112"/>
      <c r="J91" s="111"/>
      <c r="K91" s="111"/>
      <c r="L91" s="111"/>
      <c r="M91" s="112"/>
      <c r="N91" s="112"/>
      <c r="O91" s="111"/>
      <c r="P91" s="111"/>
      <c r="Q91" s="111"/>
      <c r="R91" s="112"/>
      <c r="S91" s="112"/>
      <c r="T91" s="111"/>
      <c r="U91" s="111"/>
      <c r="V91" s="111"/>
      <c r="W91" s="112"/>
      <c r="X91" s="112"/>
      <c r="Y91" s="111"/>
      <c r="Z91" s="111"/>
      <c r="AA91" s="111"/>
      <c r="AB91" s="111"/>
      <c r="AC91" s="111"/>
      <c r="AD91" s="16"/>
    </row>
    <row r="92" spans="1:30" x14ac:dyDescent="0.2">
      <c r="A92" s="67" t="s">
        <v>102</v>
      </c>
      <c r="B92" s="67" t="s">
        <v>0</v>
      </c>
      <c r="C92" s="67" t="s">
        <v>102</v>
      </c>
      <c r="D92" s="67" t="s">
        <v>1</v>
      </c>
      <c r="E92" s="110" t="str">
        <f>"AMT="&amp;A92</f>
        <v>AMT=CRUDE &amp; PRODUCTS</v>
      </c>
      <c r="F92" s="112">
        <f>ABS(DSUM(VARDATA2,H$6-1,$A91:$B92))+ABS(DSUM(VARDATA2,F$6-1,$A91:$B92))</f>
        <v>9793070.0899999999</v>
      </c>
      <c r="G92" s="112"/>
      <c r="H92" s="112">
        <f>ABS(DSUM(VARDATA2,F$6-1,$C91:$D92))+ABS(DSUM(VARDATA2,H$6-1,$C91:$D92))</f>
        <v>404558349.53999996</v>
      </c>
      <c r="I92" s="112"/>
      <c r="J92" s="113">
        <f>IF((H92+F92)=0,"",F92/(H92+F92))</f>
        <v>2.3634696603054575E-2</v>
      </c>
      <c r="K92" s="112">
        <f>ABS(DSUM(VARDATA2,M$6-1,$A91:$B92))+ABS(DSUM(VARDATA2,K$6-1,$A91:$B92))</f>
        <v>246350301.56</v>
      </c>
      <c r="L92" s="112"/>
      <c r="M92" s="112">
        <f>ABS(DSUM(VARDATA2,K$6-1,$C91:$D92))+ABS(DSUM(VARDATA2,M$6-1,$C91:$D92))</f>
        <v>4549739986.8400002</v>
      </c>
      <c r="N92" s="112"/>
      <c r="O92" s="113">
        <f>IF((M92+K92)=0,"",K92/(M92+K92))</f>
        <v>5.1364817329613635E-2</v>
      </c>
      <c r="P92" s="112">
        <f>ABS(DSUM(VARDATA2,R$6-1,$A91:$B92))+ABS(DSUM(VARDATA2,P$6-1,$A91:$B92))</f>
        <v>246350301.55973801</v>
      </c>
      <c r="Q92" s="112"/>
      <c r="R92" s="112">
        <f>ABS(DSUM(VARDATA2,P$6-1,$C91:$D92))+ABS(DSUM(VARDATA2,R$6-1,$C91:$D92))</f>
        <v>4549739986.8464899</v>
      </c>
      <c r="S92" s="112"/>
      <c r="T92" s="113">
        <f>IF((R92+P92)=0,"",P92/(R92+P92))</f>
        <v>5.1364817329492315E-2</v>
      </c>
      <c r="U92" s="112">
        <f>ABS(DSUM(VARDATA2,W$6-1,$A91:$B92))+ABS(DSUM(VARDATA2,U$6-1,$A91:$B92))</f>
        <v>246350301.56</v>
      </c>
      <c r="V92" s="112"/>
      <c r="W92" s="112">
        <f>ABS(DSUM(VARDATA2,U$6-1,$C91:$D92))+ABS(DSUM(VARDATA2,W$6-1,$C91:$D92))</f>
        <v>4549739986.8400002</v>
      </c>
      <c r="X92" s="112"/>
      <c r="Y92" s="113">
        <f>IF((W92+U92)=0,"",U92/(W92+U92))</f>
        <v>5.1364817329613635E-2</v>
      </c>
      <c r="Z92" s="113"/>
      <c r="AA92" s="113"/>
      <c r="AB92" s="113"/>
      <c r="AC92" s="113"/>
      <c r="AD92" s="16"/>
    </row>
    <row r="93" spans="1:30" x14ac:dyDescent="0.2">
      <c r="A93" s="16" t="s">
        <v>79</v>
      </c>
      <c r="B93" s="16" t="s">
        <v>18</v>
      </c>
      <c r="C93" s="16" t="s">
        <v>79</v>
      </c>
      <c r="D93" s="16" t="s">
        <v>18</v>
      </c>
      <c r="F93" s="111"/>
      <c r="G93" s="111"/>
      <c r="H93" s="112"/>
      <c r="I93" s="112"/>
      <c r="J93" s="111"/>
      <c r="K93" s="111"/>
      <c r="L93" s="111"/>
      <c r="M93" s="112"/>
      <c r="N93" s="112"/>
      <c r="O93" s="111"/>
      <c r="P93" s="111"/>
      <c r="Q93" s="111"/>
      <c r="R93" s="112"/>
      <c r="S93" s="112"/>
      <c r="T93" s="111"/>
      <c r="U93" s="111"/>
      <c r="V93" s="111"/>
      <c r="W93" s="112"/>
      <c r="X93" s="112"/>
      <c r="Y93" s="111"/>
      <c r="Z93" s="111"/>
      <c r="AA93" s="111"/>
      <c r="AB93" s="111"/>
      <c r="AC93" s="111"/>
      <c r="AD93" s="16"/>
    </row>
    <row r="94" spans="1:30" x14ac:dyDescent="0.2">
      <c r="A94" s="67" t="s">
        <v>101</v>
      </c>
      <c r="B94" s="67" t="s">
        <v>0</v>
      </c>
      <c r="C94" s="67" t="s">
        <v>101</v>
      </c>
      <c r="D94" s="67" t="s">
        <v>1</v>
      </c>
      <c r="E94" s="110" t="str">
        <f>"AMT="&amp;A94</f>
        <v>AMT=LPG</v>
      </c>
      <c r="F94" s="112">
        <f>ABS(DSUM(VARDATA2,H$6-1,$A93:$B94))+ABS(DSUM(VARDATA2,F$6-1,$A93:$B94))</f>
        <v>16280000</v>
      </c>
      <c r="G94" s="112"/>
      <c r="H94" s="112">
        <f>ABS(DSUM(VARDATA2,F$6-1,$C93:$D94))+ABS(DSUM(VARDATA2,H$6-1,$C93:$D94))</f>
        <v>22356396.32</v>
      </c>
      <c r="I94" s="112"/>
      <c r="J94" s="113">
        <f>IF((H94+F94)=0,"",F94/(H94+F94))</f>
        <v>0.42136434943785667</v>
      </c>
      <c r="K94" s="112">
        <f>ABS(DSUM(VARDATA2,M$6-1,$A93:$B94))+ABS(DSUM(VARDATA2,K$6-1,$A93:$B94))</f>
        <v>55700000</v>
      </c>
      <c r="L94" s="112"/>
      <c r="M94" s="112">
        <f>ABS(DSUM(VARDATA2,K$6-1,$C93:$D94))+ABS(DSUM(VARDATA2,M$6-1,$C93:$D94))</f>
        <v>691346737.54999995</v>
      </c>
      <c r="N94" s="112"/>
      <c r="O94" s="113">
        <f>IF((M94+K94)=0,"",K94/(M94+K94))</f>
        <v>7.4560261360182956E-2</v>
      </c>
      <c r="P94" s="112">
        <f>ABS(DSUM(VARDATA2,R$6-1,$A93:$B94))+ABS(DSUM(VARDATA2,P$6-1,$A93:$B94))</f>
        <v>55700000</v>
      </c>
      <c r="Q94" s="112"/>
      <c r="R94" s="112">
        <f>ABS(DSUM(VARDATA2,P$6-1,$C93:$D94))+ABS(DSUM(VARDATA2,R$6-1,$C93:$D94))</f>
        <v>691346737.54800808</v>
      </c>
      <c r="S94" s="112"/>
      <c r="T94" s="113">
        <f>IF((R94+P94)=0,"",P94/(R94+P94))</f>
        <v>7.4560261360381755E-2</v>
      </c>
      <c r="U94" s="112">
        <f>ABS(DSUM(VARDATA2,W$6-1,$A93:$B94))+ABS(DSUM(VARDATA2,U$6-1,$A93:$B94))</f>
        <v>55700000</v>
      </c>
      <c r="V94" s="112"/>
      <c r="W94" s="112">
        <f>ABS(DSUM(VARDATA2,U$6-1,$C93:$D94))+ABS(DSUM(VARDATA2,W$6-1,$C93:$D94))</f>
        <v>691346737.54999995</v>
      </c>
      <c r="X94" s="112"/>
      <c r="Y94" s="113">
        <f>IF((W94+U94)=0,"",U94/(W94+U94))</f>
        <v>7.4560261360182956E-2</v>
      </c>
      <c r="Z94" s="113"/>
      <c r="AA94" s="113"/>
      <c r="AB94" s="113"/>
      <c r="AC94" s="113"/>
      <c r="AD94" s="16"/>
    </row>
    <row r="95" spans="1:30" x14ac:dyDescent="0.2">
      <c r="A95" s="16" t="s">
        <v>79</v>
      </c>
      <c r="B95" s="16" t="s">
        <v>18</v>
      </c>
      <c r="C95" s="16" t="s">
        <v>79</v>
      </c>
      <c r="D95" s="16" t="s">
        <v>18</v>
      </c>
      <c r="F95" s="111"/>
      <c r="G95" s="111"/>
      <c r="H95" s="112"/>
      <c r="I95" s="112"/>
      <c r="J95" s="111"/>
      <c r="K95" s="111"/>
      <c r="L95" s="111"/>
      <c r="M95" s="112"/>
      <c r="N95" s="112"/>
      <c r="O95" s="111"/>
      <c r="P95" s="111"/>
      <c r="Q95" s="111"/>
      <c r="R95" s="112"/>
      <c r="S95" s="112"/>
      <c r="T95" s="111"/>
      <c r="U95" s="111"/>
      <c r="V95" s="111"/>
      <c r="W95" s="112"/>
      <c r="X95" s="112"/>
      <c r="Y95" s="111"/>
      <c r="Z95" s="111"/>
      <c r="AA95" s="111"/>
      <c r="AB95" s="111"/>
      <c r="AC95" s="111"/>
      <c r="AD95" s="16"/>
    </row>
    <row r="96" spans="1:30" x14ac:dyDescent="0.2">
      <c r="A96" s="67" t="s">
        <v>85</v>
      </c>
      <c r="B96" s="67" t="s">
        <v>0</v>
      </c>
      <c r="C96" s="67" t="str">
        <f>A96</f>
        <v>PLASTICS</v>
      </c>
      <c r="D96" s="67" t="s">
        <v>1</v>
      </c>
      <c r="E96" s="110" t="str">
        <f>"AMT="&amp;A96</f>
        <v>AMT=PLASTICS</v>
      </c>
      <c r="F96" s="112">
        <f>ABS(DSUM(VARDATA2,H$6-1,$A95:$B96))+ABS(DSUM(VARDATA2,F$6-1,$A95:$B96))</f>
        <v>0</v>
      </c>
      <c r="G96" s="112"/>
      <c r="H96" s="112">
        <f>ABS(DSUM(VARDATA2,F$6-1,$C95:$D96))+ABS(DSUM(VARDATA2,H$6-1,$C95:$D96))</f>
        <v>0</v>
      </c>
      <c r="I96" s="112"/>
      <c r="J96" s="113" t="str">
        <f>IF((H96+F96)=0,"",F96/(H96+F96))</f>
        <v/>
      </c>
      <c r="K96" s="112">
        <f>ABS(DSUM(VARDATA2,M$6-1,$A95:$B96))+ABS(DSUM(VARDATA2,K$6-1,$A95:$B96))</f>
        <v>0</v>
      </c>
      <c r="L96" s="112"/>
      <c r="M96" s="112">
        <f>ABS(DSUM(VARDATA2,K$6-1,$C95:$D96))+ABS(DSUM(VARDATA2,M$6-1,$C95:$D96))</f>
        <v>0</v>
      </c>
      <c r="N96" s="112"/>
      <c r="O96" s="113" t="str">
        <f>IF((M96+K96)=0,"",K96/(M96+K96))</f>
        <v/>
      </c>
      <c r="P96" s="112">
        <f>ABS(DSUM(VARDATA2,R$6-1,$A95:$B96))+ABS(DSUM(VARDATA2,P$6-1,$A95:$B96))</f>
        <v>0</v>
      </c>
      <c r="Q96" s="112"/>
      <c r="R96" s="112">
        <f>ABS(DSUM(VARDATA2,P$6-1,$C95:$D96))+ABS(DSUM(VARDATA2,R$6-1,$C95:$D96))</f>
        <v>0</v>
      </c>
      <c r="S96" s="112"/>
      <c r="T96" s="113" t="str">
        <f>IF((R96+P96)=0,"",P96/(R96+P96))</f>
        <v/>
      </c>
      <c r="U96" s="112">
        <f>ABS(DSUM(VARDATA2,W$6-1,$A95:$B96))+ABS(DSUM(VARDATA2,U$6-1,$A95:$B96))</f>
        <v>0</v>
      </c>
      <c r="V96" s="112"/>
      <c r="W96" s="112">
        <f>ABS(DSUM(VARDATA2,U$6-1,$C95:$D96))+ABS(DSUM(VARDATA2,W$6-1,$C95:$D96))</f>
        <v>71389757.75999999</v>
      </c>
      <c r="X96" s="112"/>
      <c r="Y96" s="113">
        <f>IF((W96+U96)=0,"",U96/(W96+U96))</f>
        <v>0</v>
      </c>
      <c r="Z96" s="113"/>
      <c r="AA96" s="113"/>
      <c r="AB96" s="113"/>
      <c r="AC96" s="113"/>
      <c r="AD96" s="16"/>
    </row>
    <row r="97" spans="1:32" x14ac:dyDescent="0.2">
      <c r="A97" s="16" t="s">
        <v>79</v>
      </c>
      <c r="B97" s="16" t="s">
        <v>18</v>
      </c>
      <c r="C97" s="16" t="s">
        <v>79</v>
      </c>
      <c r="D97" s="16" t="s">
        <v>18</v>
      </c>
      <c r="F97" s="111"/>
      <c r="G97" s="111"/>
      <c r="H97" s="112"/>
      <c r="I97" s="112"/>
      <c r="J97" s="111"/>
      <c r="K97" s="111"/>
      <c r="L97" s="111"/>
      <c r="M97" s="112"/>
      <c r="N97" s="112"/>
      <c r="O97" s="111"/>
      <c r="P97" s="111"/>
      <c r="Q97" s="111"/>
      <c r="R97" s="112"/>
      <c r="S97" s="112"/>
      <c r="T97" s="111"/>
      <c r="U97" s="111"/>
      <c r="V97" s="111"/>
      <c r="W97" s="112"/>
      <c r="X97" s="112"/>
      <c r="Y97" s="111"/>
      <c r="Z97" s="111"/>
      <c r="AA97" s="111"/>
      <c r="AB97" s="111"/>
      <c r="AC97" s="111"/>
      <c r="AD97" s="16"/>
    </row>
    <row r="98" spans="1:32" x14ac:dyDescent="0.2">
      <c r="A98" s="67" t="s">
        <v>100</v>
      </c>
      <c r="B98" s="67" t="s">
        <v>0</v>
      </c>
      <c r="C98" s="67" t="s">
        <v>100</v>
      </c>
      <c r="D98" s="67" t="s">
        <v>1</v>
      </c>
      <c r="E98" s="110" t="str">
        <f>"AMT="&amp;A98</f>
        <v>AMT=PETROCHEMICALS</v>
      </c>
      <c r="F98" s="112">
        <f>ABS(DSUM(VARDATA2,H$6-1,$A97:$B98))+ABS(DSUM(VARDATA2,F$6-1,$A97:$B98))</f>
        <v>0</v>
      </c>
      <c r="G98" s="112"/>
      <c r="H98" s="112">
        <f>ABS(DSUM(VARDATA2,F$6-1,$C97:$D98))+ABS(DSUM(VARDATA2,H$6-1,$C97:$D98))</f>
        <v>61857795.100000001</v>
      </c>
      <c r="I98" s="112"/>
      <c r="J98" s="113">
        <f>IF((H98+F98)=0,"",F98/(H98+F98))</f>
        <v>0</v>
      </c>
      <c r="K98" s="112">
        <f>ABS(DSUM(VARDATA2,M$6-1,$A97:$B98))+ABS(DSUM(VARDATA2,K$6-1,$A97:$B98))</f>
        <v>26114850.75</v>
      </c>
      <c r="L98" s="112"/>
      <c r="M98" s="112">
        <f>ABS(DSUM(VARDATA2,K$6-1,$C97:$D98))+ABS(DSUM(VARDATA2,M$6-1,$C97:$D98))</f>
        <v>411757502.81</v>
      </c>
      <c r="N98" s="112"/>
      <c r="O98" s="113">
        <f>IF((M98+K98)=0,"",K98/(M98+K98))</f>
        <v>5.9640327912188179E-2</v>
      </c>
      <c r="P98" s="112">
        <f>ABS(DSUM(VARDATA2,R$6-1,$A97:$B98))+ABS(DSUM(VARDATA2,P$6-1,$A97:$B98))</f>
        <v>26114850.749680001</v>
      </c>
      <c r="Q98" s="112"/>
      <c r="R98" s="112">
        <f>ABS(DSUM(VARDATA2,P$6-1,$C97:$D98))+ABS(DSUM(VARDATA2,R$6-1,$C97:$D98))</f>
        <v>411757502.81931001</v>
      </c>
      <c r="S98" s="112"/>
      <c r="T98" s="113">
        <f>IF((R98+P98)=0,"",P98/(R98+P98))</f>
        <v>5.9640327910232896E-2</v>
      </c>
      <c r="U98" s="112">
        <f>ABS(DSUM(VARDATA2,W$6-1,$A97:$B98))+ABS(DSUM(VARDATA2,U$6-1,$A97:$B98))</f>
        <v>26114850.75</v>
      </c>
      <c r="V98" s="112"/>
      <c r="W98" s="112">
        <f>ABS(DSUM(VARDATA2,U$6-1,$C97:$D98))+ABS(DSUM(VARDATA2,W$6-1,$C97:$D98))</f>
        <v>411757502.81</v>
      </c>
      <c r="X98" s="112"/>
      <c r="Y98" s="113">
        <f>IF((W98+U98)=0,"",U98/(W98+U98))</f>
        <v>5.9640327912188179E-2</v>
      </c>
      <c r="Z98" s="113"/>
      <c r="AA98" s="113"/>
      <c r="AB98" s="113"/>
      <c r="AC98" s="113"/>
      <c r="AD98" s="16"/>
    </row>
    <row r="99" spans="1:32" x14ac:dyDescent="0.2">
      <c r="A99" s="16" t="s">
        <v>79</v>
      </c>
      <c r="B99" s="16" t="s">
        <v>18</v>
      </c>
      <c r="C99" s="16" t="s">
        <v>79</v>
      </c>
      <c r="D99" s="16" t="s">
        <v>18</v>
      </c>
      <c r="F99" s="111"/>
      <c r="G99" s="111"/>
      <c r="H99" s="112"/>
      <c r="I99" s="112"/>
      <c r="J99" s="111"/>
      <c r="K99" s="111"/>
      <c r="L99" s="111"/>
      <c r="M99" s="112"/>
      <c r="N99" s="112"/>
      <c r="O99" s="111"/>
      <c r="P99" s="111"/>
      <c r="Q99" s="111"/>
      <c r="R99" s="112"/>
      <c r="S99" s="112"/>
      <c r="T99" s="111"/>
      <c r="U99" s="111"/>
      <c r="V99" s="111"/>
      <c r="W99" s="112"/>
      <c r="X99" s="112"/>
      <c r="Y99" s="111"/>
      <c r="Z99" s="111"/>
      <c r="AA99" s="111"/>
      <c r="AB99" s="111"/>
      <c r="AC99" s="111"/>
      <c r="AD99" s="16"/>
    </row>
    <row r="100" spans="1:32" x14ac:dyDescent="0.2">
      <c r="A100" s="67" t="s">
        <v>83</v>
      </c>
      <c r="B100" s="67" t="s">
        <v>0</v>
      </c>
      <c r="C100" s="67" t="s">
        <v>83</v>
      </c>
      <c r="D100" s="67" t="s">
        <v>1</v>
      </c>
      <c r="E100" s="110" t="str">
        <f>"AMT="&amp;A100</f>
        <v>AMT=COAL</v>
      </c>
      <c r="F100" s="112">
        <f>ABS(DSUM(VARDATA2,H$6-1,$A99:$B100))+ABS(DSUM(VARDATA2,F$6-1,$A99:$B100))</f>
        <v>0</v>
      </c>
      <c r="G100" s="112"/>
      <c r="H100" s="112">
        <f>ABS(DSUM(VARDATA2,F$6-1,$C99:$D100))+ABS(DSUM(VARDATA2,H$6-1,$C99:$D100))</f>
        <v>556837.5</v>
      </c>
      <c r="I100" s="112"/>
      <c r="J100" s="113">
        <f>IF((H100+F100)=0,"",F100/(H100+F100))</f>
        <v>0</v>
      </c>
      <c r="K100" s="112">
        <f>ABS(DSUM(VARDATA2,M$6-1,$A99:$B100))+ABS(DSUM(VARDATA2,K$6-1,$A99:$B100))</f>
        <v>11360913.75</v>
      </c>
      <c r="L100" s="112"/>
      <c r="M100" s="112">
        <f>ABS(DSUM(VARDATA2,K$6-1,$C99:$D100))+ABS(DSUM(VARDATA2,M$6-1,$C99:$D100))</f>
        <v>41116930.880000003</v>
      </c>
      <c r="N100" s="112"/>
      <c r="O100" s="113">
        <f>IF((M100+K100)=0,"",K100/(M100+K100))</f>
        <v>0.21648971732930716</v>
      </c>
      <c r="P100" s="112">
        <f>ABS(DSUM(VARDATA2,R$6-1,$A99:$B100))+ABS(DSUM(VARDATA2,P$6-1,$A99:$B100))</f>
        <v>11360913.75</v>
      </c>
      <c r="Q100" s="112"/>
      <c r="R100" s="112">
        <f>ABS(DSUM(VARDATA2,P$6-1,$C99:$D100))+ABS(DSUM(VARDATA2,R$6-1,$C99:$D100))</f>
        <v>41116930.880000003</v>
      </c>
      <c r="S100" s="112"/>
      <c r="T100" s="113">
        <f>IF((R100+P100)=0,"",P100/(R100+P100))</f>
        <v>0.21648971732930716</v>
      </c>
      <c r="U100" s="112">
        <f>ABS(DSUM(VARDATA2,W$6-1,$A99:$B100))+ABS(DSUM(VARDATA2,U$6-1,$A99:$B100))</f>
        <v>18897288.75</v>
      </c>
      <c r="V100" s="112"/>
      <c r="W100" s="112">
        <f>ABS(DSUM(VARDATA2,U$6-1,$C99:$D100))+ABS(DSUM(VARDATA2,W$6-1,$C99:$D100))</f>
        <v>80524150.790000007</v>
      </c>
      <c r="X100" s="112"/>
      <c r="Y100" s="113">
        <f>IF((W100+U100)=0,"",U100/(W100+U100))</f>
        <v>0.19007257224833379</v>
      </c>
      <c r="Z100" s="113"/>
      <c r="AA100" s="113"/>
      <c r="AB100" s="113"/>
      <c r="AC100" s="113"/>
      <c r="AD100" s="16"/>
    </row>
    <row r="101" spans="1:32" x14ac:dyDescent="0.2">
      <c r="A101" s="16" t="s">
        <v>79</v>
      </c>
      <c r="B101" s="16" t="s">
        <v>18</v>
      </c>
      <c r="C101" s="16" t="s">
        <v>79</v>
      </c>
      <c r="D101" s="16" t="s">
        <v>18</v>
      </c>
      <c r="F101" s="112"/>
      <c r="G101" s="112"/>
      <c r="H101" s="112"/>
      <c r="I101" s="112"/>
      <c r="J101" s="113"/>
      <c r="K101" s="112"/>
      <c r="L101" s="112"/>
      <c r="M101" s="112"/>
      <c r="N101" s="112"/>
      <c r="O101" s="113"/>
      <c r="P101" s="112"/>
      <c r="Q101" s="112"/>
      <c r="R101" s="112"/>
      <c r="S101" s="112"/>
      <c r="T101" s="113"/>
      <c r="U101" s="112"/>
      <c r="V101" s="112"/>
      <c r="W101" s="112"/>
      <c r="X101" s="112"/>
      <c r="Y101" s="113"/>
      <c r="Z101" s="113"/>
      <c r="AA101" s="113"/>
      <c r="AB101" s="113"/>
      <c r="AC101" s="113"/>
      <c r="AD101" s="16"/>
    </row>
    <row r="102" spans="1:32" x14ac:dyDescent="0.2">
      <c r="A102" s="67" t="s">
        <v>105</v>
      </c>
      <c r="B102" s="67" t="s">
        <v>0</v>
      </c>
      <c r="C102" s="67" t="s">
        <v>105</v>
      </c>
      <c r="D102" s="67" t="s">
        <v>1</v>
      </c>
      <c r="E102" s="110" t="str">
        <f>"AMT="&amp;A102</f>
        <v>AMT=EMISSIONS</v>
      </c>
      <c r="F102" s="112">
        <f>ABS(DSUM(VARDATA2,H$6-1,$A101:$B102))+ABS(DSUM(VARDATA2,F$6-1,$A101:$B102))</f>
        <v>1496875</v>
      </c>
      <c r="G102" s="112"/>
      <c r="H102" s="112">
        <f>ABS(DSUM(VARDATA2,F$6-1,$C101:$D102))+ABS(DSUM(VARDATA2,H$6-1,$C101:$D102))</f>
        <v>12250650</v>
      </c>
      <c r="I102" s="112"/>
      <c r="J102" s="113">
        <f>IF((H102+F102)=0,"",F102/(H102+F102))</f>
        <v>0.10888323534599864</v>
      </c>
      <c r="K102" s="112">
        <f>ABS(DSUM(VARDATA2,M$6-1,$A101:$B102))+ABS(DSUM(VARDATA2,K$6-1,$A101:$B102))</f>
        <v>10379925</v>
      </c>
      <c r="L102" s="112"/>
      <c r="M102" s="112">
        <f>ABS(DSUM(VARDATA2,K$6-1,$C101:$D102))+ABS(DSUM(VARDATA2,M$6-1,$C101:$D102))</f>
        <v>88718697.5</v>
      </c>
      <c r="N102" s="112"/>
      <c r="O102" s="113">
        <f>IF((M102+K102)=0,"",K102/(M102+K102))</f>
        <v>0.10474338328971222</v>
      </c>
      <c r="P102" s="112">
        <f>ABS(DSUM(VARDATA2,R$6-1,$A101:$B102))+ABS(DSUM(VARDATA2,P$6-1,$A101:$B102))</f>
        <v>10379925</v>
      </c>
      <c r="Q102" s="112"/>
      <c r="R102" s="112">
        <f>ABS(DSUM(VARDATA2,P$6-1,$C101:$D102))+ABS(DSUM(VARDATA2,R$6-1,$C101:$D102))</f>
        <v>88718697.5</v>
      </c>
      <c r="S102" s="112"/>
      <c r="T102" s="113">
        <f>IF((R102+P102)=0,"",P102/(R102+P102))</f>
        <v>0.10474338328971222</v>
      </c>
      <c r="U102" s="112">
        <f>ABS(DSUM(VARDATA2,W$6-1,$A101:$B102))+ABS(DSUM(VARDATA2,U$6-1,$A101:$B102))</f>
        <v>10379925</v>
      </c>
      <c r="V102" s="112"/>
      <c r="W102" s="112">
        <f>ABS(DSUM(VARDATA2,U$6-1,$C101:$D102))+ABS(DSUM(VARDATA2,W$6-1,$C101:$D102))</f>
        <v>88718697.5</v>
      </c>
      <c r="X102" s="112"/>
      <c r="Y102" s="113">
        <f>IF((W102+U102)=0,"",U102/(W102+U102))</f>
        <v>0.10474338328971222</v>
      </c>
      <c r="Z102" s="113"/>
      <c r="AA102" s="113"/>
      <c r="AB102" s="113"/>
      <c r="AC102" s="113"/>
      <c r="AD102" s="16"/>
    </row>
    <row r="103" spans="1:32" x14ac:dyDescent="0.2">
      <c r="A103" s="16" t="s">
        <v>79</v>
      </c>
      <c r="B103" s="16" t="s">
        <v>18</v>
      </c>
      <c r="C103" s="16" t="s">
        <v>79</v>
      </c>
      <c r="D103" s="16" t="s">
        <v>18</v>
      </c>
      <c r="F103" s="112"/>
      <c r="G103" s="112"/>
      <c r="H103" s="112"/>
      <c r="I103" s="112"/>
      <c r="J103" s="113"/>
      <c r="K103" s="112"/>
      <c r="L103" s="112"/>
      <c r="M103" s="112"/>
      <c r="N103" s="112"/>
      <c r="O103" s="113"/>
      <c r="P103" s="112"/>
      <c r="Q103" s="112"/>
      <c r="R103" s="112"/>
      <c r="S103" s="112"/>
      <c r="T103" s="113"/>
      <c r="U103" s="112"/>
      <c r="V103" s="112"/>
      <c r="W103" s="112"/>
      <c r="X103" s="112"/>
      <c r="Y103" s="113"/>
      <c r="Z103" s="113"/>
      <c r="AA103" s="113"/>
      <c r="AB103" s="113"/>
      <c r="AC103" s="113"/>
      <c r="AD103" s="16"/>
    </row>
    <row r="104" spans="1:32" x14ac:dyDescent="0.2">
      <c r="A104" s="67" t="s">
        <v>84</v>
      </c>
      <c r="B104" s="67" t="s">
        <v>0</v>
      </c>
      <c r="C104" s="67" t="s">
        <v>84</v>
      </c>
      <c r="D104" s="67" t="s">
        <v>1</v>
      </c>
      <c r="E104" s="110" t="str">
        <f>"AMT="&amp;A104</f>
        <v>AMT=PAPER &amp; PULP</v>
      </c>
      <c r="F104" s="112">
        <f>ABS(DSUM(VARDATA2,H$6-1,$A103:$B104))+ABS(DSUM(VARDATA2,F$6-1,$A103:$B104))</f>
        <v>0</v>
      </c>
      <c r="G104" s="112"/>
      <c r="H104" s="112">
        <f>ABS(DSUM(VARDATA2,F$6-1,$C103:$D104))+ABS(DSUM(VARDATA2,H$6-1,$C103:$D104))</f>
        <v>0</v>
      </c>
      <c r="I104" s="112"/>
      <c r="J104" s="113" t="str">
        <f>IF((H104+F104)=0,"",F104/(H104+F104))</f>
        <v/>
      </c>
      <c r="K104" s="112">
        <f>ABS(DSUM(VARDATA2,M$6-1,$A103:$B104))+ABS(DSUM(VARDATA2,K$6-1,$A103:$B104))</f>
        <v>393750</v>
      </c>
      <c r="L104" s="112"/>
      <c r="M104" s="112">
        <f>ABS(DSUM(VARDATA2,K$6-1,$C103:$D104))+ABS(DSUM(VARDATA2,M$6-1,$C103:$D104))</f>
        <v>111148789</v>
      </c>
      <c r="N104" s="112"/>
      <c r="O104" s="113">
        <f>IF((M104+K104)=0,"",K104/(M104+K104))</f>
        <v>3.5300433675801482E-3</v>
      </c>
      <c r="P104" s="112">
        <f>ABS(DSUM(VARDATA2,R$6-1,$A103:$B104))+ABS(DSUM(VARDATA2,P$6-1,$A103:$B104))</f>
        <v>393750</v>
      </c>
      <c r="Q104" s="112"/>
      <c r="R104" s="112">
        <f>ABS(DSUM(VARDATA2,P$6-1,$C103:$D104))+ABS(DSUM(VARDATA2,R$6-1,$C103:$D104))</f>
        <v>111148789.000064</v>
      </c>
      <c r="S104" s="112"/>
      <c r="T104" s="113">
        <f>IF((R104+P104)=0,"",P104/(R104+P104))</f>
        <v>3.5300433675781225E-3</v>
      </c>
      <c r="U104" s="112">
        <f>ABS(DSUM(VARDATA2,W$6-1,$A103:$B104))+ABS(DSUM(VARDATA2,U$6-1,$A103:$B104))</f>
        <v>1500750</v>
      </c>
      <c r="V104" s="112"/>
      <c r="W104" s="112">
        <f>ABS(DSUM(VARDATA2,U$6-1,$C103:$D104))+ABS(DSUM(VARDATA2,W$6-1,$C103:$D104))</f>
        <v>165611796.82999998</v>
      </c>
      <c r="X104" s="112"/>
      <c r="Y104" s="113">
        <f>IF((W104+U104)=0,"",U104/(W104+U104))</f>
        <v>8.9804747068254597E-3</v>
      </c>
      <c r="Z104" s="113"/>
      <c r="AA104" s="113"/>
      <c r="AB104" s="113"/>
      <c r="AC104" s="113"/>
      <c r="AD104" s="16"/>
    </row>
    <row r="105" spans="1:32" x14ac:dyDescent="0.2">
      <c r="A105" s="16" t="s">
        <v>79</v>
      </c>
      <c r="B105" s="16" t="s">
        <v>18</v>
      </c>
      <c r="C105" s="16" t="s">
        <v>79</v>
      </c>
      <c r="D105" s="16" t="s">
        <v>18</v>
      </c>
      <c r="F105" s="111"/>
      <c r="G105" s="111"/>
      <c r="H105" s="112"/>
      <c r="I105" s="112"/>
      <c r="J105" s="111"/>
      <c r="K105" s="111"/>
      <c r="L105" s="111"/>
      <c r="M105" s="112"/>
      <c r="N105" s="112"/>
      <c r="O105" s="111"/>
      <c r="P105" s="111"/>
      <c r="Q105" s="111"/>
      <c r="R105" s="112"/>
      <c r="S105" s="112"/>
      <c r="T105" s="111"/>
      <c r="U105" s="111"/>
      <c r="V105" s="111"/>
      <c r="W105" s="112"/>
      <c r="X105" s="112"/>
      <c r="Y105" s="111"/>
      <c r="Z105" s="111"/>
      <c r="AA105" s="111"/>
      <c r="AB105" s="111"/>
      <c r="AC105" s="111"/>
      <c r="AD105" s="16"/>
    </row>
    <row r="106" spans="1:32" x14ac:dyDescent="0.2">
      <c r="A106" s="67" t="s">
        <v>106</v>
      </c>
      <c r="B106" s="67" t="s">
        <v>0</v>
      </c>
      <c r="C106" s="67" t="s">
        <v>106</v>
      </c>
      <c r="D106" s="67" t="s">
        <v>1</v>
      </c>
      <c r="E106" s="110" t="str">
        <f>"AMT="&amp;A106</f>
        <v>AMT=WEATHER</v>
      </c>
      <c r="F106" s="112">
        <f>ABS(DSUM(VARDATA2,H$6-1,$A105:$B106))+ABS(DSUM(VARDATA2,F$6-1,$A105:$B106))</f>
        <v>0</v>
      </c>
      <c r="G106" s="112"/>
      <c r="H106" s="112">
        <f>ABS(DSUM(VARDATA2,F$6-1,$C105:$D106))+ABS(DSUM(VARDATA2,H$6-1,$C105:$D106))</f>
        <v>0</v>
      </c>
      <c r="I106" s="112"/>
      <c r="J106" s="113" t="str">
        <f>IF((H106+F106)=0,"",F106/(H106+F106))</f>
        <v/>
      </c>
      <c r="K106" s="112">
        <f>ABS(DSUM(VARDATA2,M$6-1,$A105:$B106))+ABS(DSUM(VARDATA2,K$6-1,$A105:$B106))</f>
        <v>0</v>
      </c>
      <c r="L106" s="112"/>
      <c r="M106" s="112">
        <f>ABS(DSUM(VARDATA2,K$6-1,$C105:$D106))+ABS(DSUM(VARDATA2,M$6-1,$C105:$D106))</f>
        <v>0</v>
      </c>
      <c r="N106" s="112"/>
      <c r="O106" s="113" t="str">
        <f>IF((M106+K106)=0,"",K106/(M106+K106))</f>
        <v/>
      </c>
      <c r="P106" s="112">
        <f>ABS(DSUM(VARDATA2,R$6-1,$A105:$B106))+ABS(DSUM(VARDATA2,P$6-1,$A105:$B106))</f>
        <v>0</v>
      </c>
      <c r="Q106" s="112"/>
      <c r="R106" s="112">
        <f>ABS(DSUM(VARDATA2,P$6-1,$C105:$D106))+ABS(DSUM(VARDATA2,R$6-1,$C105:$D106))</f>
        <v>0</v>
      </c>
      <c r="S106" s="112"/>
      <c r="T106" s="113" t="str">
        <f>IF((R106+P106)=0,"",P106/(R106+P106))</f>
        <v/>
      </c>
      <c r="U106" s="112">
        <f>ABS(DSUM(VARDATA2,W$6-1,$A105:$B106))+ABS(DSUM(VARDATA2,U$6-1,$A105:$B106))</f>
        <v>0</v>
      </c>
      <c r="V106" s="112"/>
      <c r="W106" s="112">
        <f>ABS(DSUM(VARDATA2,U$6-1,$C105:$D106))+ABS(DSUM(VARDATA2,W$6-1,$C105:$D106))</f>
        <v>0</v>
      </c>
      <c r="X106" s="112"/>
      <c r="Y106" s="113" t="str">
        <f>IF((W106+U106)=0,"",U106/(W106+U106))</f>
        <v/>
      </c>
      <c r="Z106" s="113"/>
      <c r="AA106" s="113"/>
      <c r="AB106" s="113"/>
      <c r="AC106" s="113"/>
      <c r="AD106" s="16"/>
    </row>
    <row r="107" spans="1:32" s="110" customFormat="1" x14ac:dyDescent="0.2">
      <c r="A107" s="110" t="s">
        <v>10</v>
      </c>
      <c r="B107" s="63"/>
      <c r="C107" s="63"/>
      <c r="D107" s="63"/>
      <c r="E107" s="110" t="str">
        <f>"AMT="&amp;A107</f>
        <v>AMT=TOTAL</v>
      </c>
      <c r="F107" s="114">
        <f>SUM(F78:F106)</f>
        <v>308526673.21999991</v>
      </c>
      <c r="G107" s="114"/>
      <c r="H107" s="114">
        <f>SUM(H78:H106)</f>
        <v>1248033378.1800001</v>
      </c>
      <c r="I107" s="114"/>
      <c r="J107" s="115">
        <f>IF((H107+F107)=0,"",F107/(H107+F107))</f>
        <v>0.198210581687809</v>
      </c>
      <c r="K107" s="114">
        <f>SUM(K78:K106)</f>
        <v>2995058985.1300006</v>
      </c>
      <c r="L107" s="114"/>
      <c r="M107" s="114">
        <f>SUM(M78:M106)</f>
        <v>14917622826.859999</v>
      </c>
      <c r="N107" s="114"/>
      <c r="O107" s="115">
        <f>IF((M107+K107)=0,"",K107/(M107+K107))</f>
        <v>0.16720327065293114</v>
      </c>
      <c r="P107" s="114">
        <f>SUM(P78:P106)</f>
        <v>2995058985.1305714</v>
      </c>
      <c r="Q107" s="114"/>
      <c r="R107" s="114">
        <f>SUM(R78:R106)</f>
        <v>14917622826.861265</v>
      </c>
      <c r="S107" s="114"/>
      <c r="T107" s="115">
        <f>IF((R107+P107)=0,"",P107/(R107+P107))</f>
        <v>0.16720327065294585</v>
      </c>
      <c r="U107" s="114">
        <f>SUM(U78:U106)</f>
        <v>4188848893.6100001</v>
      </c>
      <c r="V107" s="114"/>
      <c r="W107" s="114">
        <f>SUM(W78:W106)</f>
        <v>24033331360.960003</v>
      </c>
      <c r="X107" s="114"/>
      <c r="Y107" s="115">
        <f>IF((W107+U107)=0,"",U107/(W107+U107))</f>
        <v>0.14842400040768297</v>
      </c>
      <c r="Z107" s="116"/>
      <c r="AA107" s="116"/>
      <c r="AB107" s="116"/>
      <c r="AC107" s="116"/>
      <c r="AD107" s="63"/>
    </row>
    <row r="108" spans="1:32" x14ac:dyDescent="0.2">
      <c r="E108" s="110"/>
      <c r="AD108" s="16"/>
    </row>
    <row r="109" spans="1:32" x14ac:dyDescent="0.2">
      <c r="E109" s="110"/>
      <c r="AD109" s="16"/>
    </row>
    <row r="110" spans="1:32" x14ac:dyDescent="0.2">
      <c r="A110" s="52"/>
      <c r="D110" s="49"/>
      <c r="E110" s="50"/>
      <c r="F110" s="50"/>
      <c r="G110" s="50"/>
      <c r="H110" s="51"/>
      <c r="I110" s="51"/>
      <c r="J110" s="50"/>
      <c r="K110" s="50"/>
      <c r="L110" s="50"/>
      <c r="M110" s="16"/>
      <c r="N110" s="16"/>
      <c r="O110" s="50"/>
      <c r="P110" s="50"/>
      <c r="Q110" s="50"/>
      <c r="R110" s="51"/>
      <c r="S110" s="51"/>
      <c r="T110" s="50"/>
      <c r="U110" s="50"/>
      <c r="V110" s="50"/>
      <c r="W110" s="16"/>
      <c r="X110" s="16"/>
      <c r="Y110" s="50"/>
      <c r="Z110" s="50"/>
      <c r="AA110" s="50"/>
      <c r="AB110" s="51"/>
      <c r="AC110" s="50"/>
      <c r="AD110" s="51"/>
      <c r="AE110" s="50"/>
      <c r="AF110" s="16"/>
    </row>
    <row r="111" spans="1:32" x14ac:dyDescent="0.2"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spans="1:32" x14ac:dyDescent="0.2">
      <c r="E112" s="110"/>
    </row>
    <row r="113" spans="5:5" x14ac:dyDescent="0.2">
      <c r="E113" s="110"/>
    </row>
    <row r="114" spans="5:5" x14ac:dyDescent="0.2">
      <c r="E114" s="110"/>
    </row>
    <row r="115" spans="5:5" x14ac:dyDescent="0.2">
      <c r="E115" s="110"/>
    </row>
    <row r="116" spans="5:5" x14ac:dyDescent="0.2">
      <c r="E116" s="110"/>
    </row>
    <row r="117" spans="5:5" x14ac:dyDescent="0.2">
      <c r="E117" s="110"/>
    </row>
    <row r="118" spans="5:5" x14ac:dyDescent="0.2">
      <c r="E118" s="110"/>
    </row>
    <row r="119" spans="5:5" x14ac:dyDescent="0.2">
      <c r="E119" s="110"/>
    </row>
    <row r="120" spans="5:5" x14ac:dyDescent="0.2">
      <c r="E120" s="110"/>
    </row>
    <row r="121" spans="5:5" x14ac:dyDescent="0.2">
      <c r="E121" s="110"/>
    </row>
    <row r="122" spans="5:5" x14ac:dyDescent="0.2">
      <c r="E122" s="110"/>
    </row>
    <row r="123" spans="5:5" x14ac:dyDescent="0.2">
      <c r="E123" s="110"/>
    </row>
    <row r="124" spans="5:5" x14ac:dyDescent="0.2">
      <c r="E124" s="110"/>
    </row>
    <row r="125" spans="5:5" x14ac:dyDescent="0.2">
      <c r="E125" s="110"/>
    </row>
    <row r="126" spans="5:5" x14ac:dyDescent="0.2">
      <c r="E126" s="110"/>
    </row>
    <row r="127" spans="5:5" x14ac:dyDescent="0.2">
      <c r="E127" s="110"/>
    </row>
    <row r="128" spans="5:5" x14ac:dyDescent="0.2">
      <c r="E128" s="110"/>
    </row>
    <row r="129" spans="5:5" x14ac:dyDescent="0.2">
      <c r="E129" s="110"/>
    </row>
    <row r="130" spans="5:5" x14ac:dyDescent="0.2">
      <c r="E130" s="110"/>
    </row>
    <row r="131" spans="5:5" x14ac:dyDescent="0.2">
      <c r="E131" s="110"/>
    </row>
    <row r="132" spans="5:5" x14ac:dyDescent="0.2">
      <c r="E132" s="110"/>
    </row>
    <row r="133" spans="5:5" x14ac:dyDescent="0.2">
      <c r="E133" s="110"/>
    </row>
    <row r="134" spans="5:5" x14ac:dyDescent="0.2">
      <c r="E134" s="110"/>
    </row>
    <row r="135" spans="5:5" x14ac:dyDescent="0.2">
      <c r="E135" s="110"/>
    </row>
    <row r="136" spans="5:5" x14ac:dyDescent="0.2">
      <c r="E136" s="110"/>
    </row>
    <row r="137" spans="5:5" x14ac:dyDescent="0.2">
      <c r="E137" s="110"/>
    </row>
    <row r="138" spans="5:5" x14ac:dyDescent="0.2">
      <c r="E138" s="110"/>
    </row>
    <row r="139" spans="5:5" x14ac:dyDescent="0.2">
      <c r="E139" s="110"/>
    </row>
    <row r="140" spans="5:5" x14ac:dyDescent="0.2">
      <c r="E140" s="110"/>
    </row>
    <row r="141" spans="5:5" x14ac:dyDescent="0.2">
      <c r="E141" s="110"/>
    </row>
    <row r="142" spans="5:5" x14ac:dyDescent="0.2">
      <c r="E142" s="110"/>
    </row>
    <row r="143" spans="5:5" x14ac:dyDescent="0.2">
      <c r="E143" s="110"/>
    </row>
    <row r="144" spans="5:5" x14ac:dyDescent="0.2">
      <c r="E144" s="110"/>
    </row>
    <row r="145" spans="5:5" x14ac:dyDescent="0.2">
      <c r="E145" s="110"/>
    </row>
    <row r="146" spans="5:5" x14ac:dyDescent="0.2">
      <c r="E146" s="110"/>
    </row>
    <row r="147" spans="5:5" x14ac:dyDescent="0.2">
      <c r="E147" s="110"/>
    </row>
    <row r="148" spans="5:5" x14ac:dyDescent="0.2">
      <c r="E148" s="110"/>
    </row>
    <row r="149" spans="5:5" x14ac:dyDescent="0.2">
      <c r="E149" s="110"/>
    </row>
    <row r="150" spans="5:5" x14ac:dyDescent="0.2">
      <c r="E150" s="110"/>
    </row>
    <row r="151" spans="5:5" x14ac:dyDescent="0.2">
      <c r="E151" s="110"/>
    </row>
    <row r="152" spans="5:5" x14ac:dyDescent="0.2">
      <c r="E152" s="110"/>
    </row>
    <row r="153" spans="5:5" x14ac:dyDescent="0.2">
      <c r="E153" s="110"/>
    </row>
    <row r="154" spans="5:5" x14ac:dyDescent="0.2">
      <c r="E154" s="110"/>
    </row>
    <row r="155" spans="5:5" x14ac:dyDescent="0.2">
      <c r="E155" s="110"/>
    </row>
    <row r="156" spans="5:5" x14ac:dyDescent="0.2">
      <c r="E156" s="110"/>
    </row>
    <row r="157" spans="5:5" x14ac:dyDescent="0.2">
      <c r="E157" s="110"/>
    </row>
    <row r="158" spans="5:5" x14ac:dyDescent="0.2">
      <c r="E158" s="110"/>
    </row>
    <row r="159" spans="5:5" x14ac:dyDescent="0.2">
      <c r="E159" s="110"/>
    </row>
    <row r="160" spans="5:5" x14ac:dyDescent="0.2">
      <c r="E160" s="110"/>
    </row>
    <row r="161" spans="5:5" x14ac:dyDescent="0.2">
      <c r="E161" s="110"/>
    </row>
    <row r="162" spans="5:5" x14ac:dyDescent="0.2">
      <c r="E162" s="110"/>
    </row>
    <row r="163" spans="5:5" x14ac:dyDescent="0.2">
      <c r="E163" s="110"/>
    </row>
    <row r="164" spans="5:5" x14ac:dyDescent="0.2">
      <c r="E164" s="110"/>
    </row>
    <row r="165" spans="5:5" x14ac:dyDescent="0.2">
      <c r="E165" s="110"/>
    </row>
    <row r="166" spans="5:5" x14ac:dyDescent="0.2">
      <c r="E166" s="110"/>
    </row>
    <row r="167" spans="5:5" x14ac:dyDescent="0.2">
      <c r="E167" s="110"/>
    </row>
    <row r="168" spans="5:5" x14ac:dyDescent="0.2">
      <c r="E168" s="110"/>
    </row>
    <row r="169" spans="5:5" x14ac:dyDescent="0.2">
      <c r="E169" s="110"/>
    </row>
    <row r="170" spans="5:5" x14ac:dyDescent="0.2">
      <c r="E170" s="110"/>
    </row>
    <row r="171" spans="5:5" x14ac:dyDescent="0.2">
      <c r="E171" s="110"/>
    </row>
    <row r="172" spans="5:5" x14ac:dyDescent="0.2">
      <c r="E172" s="110"/>
    </row>
    <row r="173" spans="5:5" x14ac:dyDescent="0.2">
      <c r="E173" s="110"/>
    </row>
    <row r="174" spans="5:5" x14ac:dyDescent="0.2">
      <c r="E174" s="110"/>
    </row>
    <row r="175" spans="5:5" x14ac:dyDescent="0.2">
      <c r="E175" s="110"/>
    </row>
    <row r="176" spans="5:5" x14ac:dyDescent="0.2">
      <c r="E176" s="110"/>
    </row>
    <row r="177" spans="5:5" x14ac:dyDescent="0.2">
      <c r="E177" s="110"/>
    </row>
    <row r="178" spans="5:5" x14ac:dyDescent="0.2">
      <c r="E178" s="110"/>
    </row>
    <row r="179" spans="5:5" x14ac:dyDescent="0.2">
      <c r="E179" s="110"/>
    </row>
    <row r="180" spans="5:5" x14ac:dyDescent="0.2">
      <c r="E180" s="110"/>
    </row>
    <row r="181" spans="5:5" x14ac:dyDescent="0.2">
      <c r="E181" s="110"/>
    </row>
    <row r="182" spans="5:5" x14ac:dyDescent="0.2">
      <c r="E182" s="110"/>
    </row>
    <row r="183" spans="5:5" x14ac:dyDescent="0.2">
      <c r="E183" s="110"/>
    </row>
    <row r="184" spans="5:5" x14ac:dyDescent="0.2">
      <c r="E184" s="110"/>
    </row>
    <row r="185" spans="5:5" x14ac:dyDescent="0.2">
      <c r="E185" s="110"/>
    </row>
    <row r="186" spans="5:5" x14ac:dyDescent="0.2">
      <c r="E186" s="110"/>
    </row>
    <row r="187" spans="5:5" x14ac:dyDescent="0.2">
      <c r="E187" s="110"/>
    </row>
    <row r="188" spans="5:5" x14ac:dyDescent="0.2">
      <c r="E188" s="110"/>
    </row>
    <row r="189" spans="5:5" x14ac:dyDescent="0.2">
      <c r="E189" s="110"/>
    </row>
    <row r="190" spans="5:5" x14ac:dyDescent="0.2">
      <c r="E190" s="110"/>
    </row>
    <row r="191" spans="5:5" x14ac:dyDescent="0.2">
      <c r="E191" s="110"/>
    </row>
    <row r="192" spans="5:5" x14ac:dyDescent="0.2">
      <c r="E192" s="110"/>
    </row>
    <row r="193" spans="5:5" x14ac:dyDescent="0.2">
      <c r="E193" s="110"/>
    </row>
    <row r="194" spans="5:5" x14ac:dyDescent="0.2">
      <c r="E194" s="110"/>
    </row>
    <row r="195" spans="5:5" x14ac:dyDescent="0.2">
      <c r="E195" s="110"/>
    </row>
    <row r="196" spans="5:5" x14ac:dyDescent="0.2">
      <c r="E196" s="110"/>
    </row>
    <row r="197" spans="5:5" x14ac:dyDescent="0.2">
      <c r="E197" s="110"/>
    </row>
    <row r="198" spans="5:5" x14ac:dyDescent="0.2">
      <c r="E198" s="110"/>
    </row>
    <row r="199" spans="5:5" x14ac:dyDescent="0.2">
      <c r="E199" s="110"/>
    </row>
    <row r="200" spans="5:5" x14ac:dyDescent="0.2">
      <c r="E200" s="110"/>
    </row>
    <row r="201" spans="5:5" x14ac:dyDescent="0.2">
      <c r="E201" s="110"/>
    </row>
    <row r="202" spans="5:5" x14ac:dyDescent="0.2">
      <c r="E202" s="110"/>
    </row>
    <row r="203" spans="5:5" x14ac:dyDescent="0.2">
      <c r="E203" s="110"/>
    </row>
    <row r="204" spans="5:5" x14ac:dyDescent="0.2">
      <c r="E204" s="110"/>
    </row>
    <row r="205" spans="5:5" x14ac:dyDescent="0.2">
      <c r="E205" s="110"/>
    </row>
    <row r="206" spans="5:5" x14ac:dyDescent="0.2">
      <c r="E206" s="110"/>
    </row>
    <row r="207" spans="5:5" x14ac:dyDescent="0.2">
      <c r="E207" s="110"/>
    </row>
    <row r="208" spans="5:5" x14ac:dyDescent="0.2">
      <c r="E208" s="110"/>
    </row>
    <row r="209" spans="5:5" x14ac:dyDescent="0.2">
      <c r="E209" s="110"/>
    </row>
    <row r="210" spans="5:5" x14ac:dyDescent="0.2">
      <c r="E210" s="110"/>
    </row>
    <row r="211" spans="5:5" x14ac:dyDescent="0.2">
      <c r="E211" s="110"/>
    </row>
    <row r="212" spans="5:5" x14ac:dyDescent="0.2">
      <c r="E212" s="110"/>
    </row>
    <row r="213" spans="5:5" x14ac:dyDescent="0.2">
      <c r="E213" s="110"/>
    </row>
    <row r="214" spans="5:5" x14ac:dyDescent="0.2">
      <c r="E214" s="110"/>
    </row>
    <row r="215" spans="5:5" x14ac:dyDescent="0.2">
      <c r="E215" s="110"/>
    </row>
    <row r="216" spans="5:5" x14ac:dyDescent="0.2">
      <c r="E216" s="110"/>
    </row>
    <row r="217" spans="5:5" x14ac:dyDescent="0.2">
      <c r="E217" s="110"/>
    </row>
    <row r="218" spans="5:5" x14ac:dyDescent="0.2">
      <c r="E218" s="110"/>
    </row>
    <row r="219" spans="5:5" x14ac:dyDescent="0.2">
      <c r="E219" s="110"/>
    </row>
    <row r="220" spans="5:5" x14ac:dyDescent="0.2">
      <c r="E220" s="110"/>
    </row>
    <row r="221" spans="5:5" x14ac:dyDescent="0.2">
      <c r="E221" s="110"/>
    </row>
    <row r="222" spans="5:5" x14ac:dyDescent="0.2">
      <c r="E222" s="110"/>
    </row>
    <row r="223" spans="5:5" x14ac:dyDescent="0.2">
      <c r="E223" s="110"/>
    </row>
    <row r="224" spans="5:5" x14ac:dyDescent="0.2">
      <c r="E224" s="110"/>
    </row>
    <row r="225" spans="5:5" x14ac:dyDescent="0.2">
      <c r="E225" s="110"/>
    </row>
    <row r="226" spans="5:5" x14ac:dyDescent="0.2">
      <c r="E226" s="110"/>
    </row>
    <row r="227" spans="5:5" x14ac:dyDescent="0.2">
      <c r="E227" s="110"/>
    </row>
    <row r="228" spans="5:5" x14ac:dyDescent="0.2">
      <c r="E228" s="110"/>
    </row>
    <row r="229" spans="5:5" x14ac:dyDescent="0.2">
      <c r="E229" s="110"/>
    </row>
    <row r="230" spans="5:5" x14ac:dyDescent="0.2">
      <c r="E230" s="110"/>
    </row>
    <row r="231" spans="5:5" x14ac:dyDescent="0.2">
      <c r="E231" s="110"/>
    </row>
    <row r="232" spans="5:5" x14ac:dyDescent="0.2">
      <c r="E232" s="110"/>
    </row>
    <row r="233" spans="5:5" x14ac:dyDescent="0.2">
      <c r="E233" s="110"/>
    </row>
    <row r="234" spans="5:5" x14ac:dyDescent="0.2">
      <c r="E234" s="110"/>
    </row>
    <row r="235" spans="5:5" x14ac:dyDescent="0.2">
      <c r="E235" s="110"/>
    </row>
    <row r="236" spans="5:5" x14ac:dyDescent="0.2">
      <c r="E236" s="110"/>
    </row>
    <row r="237" spans="5:5" x14ac:dyDescent="0.2">
      <c r="E237" s="110"/>
    </row>
    <row r="238" spans="5:5" x14ac:dyDescent="0.2">
      <c r="E238" s="110"/>
    </row>
    <row r="239" spans="5:5" x14ac:dyDescent="0.2">
      <c r="E239" s="110"/>
    </row>
    <row r="240" spans="5:5" x14ac:dyDescent="0.2">
      <c r="E240" s="110"/>
    </row>
    <row r="241" spans="5:5" x14ac:dyDescent="0.2">
      <c r="E241" s="110"/>
    </row>
    <row r="242" spans="5:5" x14ac:dyDescent="0.2">
      <c r="E242" s="110"/>
    </row>
    <row r="243" spans="5:5" x14ac:dyDescent="0.2">
      <c r="E243" s="110"/>
    </row>
    <row r="244" spans="5:5" x14ac:dyDescent="0.2">
      <c r="E244" s="110"/>
    </row>
    <row r="245" spans="5:5" x14ac:dyDescent="0.2">
      <c r="E245" s="110"/>
    </row>
    <row r="246" spans="5:5" x14ac:dyDescent="0.2">
      <c r="E246" s="110"/>
    </row>
    <row r="247" spans="5:5" x14ac:dyDescent="0.2">
      <c r="E247" s="110"/>
    </row>
    <row r="248" spans="5:5" x14ac:dyDescent="0.2">
      <c r="E248" s="110"/>
    </row>
    <row r="249" spans="5:5" x14ac:dyDescent="0.2">
      <c r="E249" s="110"/>
    </row>
    <row r="250" spans="5:5" x14ac:dyDescent="0.2">
      <c r="E250" s="110"/>
    </row>
    <row r="251" spans="5:5" x14ac:dyDescent="0.2">
      <c r="E251" s="110"/>
    </row>
    <row r="252" spans="5:5" x14ac:dyDescent="0.2">
      <c r="E252" s="110"/>
    </row>
    <row r="253" spans="5:5" x14ac:dyDescent="0.2">
      <c r="E253" s="110"/>
    </row>
    <row r="254" spans="5:5" x14ac:dyDescent="0.2">
      <c r="E254" s="110"/>
    </row>
    <row r="255" spans="5:5" x14ac:dyDescent="0.2">
      <c r="E255" s="110"/>
    </row>
    <row r="256" spans="5:5" x14ac:dyDescent="0.2">
      <c r="E256" s="110"/>
    </row>
    <row r="257" spans="5:5" x14ac:dyDescent="0.2">
      <c r="E257" s="110"/>
    </row>
    <row r="258" spans="5:5" x14ac:dyDescent="0.2">
      <c r="E258" s="110"/>
    </row>
    <row r="259" spans="5:5" x14ac:dyDescent="0.2">
      <c r="E259" s="110"/>
    </row>
    <row r="260" spans="5:5" x14ac:dyDescent="0.2">
      <c r="E260" s="110"/>
    </row>
    <row r="261" spans="5:5" x14ac:dyDescent="0.2">
      <c r="E261" s="110"/>
    </row>
    <row r="262" spans="5:5" x14ac:dyDescent="0.2">
      <c r="E262" s="110"/>
    </row>
    <row r="263" spans="5:5" x14ac:dyDescent="0.2">
      <c r="E263" s="110"/>
    </row>
    <row r="264" spans="5:5" x14ac:dyDescent="0.2">
      <c r="E264" s="110"/>
    </row>
    <row r="265" spans="5:5" x14ac:dyDescent="0.2">
      <c r="E265" s="110"/>
    </row>
    <row r="266" spans="5:5" x14ac:dyDescent="0.2">
      <c r="E266" s="110"/>
    </row>
    <row r="267" spans="5:5" x14ac:dyDescent="0.2">
      <c r="E267" s="110"/>
    </row>
    <row r="268" spans="5:5" x14ac:dyDescent="0.2">
      <c r="E268" s="110"/>
    </row>
    <row r="269" spans="5:5" x14ac:dyDescent="0.2">
      <c r="E269" s="110"/>
    </row>
    <row r="270" spans="5:5" x14ac:dyDescent="0.2">
      <c r="E270" s="110"/>
    </row>
    <row r="271" spans="5:5" x14ac:dyDescent="0.2">
      <c r="E271" s="110"/>
    </row>
    <row r="272" spans="5:5" x14ac:dyDescent="0.2">
      <c r="E272" s="110"/>
    </row>
    <row r="273" spans="5:5" x14ac:dyDescent="0.2">
      <c r="E273" s="110"/>
    </row>
    <row r="274" spans="5:5" x14ac:dyDescent="0.2">
      <c r="E274" s="110"/>
    </row>
    <row r="275" spans="5:5" x14ac:dyDescent="0.2">
      <c r="E275" s="110"/>
    </row>
    <row r="276" spans="5:5" x14ac:dyDescent="0.2">
      <c r="E276" s="110"/>
    </row>
    <row r="277" spans="5:5" x14ac:dyDescent="0.2">
      <c r="E277" s="110"/>
    </row>
    <row r="278" spans="5:5" x14ac:dyDescent="0.2">
      <c r="E278" s="110"/>
    </row>
    <row r="279" spans="5:5" x14ac:dyDescent="0.2">
      <c r="E279" s="110"/>
    </row>
    <row r="280" spans="5:5" x14ac:dyDescent="0.2">
      <c r="E280" s="110"/>
    </row>
    <row r="281" spans="5:5" x14ac:dyDescent="0.2">
      <c r="E281" s="110"/>
    </row>
    <row r="282" spans="5:5" x14ac:dyDescent="0.2">
      <c r="E282" s="110"/>
    </row>
    <row r="283" spans="5:5" x14ac:dyDescent="0.2">
      <c r="E283" s="110"/>
    </row>
    <row r="284" spans="5:5" x14ac:dyDescent="0.2">
      <c r="E284" s="110"/>
    </row>
    <row r="285" spans="5:5" x14ac:dyDescent="0.2">
      <c r="E285" s="110"/>
    </row>
    <row r="286" spans="5:5" x14ac:dyDescent="0.2">
      <c r="E286" s="110"/>
    </row>
    <row r="287" spans="5:5" x14ac:dyDescent="0.2">
      <c r="E287" s="110"/>
    </row>
    <row r="288" spans="5:5" x14ac:dyDescent="0.2">
      <c r="E288" s="110"/>
    </row>
    <row r="289" spans="5:5" x14ac:dyDescent="0.2">
      <c r="E289" s="110"/>
    </row>
    <row r="290" spans="5:5" x14ac:dyDescent="0.2">
      <c r="E290" s="110"/>
    </row>
    <row r="291" spans="5:5" x14ac:dyDescent="0.2">
      <c r="E291" s="110"/>
    </row>
    <row r="292" spans="5:5" x14ac:dyDescent="0.2">
      <c r="E292" s="110"/>
    </row>
    <row r="293" spans="5:5" x14ac:dyDescent="0.2">
      <c r="E293" s="110"/>
    </row>
    <row r="294" spans="5:5" x14ac:dyDescent="0.2">
      <c r="E294" s="110"/>
    </row>
    <row r="295" spans="5:5" x14ac:dyDescent="0.2">
      <c r="E295" s="110"/>
    </row>
    <row r="296" spans="5:5" x14ac:dyDescent="0.2">
      <c r="E296" s="110"/>
    </row>
    <row r="297" spans="5:5" x14ac:dyDescent="0.2">
      <c r="E297" s="110"/>
    </row>
    <row r="298" spans="5:5" x14ac:dyDescent="0.2">
      <c r="E298" s="110"/>
    </row>
    <row r="299" spans="5:5" x14ac:dyDescent="0.2">
      <c r="E299" s="110"/>
    </row>
    <row r="300" spans="5:5" x14ac:dyDescent="0.2">
      <c r="E300" s="110"/>
    </row>
    <row r="301" spans="5:5" x14ac:dyDescent="0.2">
      <c r="E301" s="110"/>
    </row>
    <row r="302" spans="5:5" x14ac:dyDescent="0.2">
      <c r="E302" s="110"/>
    </row>
    <row r="303" spans="5:5" x14ac:dyDescent="0.2">
      <c r="E303" s="110"/>
    </row>
    <row r="304" spans="5:5" x14ac:dyDescent="0.2">
      <c r="E304" s="110"/>
    </row>
    <row r="305" spans="5:5" x14ac:dyDescent="0.2">
      <c r="E305" s="110"/>
    </row>
    <row r="306" spans="5:5" x14ac:dyDescent="0.2">
      <c r="E306" s="110"/>
    </row>
    <row r="307" spans="5:5" x14ac:dyDescent="0.2">
      <c r="E307" s="110"/>
    </row>
    <row r="308" spans="5:5" x14ac:dyDescent="0.2">
      <c r="E308" s="110"/>
    </row>
    <row r="309" spans="5:5" x14ac:dyDescent="0.2">
      <c r="E309" s="110"/>
    </row>
    <row r="310" spans="5:5" x14ac:dyDescent="0.2">
      <c r="E310" s="110"/>
    </row>
    <row r="311" spans="5:5" x14ac:dyDescent="0.2">
      <c r="E311" s="110"/>
    </row>
    <row r="312" spans="5:5" x14ac:dyDescent="0.2">
      <c r="E312" s="110"/>
    </row>
    <row r="313" spans="5:5" x14ac:dyDescent="0.2">
      <c r="E313" s="110"/>
    </row>
    <row r="314" spans="5:5" x14ac:dyDescent="0.2">
      <c r="E314" s="110"/>
    </row>
    <row r="315" spans="5:5" x14ac:dyDescent="0.2">
      <c r="E315" s="110"/>
    </row>
    <row r="316" spans="5:5" x14ac:dyDescent="0.2">
      <c r="E316" s="110"/>
    </row>
    <row r="317" spans="5:5" x14ac:dyDescent="0.2">
      <c r="E317" s="110"/>
    </row>
    <row r="318" spans="5:5" x14ac:dyDescent="0.2">
      <c r="E318" s="110"/>
    </row>
    <row r="319" spans="5:5" x14ac:dyDescent="0.2">
      <c r="E319" s="110"/>
    </row>
    <row r="320" spans="5:5" x14ac:dyDescent="0.2">
      <c r="E320" s="110"/>
    </row>
    <row r="321" spans="5:5" x14ac:dyDescent="0.2">
      <c r="E321" s="110"/>
    </row>
    <row r="322" spans="5:5" x14ac:dyDescent="0.2">
      <c r="E322" s="110"/>
    </row>
    <row r="323" spans="5:5" x14ac:dyDescent="0.2">
      <c r="E323" s="110"/>
    </row>
    <row r="324" spans="5:5" x14ac:dyDescent="0.2">
      <c r="E324" s="110"/>
    </row>
    <row r="325" spans="5:5" x14ac:dyDescent="0.2">
      <c r="E325" s="110"/>
    </row>
    <row r="326" spans="5:5" x14ac:dyDescent="0.2">
      <c r="E326" s="110"/>
    </row>
    <row r="327" spans="5:5" x14ac:dyDescent="0.2">
      <c r="E327" s="110"/>
    </row>
    <row r="328" spans="5:5" x14ac:dyDescent="0.2">
      <c r="E328" s="110"/>
    </row>
    <row r="329" spans="5:5" x14ac:dyDescent="0.2">
      <c r="E329" s="110"/>
    </row>
  </sheetData>
  <pageMargins left="0.25" right="0.25" top="0.5" bottom="0.5" header="0" footer="0"/>
  <pageSetup scale="5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88"/>
  <sheetViews>
    <sheetView zoomScale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2.75" x14ac:dyDescent="0.2"/>
  <cols>
    <col min="1" max="1" width="31.7109375" style="1" customWidth="1"/>
    <col min="2" max="2" width="26.28515625" style="1" customWidth="1"/>
    <col min="3" max="3" width="21.140625" bestFit="1" customWidth="1"/>
    <col min="5" max="5" width="14.85546875" style="33" customWidth="1"/>
    <col min="6" max="6" width="18.85546875" style="33" customWidth="1"/>
    <col min="7" max="7" width="14.85546875" style="33" customWidth="1"/>
    <col min="8" max="8" width="15.5703125" style="33" customWidth="1"/>
    <col min="9" max="19" width="14.85546875" style="33" customWidth="1"/>
    <col min="20" max="20" width="13.140625" style="33" customWidth="1"/>
    <col min="21" max="22" width="15" style="33" customWidth="1"/>
    <col min="23" max="24" width="15" customWidth="1"/>
  </cols>
  <sheetData>
    <row r="1" spans="1:47" s="106" customFormat="1" ht="17.25" thickBot="1" x14ac:dyDescent="0.4">
      <c r="A1" s="101"/>
      <c r="B1" s="101"/>
      <c r="C1" s="102">
        <v>36551</v>
      </c>
      <c r="D1" s="103"/>
      <c r="E1" s="104">
        <f>SUM(E3:E59)</f>
        <v>51053</v>
      </c>
      <c r="F1" s="104">
        <f t="shared" ref="F1:X1" si="0">SUM(F3:F59)</f>
        <v>5284710340.8499994</v>
      </c>
      <c r="G1" s="104">
        <f t="shared" si="0"/>
        <v>5255559993.3200006</v>
      </c>
      <c r="H1" s="104">
        <f t="shared" si="0"/>
        <v>17275589987.819996</v>
      </c>
      <c r="I1" s="104">
        <f t="shared" si="0"/>
        <v>11164506918.599998</v>
      </c>
      <c r="J1" s="104">
        <f t="shared" si="0"/>
        <v>30544</v>
      </c>
      <c r="K1" s="104">
        <f t="shared" si="0"/>
        <v>2465090247.4299989</v>
      </c>
      <c r="L1" s="104">
        <f t="shared" si="0"/>
        <v>2674302412.1999998</v>
      </c>
      <c r="M1" s="104">
        <f t="shared" si="0"/>
        <v>11075630309.739996</v>
      </c>
      <c r="N1" s="104">
        <f t="shared" si="0"/>
        <v>7054968154.1000004</v>
      </c>
      <c r="O1" s="104">
        <f t="shared" si="0"/>
        <v>2580</v>
      </c>
      <c r="P1" s="104">
        <f t="shared" si="0"/>
        <v>214099259.17999998</v>
      </c>
      <c r="Q1" s="104">
        <f t="shared" si="0"/>
        <v>191977176.11000001</v>
      </c>
      <c r="R1" s="104">
        <f t="shared" si="0"/>
        <v>1024843792.6500001</v>
      </c>
      <c r="S1" s="104">
        <f t="shared" si="0"/>
        <v>545722584.08000004</v>
      </c>
      <c r="T1" s="104">
        <f t="shared" si="0"/>
        <v>30544</v>
      </c>
      <c r="U1" s="104">
        <f t="shared" si="0"/>
        <v>2465090247.4208345</v>
      </c>
      <c r="V1" s="104">
        <f t="shared" si="0"/>
        <v>2674302412.1914625</v>
      </c>
      <c r="W1" s="104">
        <f t="shared" si="0"/>
        <v>11075630309.731974</v>
      </c>
      <c r="X1" s="104">
        <f t="shared" si="0"/>
        <v>7054968154.1055336</v>
      </c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</row>
    <row r="2" spans="1:47" ht="13.5" thickBot="1" x14ac:dyDescent="0.25">
      <c r="A2" s="30"/>
      <c r="B2" s="30"/>
      <c r="C2" s="34"/>
      <c r="D2" s="35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</row>
    <row r="3" spans="1:47" s="4" customFormat="1" ht="13.5" thickBot="1" x14ac:dyDescent="0.25">
      <c r="A3" s="1"/>
      <c r="B3" s="1" t="s">
        <v>79</v>
      </c>
      <c r="C3" s="109" t="s">
        <v>21</v>
      </c>
      <c r="D3" s="63" t="s">
        <v>18</v>
      </c>
      <c r="E3" s="107" t="s">
        <v>39</v>
      </c>
      <c r="F3" s="107" t="s">
        <v>40</v>
      </c>
      <c r="G3" s="107" t="s">
        <v>41</v>
      </c>
      <c r="H3" s="107" t="s">
        <v>42</v>
      </c>
      <c r="I3" s="107" t="s">
        <v>43</v>
      </c>
      <c r="J3" s="107" t="s">
        <v>44</v>
      </c>
      <c r="K3" s="107" t="s">
        <v>45</v>
      </c>
      <c r="L3" s="107" t="s">
        <v>46</v>
      </c>
      <c r="M3" s="107" t="s">
        <v>47</v>
      </c>
      <c r="N3" s="107" t="s">
        <v>48</v>
      </c>
      <c r="O3" s="107" t="s">
        <v>49</v>
      </c>
      <c r="P3" s="107" t="s">
        <v>50</v>
      </c>
      <c r="Q3" s="107" t="s">
        <v>51</v>
      </c>
      <c r="R3" s="107" t="s">
        <v>52</v>
      </c>
      <c r="S3" s="107" t="s">
        <v>53</v>
      </c>
      <c r="T3" s="107" t="s">
        <v>69</v>
      </c>
      <c r="U3" s="107" t="s">
        <v>70</v>
      </c>
      <c r="V3" s="107" t="s">
        <v>71</v>
      </c>
      <c r="W3" s="107" t="s">
        <v>72</v>
      </c>
      <c r="X3" s="107" t="s">
        <v>73</v>
      </c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</row>
    <row r="4" spans="1:47" x14ac:dyDescent="0.2">
      <c r="A4" s="30" t="str">
        <f t="shared" ref="A4:A22" si="1">C4&amp;"="&amp;D4</f>
        <v>COAL-PHYSICAL=Yes</v>
      </c>
      <c r="B4" s="30" t="str">
        <f t="shared" ref="B4:B22" si="2">LEFT(C4,FIND("-",C4)-1)</f>
        <v>COAL</v>
      </c>
      <c r="C4" s="16" t="s">
        <v>179</v>
      </c>
      <c r="D4" s="108" t="s">
        <v>0</v>
      </c>
      <c r="E4" s="51">
        <v>51</v>
      </c>
      <c r="F4" s="51">
        <v>827250</v>
      </c>
      <c r="G4" s="51">
        <v>686250</v>
      </c>
      <c r="H4" s="51">
        <v>9283751.25</v>
      </c>
      <c r="I4" s="51">
        <v>9613537.5</v>
      </c>
      <c r="J4" s="51">
        <v>30</v>
      </c>
      <c r="K4" s="51">
        <v>546750</v>
      </c>
      <c r="L4" s="51">
        <v>336000</v>
      </c>
      <c r="M4" s="51">
        <v>6378326.25</v>
      </c>
      <c r="N4" s="51">
        <v>4982587.5</v>
      </c>
      <c r="O4" s="51"/>
      <c r="P4" s="51"/>
      <c r="Q4" s="51"/>
      <c r="R4" s="51"/>
      <c r="S4" s="51"/>
      <c r="T4" s="51">
        <v>30</v>
      </c>
      <c r="U4" s="51">
        <v>546750</v>
      </c>
      <c r="V4" s="51">
        <v>336000</v>
      </c>
      <c r="W4" s="51">
        <v>6378326.25</v>
      </c>
      <c r="X4" s="51">
        <v>4982587.5</v>
      </c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</row>
    <row r="5" spans="1:47" x14ac:dyDescent="0.2">
      <c r="A5" s="30" t="str">
        <f t="shared" si="1"/>
        <v>COAL-PHYSICAL=No</v>
      </c>
      <c r="B5" s="30" t="str">
        <f t="shared" si="2"/>
        <v>COAL</v>
      </c>
      <c r="C5" s="16" t="s">
        <v>179</v>
      </c>
      <c r="D5" s="108" t="s">
        <v>1</v>
      </c>
      <c r="E5" s="51">
        <v>100</v>
      </c>
      <c r="F5" s="51">
        <v>2319499.1</v>
      </c>
      <c r="G5" s="51">
        <v>6103043</v>
      </c>
      <c r="H5" s="51">
        <v>23312585.550000001</v>
      </c>
      <c r="I5" s="51">
        <v>57211565.240000002</v>
      </c>
      <c r="J5" s="51">
        <v>52</v>
      </c>
      <c r="K5" s="51">
        <v>1319499</v>
      </c>
      <c r="L5" s="51">
        <v>1118093</v>
      </c>
      <c r="M5" s="51">
        <v>14926470.6</v>
      </c>
      <c r="N5" s="51">
        <v>26190460.280000001</v>
      </c>
      <c r="O5" s="51">
        <v>1</v>
      </c>
      <c r="P5" s="51">
        <v>23250</v>
      </c>
      <c r="Q5" s="51">
        <v>0</v>
      </c>
      <c r="R5" s="51">
        <v>556837.5</v>
      </c>
      <c r="S5" s="51">
        <v>0</v>
      </c>
      <c r="T5" s="51">
        <v>52</v>
      </c>
      <c r="U5" s="51">
        <v>1319499</v>
      </c>
      <c r="V5" s="51">
        <v>1118093</v>
      </c>
      <c r="W5" s="51">
        <v>14926470.6</v>
      </c>
      <c r="X5" s="51">
        <v>26190460.280000001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</row>
    <row r="6" spans="1:47" x14ac:dyDescent="0.2">
      <c r="A6" s="30" t="str">
        <f t="shared" si="1"/>
        <v>CONTINENTAL GAS-FINANCIAL=No</v>
      </c>
      <c r="B6" s="30" t="str">
        <f t="shared" si="2"/>
        <v>CONTINENTAL GAS</v>
      </c>
      <c r="C6" s="16" t="s">
        <v>180</v>
      </c>
      <c r="D6" s="108" t="s">
        <v>1</v>
      </c>
      <c r="E6" s="51">
        <v>28</v>
      </c>
      <c r="F6" s="51">
        <v>2295501.7000000002</v>
      </c>
      <c r="G6" s="51">
        <v>0</v>
      </c>
      <c r="H6" s="51">
        <v>138022.17000000001</v>
      </c>
      <c r="I6" s="51">
        <v>0</v>
      </c>
      <c r="J6" s="51">
        <v>28</v>
      </c>
      <c r="K6" s="51">
        <v>2295501.7000000002</v>
      </c>
      <c r="L6" s="51">
        <v>0</v>
      </c>
      <c r="M6" s="51">
        <v>138022.17000000001</v>
      </c>
      <c r="N6" s="51">
        <v>0</v>
      </c>
      <c r="O6" s="51">
        <v>2</v>
      </c>
      <c r="P6" s="51">
        <v>200000</v>
      </c>
      <c r="Q6" s="51">
        <v>0</v>
      </c>
      <c r="R6" s="51">
        <v>0</v>
      </c>
      <c r="S6" s="51">
        <v>0</v>
      </c>
      <c r="T6" s="51">
        <v>28</v>
      </c>
      <c r="U6" s="51">
        <v>2295501.6976000001</v>
      </c>
      <c r="V6" s="51">
        <v>0</v>
      </c>
      <c r="W6" s="51">
        <v>138022.17454882801</v>
      </c>
      <c r="X6" s="51">
        <v>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</row>
    <row r="7" spans="1:47" x14ac:dyDescent="0.2">
      <c r="A7" s="30" t="str">
        <f t="shared" si="1"/>
        <v>CONTINENTAL GAS-PHYSICAL=Yes</v>
      </c>
      <c r="B7" s="30" t="str">
        <f t="shared" si="2"/>
        <v>CONTINENTAL GAS</v>
      </c>
      <c r="C7" s="16" t="s">
        <v>181</v>
      </c>
      <c r="D7" s="108" t="s">
        <v>0</v>
      </c>
      <c r="E7" s="51">
        <v>49</v>
      </c>
      <c r="F7" s="51">
        <v>7125000</v>
      </c>
      <c r="G7" s="51">
        <v>4027500</v>
      </c>
      <c r="H7" s="51">
        <v>21270544.879999999</v>
      </c>
      <c r="I7" s="51">
        <v>0</v>
      </c>
      <c r="J7" s="51">
        <v>49</v>
      </c>
      <c r="K7" s="51">
        <v>7125000</v>
      </c>
      <c r="L7" s="51">
        <v>4027500</v>
      </c>
      <c r="M7" s="51">
        <v>21270544.879999999</v>
      </c>
      <c r="N7" s="51">
        <v>0</v>
      </c>
      <c r="O7" s="51">
        <v>1</v>
      </c>
      <c r="P7" s="51">
        <v>0</v>
      </c>
      <c r="Q7" s="51">
        <v>72500</v>
      </c>
      <c r="R7" s="51">
        <v>165150.76999999999</v>
      </c>
      <c r="S7" s="51">
        <v>0</v>
      </c>
      <c r="T7" s="51">
        <v>49</v>
      </c>
      <c r="U7" s="51">
        <v>7125000</v>
      </c>
      <c r="V7" s="51">
        <v>4027500</v>
      </c>
      <c r="W7" s="51">
        <v>21270544.882317301</v>
      </c>
      <c r="X7" s="51">
        <v>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</row>
    <row r="8" spans="1:47" x14ac:dyDescent="0.2">
      <c r="A8" s="30" t="str">
        <f t="shared" si="1"/>
        <v>CONTINENTAL GAS-PHYSICAL=No</v>
      </c>
      <c r="B8" s="30" t="str">
        <f t="shared" si="2"/>
        <v>CONTINENTAL GAS</v>
      </c>
      <c r="C8" s="16" t="s">
        <v>181</v>
      </c>
      <c r="D8" s="108" t="s">
        <v>1</v>
      </c>
      <c r="E8" s="51">
        <v>190</v>
      </c>
      <c r="F8" s="51">
        <v>20991233.800000001</v>
      </c>
      <c r="G8" s="51">
        <v>7933735.0199999996</v>
      </c>
      <c r="H8" s="51">
        <v>56630786.979999997</v>
      </c>
      <c r="I8" s="51">
        <v>0</v>
      </c>
      <c r="J8" s="51">
        <v>190</v>
      </c>
      <c r="K8" s="51">
        <v>20991233.800000001</v>
      </c>
      <c r="L8" s="51">
        <v>7933735.0199999996</v>
      </c>
      <c r="M8" s="51">
        <v>56630786.979999997</v>
      </c>
      <c r="N8" s="51">
        <v>0</v>
      </c>
      <c r="O8" s="51">
        <v>11</v>
      </c>
      <c r="P8" s="51">
        <v>639736.42000000004</v>
      </c>
      <c r="Q8" s="51">
        <v>173721.3</v>
      </c>
      <c r="R8" s="51">
        <v>1782469.72</v>
      </c>
      <c r="S8" s="51">
        <v>0</v>
      </c>
      <c r="T8" s="51">
        <v>190</v>
      </c>
      <c r="U8" s="51">
        <v>20991233.795000002</v>
      </c>
      <c r="V8" s="51">
        <v>7933735.0243800003</v>
      </c>
      <c r="W8" s="51">
        <v>56630786.976662204</v>
      </c>
      <c r="X8" s="51">
        <v>0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</row>
    <row r="9" spans="1:47" x14ac:dyDescent="0.2">
      <c r="A9" s="30" t="str">
        <f t="shared" si="1"/>
        <v>CONTINENTAL POWER-FINANCIAL=Yes</v>
      </c>
      <c r="B9" s="30" t="str">
        <f t="shared" si="2"/>
        <v>CONTINENTAL POWER</v>
      </c>
      <c r="C9" s="16" t="s">
        <v>182</v>
      </c>
      <c r="D9" s="108" t="s">
        <v>0</v>
      </c>
      <c r="E9" s="51">
        <v>5</v>
      </c>
      <c r="F9" s="51">
        <v>0</v>
      </c>
      <c r="G9" s="51">
        <v>13000</v>
      </c>
      <c r="H9" s="51">
        <v>328183.74</v>
      </c>
      <c r="I9" s="51">
        <v>0</v>
      </c>
      <c r="J9" s="51">
        <v>5</v>
      </c>
      <c r="K9" s="51">
        <v>0</v>
      </c>
      <c r="L9" s="51">
        <v>13000</v>
      </c>
      <c r="M9" s="51">
        <v>328183.74</v>
      </c>
      <c r="N9" s="51">
        <v>0</v>
      </c>
      <c r="O9" s="51"/>
      <c r="P9" s="51"/>
      <c r="Q9" s="51"/>
      <c r="R9" s="51"/>
      <c r="S9" s="51"/>
      <c r="T9" s="51">
        <v>5</v>
      </c>
      <c r="U9" s="51">
        <v>0</v>
      </c>
      <c r="V9" s="51">
        <v>13000</v>
      </c>
      <c r="W9" s="51">
        <v>328183.74344493798</v>
      </c>
      <c r="X9" s="51">
        <v>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</row>
    <row r="10" spans="1:47" x14ac:dyDescent="0.2">
      <c r="A10" s="30" t="str">
        <f t="shared" si="1"/>
        <v>CONTINENTAL POWER-FINANCIAL=No</v>
      </c>
      <c r="B10" s="30" t="str">
        <f t="shared" si="2"/>
        <v>CONTINENTAL POWER</v>
      </c>
      <c r="C10" s="16" t="s">
        <v>182</v>
      </c>
      <c r="D10" s="108" t="s">
        <v>1</v>
      </c>
      <c r="E10" s="51">
        <v>36</v>
      </c>
      <c r="F10" s="51">
        <v>432366</v>
      </c>
      <c r="G10" s="51">
        <v>341620</v>
      </c>
      <c r="H10" s="51">
        <v>31248650.280000001</v>
      </c>
      <c r="I10" s="51">
        <v>20656450</v>
      </c>
      <c r="J10" s="51">
        <v>36</v>
      </c>
      <c r="K10" s="51">
        <v>432366</v>
      </c>
      <c r="L10" s="51">
        <v>341620</v>
      </c>
      <c r="M10" s="51">
        <v>31248650.280000001</v>
      </c>
      <c r="N10" s="51">
        <v>20656450</v>
      </c>
      <c r="O10" s="51">
        <v>1</v>
      </c>
      <c r="P10" s="51">
        <v>0</v>
      </c>
      <c r="Q10" s="51">
        <v>2300</v>
      </c>
      <c r="R10" s="51">
        <v>39838.71</v>
      </c>
      <c r="S10" s="51">
        <v>0</v>
      </c>
      <c r="T10" s="51">
        <v>36</v>
      </c>
      <c r="U10" s="51">
        <v>432366</v>
      </c>
      <c r="V10" s="51">
        <v>341620</v>
      </c>
      <c r="W10" s="51">
        <v>31248650.275957301</v>
      </c>
      <c r="X10" s="51">
        <v>20656450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</row>
    <row r="11" spans="1:47" x14ac:dyDescent="0.2">
      <c r="A11" s="30" t="str">
        <f t="shared" si="1"/>
        <v>CONTINENTAL POWER-PHYSICAL=Yes</v>
      </c>
      <c r="B11" s="30" t="str">
        <f t="shared" si="2"/>
        <v>CONTINENTAL POWER</v>
      </c>
      <c r="C11" s="16" t="s">
        <v>183</v>
      </c>
      <c r="D11" s="108" t="s">
        <v>0</v>
      </c>
      <c r="E11" s="51">
        <v>25</v>
      </c>
      <c r="F11" s="51">
        <v>52180</v>
      </c>
      <c r="G11" s="51">
        <v>32340</v>
      </c>
      <c r="H11" s="51">
        <v>1775273.29</v>
      </c>
      <c r="I11" s="51">
        <v>181296</v>
      </c>
      <c r="J11" s="51">
        <v>25</v>
      </c>
      <c r="K11" s="51">
        <v>52180</v>
      </c>
      <c r="L11" s="51">
        <v>32340</v>
      </c>
      <c r="M11" s="51">
        <v>1775273.29</v>
      </c>
      <c r="N11" s="51">
        <v>181296</v>
      </c>
      <c r="O11" s="51">
        <v>3</v>
      </c>
      <c r="P11" s="51">
        <v>11220</v>
      </c>
      <c r="Q11" s="51">
        <v>0</v>
      </c>
      <c r="R11" s="51">
        <v>231659.39</v>
      </c>
      <c r="S11" s="51">
        <v>0</v>
      </c>
      <c r="T11" s="51">
        <v>25</v>
      </c>
      <c r="U11" s="51">
        <v>52180</v>
      </c>
      <c r="V11" s="51">
        <v>32340</v>
      </c>
      <c r="W11" s="51">
        <v>1775273.2929734199</v>
      </c>
      <c r="X11" s="51">
        <v>181296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</row>
    <row r="12" spans="1:47" x14ac:dyDescent="0.2">
      <c r="A12" s="30" t="str">
        <f t="shared" si="1"/>
        <v>CONTINENTAL POWER-PHYSICAL=No</v>
      </c>
      <c r="B12" s="30" t="str">
        <f t="shared" si="2"/>
        <v>CONTINENTAL POWER</v>
      </c>
      <c r="C12" s="16" t="s">
        <v>183</v>
      </c>
      <c r="D12" s="108" t="s">
        <v>1</v>
      </c>
      <c r="E12" s="51">
        <v>1129</v>
      </c>
      <c r="F12" s="51">
        <v>1890080.4</v>
      </c>
      <c r="G12" s="51">
        <v>1504388.4</v>
      </c>
      <c r="H12" s="51">
        <v>74749814.930000007</v>
      </c>
      <c r="I12" s="51">
        <v>11835439.01</v>
      </c>
      <c r="J12" s="51">
        <v>1129</v>
      </c>
      <c r="K12" s="51">
        <v>1890080.4</v>
      </c>
      <c r="L12" s="51">
        <v>1504388.4</v>
      </c>
      <c r="M12" s="51">
        <v>74749814.930000007</v>
      </c>
      <c r="N12" s="51">
        <v>11835439.01</v>
      </c>
      <c r="O12" s="51">
        <v>61</v>
      </c>
      <c r="P12" s="51">
        <v>45243</v>
      </c>
      <c r="Q12" s="51">
        <v>17396.900000000001</v>
      </c>
      <c r="R12" s="51">
        <v>1606959.63</v>
      </c>
      <c r="S12" s="51">
        <v>0</v>
      </c>
      <c r="T12" s="51">
        <v>1129</v>
      </c>
      <c r="U12" s="51">
        <v>1890080.4</v>
      </c>
      <c r="V12" s="51">
        <v>1504388.4</v>
      </c>
      <c r="W12" s="51">
        <v>74749814.930218697</v>
      </c>
      <c r="X12" s="51">
        <v>11835439.007999999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</row>
    <row r="13" spans="1:47" x14ac:dyDescent="0.2">
      <c r="A13" s="30" t="str">
        <f t="shared" si="1"/>
        <v>CRUDE &amp; PRODUCTS-BASIS=Yes</v>
      </c>
      <c r="B13" s="30" t="str">
        <f t="shared" si="2"/>
        <v>CRUDE &amp; PRODUCTS</v>
      </c>
      <c r="C13" s="16" t="s">
        <v>184</v>
      </c>
      <c r="D13" s="108" t="s">
        <v>0</v>
      </c>
      <c r="E13" s="51">
        <v>14</v>
      </c>
      <c r="F13" s="51">
        <v>539999.99</v>
      </c>
      <c r="G13" s="51">
        <v>1170000</v>
      </c>
      <c r="H13" s="51">
        <v>9539342.6500000004</v>
      </c>
      <c r="I13" s="51">
        <v>20632566.800000001</v>
      </c>
      <c r="J13" s="51">
        <v>14</v>
      </c>
      <c r="K13" s="51">
        <v>539999.99</v>
      </c>
      <c r="L13" s="51">
        <v>1170000</v>
      </c>
      <c r="M13" s="51">
        <v>9539342.6500000004</v>
      </c>
      <c r="N13" s="51">
        <v>20632566.800000001</v>
      </c>
      <c r="O13" s="51"/>
      <c r="P13" s="51"/>
      <c r="Q13" s="51"/>
      <c r="R13" s="51"/>
      <c r="S13" s="51"/>
      <c r="T13" s="51">
        <v>14</v>
      </c>
      <c r="U13" s="51">
        <v>539999.99490000005</v>
      </c>
      <c r="V13" s="51">
        <v>1169999.9961000001</v>
      </c>
      <c r="W13" s="51">
        <v>9539342.6472539995</v>
      </c>
      <c r="X13" s="51">
        <v>20632566.797892001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</row>
    <row r="14" spans="1:47" x14ac:dyDescent="0.2">
      <c r="A14" s="30" t="str">
        <f t="shared" si="1"/>
        <v>CRUDE &amp; PRODUCTS-BASIS=No</v>
      </c>
      <c r="B14" s="30" t="str">
        <f t="shared" si="2"/>
        <v>CRUDE &amp; PRODUCTS</v>
      </c>
      <c r="C14" s="16" t="s">
        <v>184</v>
      </c>
      <c r="D14" s="108" t="s">
        <v>1</v>
      </c>
      <c r="E14" s="51">
        <v>29</v>
      </c>
      <c r="F14" s="51">
        <v>1991499.99</v>
      </c>
      <c r="G14" s="51">
        <v>1041000.01</v>
      </c>
      <c r="H14" s="51">
        <v>38949983.18</v>
      </c>
      <c r="I14" s="51">
        <v>17572954.379999999</v>
      </c>
      <c r="J14" s="51">
        <v>29</v>
      </c>
      <c r="K14" s="51">
        <v>1991499.99</v>
      </c>
      <c r="L14" s="51">
        <v>1041000.01</v>
      </c>
      <c r="M14" s="51">
        <v>38949983.18</v>
      </c>
      <c r="N14" s="51">
        <v>17572954.379999999</v>
      </c>
      <c r="O14" s="51"/>
      <c r="P14" s="51"/>
      <c r="Q14" s="51"/>
      <c r="R14" s="51"/>
      <c r="S14" s="51"/>
      <c r="T14" s="51">
        <v>29</v>
      </c>
      <c r="U14" s="51">
        <v>1991499.9946999999</v>
      </c>
      <c r="V14" s="51">
        <v>1041000.0081</v>
      </c>
      <c r="W14" s="51">
        <v>38949983.181638002</v>
      </c>
      <c r="X14" s="51">
        <v>17572954.376145002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</row>
    <row r="15" spans="1:47" x14ac:dyDescent="0.2">
      <c r="A15" s="30" t="s">
        <v>208</v>
      </c>
      <c r="B15" s="30" t="s">
        <v>102</v>
      </c>
      <c r="C15" s="16" t="s">
        <v>185</v>
      </c>
      <c r="D15" s="108" t="s">
        <v>0</v>
      </c>
      <c r="E15" s="51">
        <v>2</v>
      </c>
      <c r="F15" s="51">
        <v>93000</v>
      </c>
      <c r="G15" s="51">
        <v>0</v>
      </c>
      <c r="H15" s="51">
        <v>377890</v>
      </c>
      <c r="I15" s="51">
        <v>0</v>
      </c>
      <c r="J15" s="51">
        <v>2</v>
      </c>
      <c r="K15" s="51">
        <v>93000</v>
      </c>
      <c r="L15" s="51">
        <v>0</v>
      </c>
      <c r="M15" s="51">
        <v>377890</v>
      </c>
      <c r="N15" s="51">
        <v>0</v>
      </c>
      <c r="O15" s="51">
        <v>1</v>
      </c>
      <c r="P15" s="51">
        <v>62000</v>
      </c>
      <c r="Q15" s="51">
        <v>0</v>
      </c>
      <c r="R15" s="51">
        <v>251720</v>
      </c>
      <c r="S15" s="51">
        <v>0</v>
      </c>
      <c r="T15" s="51">
        <v>2</v>
      </c>
      <c r="U15" s="51">
        <v>93000</v>
      </c>
      <c r="V15" s="51">
        <v>0</v>
      </c>
      <c r="W15" s="51">
        <v>377890</v>
      </c>
      <c r="X15" s="51">
        <v>0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</row>
    <row r="16" spans="1:47" x14ac:dyDescent="0.2">
      <c r="A16" s="30" t="str">
        <f t="shared" si="1"/>
        <v>CRUDE &amp; PRODUCTS-PHYSICAL=No</v>
      </c>
      <c r="B16" s="30" t="str">
        <f t="shared" si="2"/>
        <v>CRUDE &amp; PRODUCTS</v>
      </c>
      <c r="C16" s="16" t="s">
        <v>185</v>
      </c>
      <c r="D16" s="108" t="s">
        <v>1</v>
      </c>
      <c r="E16" s="51">
        <v>288</v>
      </c>
      <c r="F16" s="51">
        <v>8492081.3200000003</v>
      </c>
      <c r="G16" s="51">
        <v>8056800.6500000004</v>
      </c>
      <c r="H16" s="51">
        <v>371929438.94999999</v>
      </c>
      <c r="I16" s="51">
        <v>533902341.94</v>
      </c>
      <c r="J16" s="51">
        <v>288</v>
      </c>
      <c r="K16" s="51">
        <v>8492081.3200000003</v>
      </c>
      <c r="L16" s="51">
        <v>8056800.6500000004</v>
      </c>
      <c r="M16" s="51">
        <v>371929438.94999999</v>
      </c>
      <c r="N16" s="51">
        <v>533902341.94</v>
      </c>
      <c r="O16" s="51">
        <v>18</v>
      </c>
      <c r="P16" s="51">
        <v>341008</v>
      </c>
      <c r="Q16" s="51">
        <v>255824</v>
      </c>
      <c r="R16" s="51">
        <v>26887190.510000002</v>
      </c>
      <c r="S16" s="51">
        <v>8305115.7699999996</v>
      </c>
      <c r="T16" s="51">
        <v>288</v>
      </c>
      <c r="U16" s="51">
        <v>8492081.3200000003</v>
      </c>
      <c r="V16" s="51">
        <v>8056800.6454999996</v>
      </c>
      <c r="W16" s="51">
        <v>371929438.95376903</v>
      </c>
      <c r="X16" s="51">
        <v>533902341.94342798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</row>
    <row r="17" spans="1:47" x14ac:dyDescent="0.2">
      <c r="A17" s="30" t="str">
        <f t="shared" si="1"/>
        <v>CRUDE &amp; PRODUCTS-PRICE=Yes</v>
      </c>
      <c r="B17" s="30" t="str">
        <f t="shared" si="2"/>
        <v>CRUDE &amp; PRODUCTS</v>
      </c>
      <c r="C17" s="16" t="s">
        <v>186</v>
      </c>
      <c r="D17" s="108" t="s">
        <v>0</v>
      </c>
      <c r="E17" s="51">
        <v>95</v>
      </c>
      <c r="F17" s="51">
        <v>4554999.99</v>
      </c>
      <c r="G17" s="51">
        <v>6124999.9800000004</v>
      </c>
      <c r="H17" s="51">
        <v>105799995.04000001</v>
      </c>
      <c r="I17" s="51">
        <v>110000507.06999999</v>
      </c>
      <c r="J17" s="51">
        <v>95</v>
      </c>
      <c r="K17" s="51">
        <v>4554999.99</v>
      </c>
      <c r="L17" s="51">
        <v>6124999.9800000004</v>
      </c>
      <c r="M17" s="51">
        <v>105799995.04000001</v>
      </c>
      <c r="N17" s="51">
        <v>110000507.06999999</v>
      </c>
      <c r="O17" s="51">
        <v>3</v>
      </c>
      <c r="P17" s="51">
        <v>540000</v>
      </c>
      <c r="Q17" s="51">
        <v>0</v>
      </c>
      <c r="R17" s="51">
        <v>9541350.0899999999</v>
      </c>
      <c r="S17" s="51">
        <v>0</v>
      </c>
      <c r="T17" s="51">
        <v>95</v>
      </c>
      <c r="U17" s="51">
        <v>4554999.9891999997</v>
      </c>
      <c r="V17" s="51">
        <v>6124999.9817000004</v>
      </c>
      <c r="W17" s="51">
        <v>105799995.041168</v>
      </c>
      <c r="X17" s="51">
        <v>110000507.073424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</row>
    <row r="18" spans="1:47" x14ac:dyDescent="0.2">
      <c r="A18" s="30" t="str">
        <f t="shared" si="1"/>
        <v>CRUDE &amp; PRODUCTS-PRICE=No</v>
      </c>
      <c r="B18" s="30" t="str">
        <f t="shared" si="2"/>
        <v>CRUDE &amp; PRODUCTS</v>
      </c>
      <c r="C18" s="16" t="s">
        <v>186</v>
      </c>
      <c r="D18" s="108" t="s">
        <v>1</v>
      </c>
      <c r="E18" s="51">
        <v>717</v>
      </c>
      <c r="F18" s="51">
        <v>41618810.380000003</v>
      </c>
      <c r="G18" s="51">
        <v>34643479.880000003</v>
      </c>
      <c r="H18" s="51">
        <v>2076336980.76</v>
      </c>
      <c r="I18" s="51">
        <v>1511048287.6300001</v>
      </c>
      <c r="J18" s="51">
        <v>717</v>
      </c>
      <c r="K18" s="51">
        <v>41618810.380000003</v>
      </c>
      <c r="L18" s="51">
        <v>34643479.880000003</v>
      </c>
      <c r="M18" s="51">
        <v>2076336980.76</v>
      </c>
      <c r="N18" s="51">
        <v>1511048287.6300001</v>
      </c>
      <c r="O18" s="51">
        <v>64</v>
      </c>
      <c r="P18" s="51">
        <v>3910579.99</v>
      </c>
      <c r="Q18" s="51">
        <v>2458660</v>
      </c>
      <c r="R18" s="51">
        <v>196642426.72999999</v>
      </c>
      <c r="S18" s="51">
        <v>172723616.53</v>
      </c>
      <c r="T18" s="51">
        <v>717</v>
      </c>
      <c r="U18" s="51">
        <v>41618810.376699999</v>
      </c>
      <c r="V18" s="51">
        <v>34643479.881899998</v>
      </c>
      <c r="W18" s="51">
        <v>2076336980.75652</v>
      </c>
      <c r="X18" s="51">
        <v>1511048287.63499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</row>
    <row r="19" spans="1:47" x14ac:dyDescent="0.2">
      <c r="A19" s="30" t="str">
        <f t="shared" si="1"/>
        <v>EMISSIONS-PHYSICAL=Yes</v>
      </c>
      <c r="B19" s="30" t="str">
        <f t="shared" si="2"/>
        <v>EMISSIONS</v>
      </c>
      <c r="C19" s="16" t="s">
        <v>187</v>
      </c>
      <c r="D19" s="108" t="s">
        <v>0</v>
      </c>
      <c r="E19" s="51">
        <v>32</v>
      </c>
      <c r="F19" s="51">
        <v>52500</v>
      </c>
      <c r="G19" s="51">
        <v>27500</v>
      </c>
      <c r="H19" s="51">
        <v>10379925</v>
      </c>
      <c r="I19" s="51">
        <v>0</v>
      </c>
      <c r="J19" s="51">
        <v>32</v>
      </c>
      <c r="K19" s="51">
        <v>52500</v>
      </c>
      <c r="L19" s="51">
        <v>27500</v>
      </c>
      <c r="M19" s="51">
        <v>10379925</v>
      </c>
      <c r="N19" s="51">
        <v>0</v>
      </c>
      <c r="O19" s="51">
        <v>5</v>
      </c>
      <c r="P19" s="51">
        <v>10000</v>
      </c>
      <c r="Q19" s="51">
        <v>2500</v>
      </c>
      <c r="R19" s="51">
        <v>1496875</v>
      </c>
      <c r="S19" s="51">
        <v>0</v>
      </c>
      <c r="T19" s="51">
        <v>32</v>
      </c>
      <c r="U19" s="51">
        <v>52500</v>
      </c>
      <c r="V19" s="51">
        <v>27500</v>
      </c>
      <c r="W19" s="51">
        <v>10379925</v>
      </c>
      <c r="X19" s="51">
        <v>0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</row>
    <row r="20" spans="1:47" x14ac:dyDescent="0.2">
      <c r="A20" s="30" t="str">
        <f t="shared" si="1"/>
        <v>EMISSIONS-PHYSICAL=No</v>
      </c>
      <c r="B20" s="30" t="str">
        <f t="shared" si="2"/>
        <v>EMISSIONS</v>
      </c>
      <c r="C20" s="16" t="s">
        <v>187</v>
      </c>
      <c r="D20" s="108" t="s">
        <v>1</v>
      </c>
      <c r="E20" s="51">
        <v>195</v>
      </c>
      <c r="F20" s="51">
        <v>320924</v>
      </c>
      <c r="G20" s="51">
        <v>360500</v>
      </c>
      <c r="H20" s="51">
        <v>88718697.5</v>
      </c>
      <c r="I20" s="51">
        <v>0</v>
      </c>
      <c r="J20" s="51">
        <v>195</v>
      </c>
      <c r="K20" s="51">
        <v>320924</v>
      </c>
      <c r="L20" s="51">
        <v>360500</v>
      </c>
      <c r="M20" s="51">
        <v>88718697.5</v>
      </c>
      <c r="N20" s="51">
        <v>0</v>
      </c>
      <c r="O20" s="51">
        <v>25</v>
      </c>
      <c r="P20" s="51">
        <v>52500</v>
      </c>
      <c r="Q20" s="51">
        <v>50000</v>
      </c>
      <c r="R20" s="51">
        <v>12250650</v>
      </c>
      <c r="S20" s="51">
        <v>0</v>
      </c>
      <c r="T20" s="51">
        <v>195</v>
      </c>
      <c r="U20" s="51">
        <v>320924</v>
      </c>
      <c r="V20" s="51">
        <v>360500</v>
      </c>
      <c r="W20" s="51">
        <v>88718697.5</v>
      </c>
      <c r="X20" s="51">
        <v>0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</row>
    <row r="21" spans="1:47" x14ac:dyDescent="0.2">
      <c r="A21" s="30" t="str">
        <f t="shared" si="1"/>
        <v>GAS-BASIS=Yes</v>
      </c>
      <c r="B21" s="30" t="str">
        <f t="shared" si="2"/>
        <v>GAS</v>
      </c>
      <c r="C21" s="16" t="s">
        <v>22</v>
      </c>
      <c r="D21" s="108" t="s">
        <v>0</v>
      </c>
      <c r="E21" s="51">
        <v>1427</v>
      </c>
      <c r="F21" s="51">
        <v>382345000</v>
      </c>
      <c r="G21" s="51">
        <v>451430000</v>
      </c>
      <c r="H21" s="51">
        <v>19264725</v>
      </c>
      <c r="I21" s="51">
        <v>28987787.52</v>
      </c>
      <c r="J21" s="51">
        <v>770</v>
      </c>
      <c r="K21" s="51">
        <v>177255000</v>
      </c>
      <c r="L21" s="51">
        <v>255865000</v>
      </c>
      <c r="M21" s="51">
        <v>19264725</v>
      </c>
      <c r="N21" s="51">
        <v>28987787.52</v>
      </c>
      <c r="O21" s="51">
        <v>94</v>
      </c>
      <c r="P21" s="51">
        <v>17550000</v>
      </c>
      <c r="Q21" s="51">
        <v>26040000</v>
      </c>
      <c r="R21" s="51">
        <v>1406750</v>
      </c>
      <c r="S21" s="51">
        <v>3649925.02</v>
      </c>
      <c r="T21" s="51">
        <v>770</v>
      </c>
      <c r="U21" s="51">
        <v>177255000</v>
      </c>
      <c r="V21" s="51">
        <v>255865000</v>
      </c>
      <c r="W21" s="51">
        <v>19264725</v>
      </c>
      <c r="X21" s="51">
        <v>28987787.515500002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</row>
    <row r="22" spans="1:47" x14ac:dyDescent="0.2">
      <c r="A22" s="30" t="str">
        <f t="shared" si="1"/>
        <v>GAS-BASIS=No</v>
      </c>
      <c r="B22" s="30" t="str">
        <f t="shared" si="2"/>
        <v>GAS</v>
      </c>
      <c r="C22" s="16" t="s">
        <v>22</v>
      </c>
      <c r="D22" s="108" t="s">
        <v>1</v>
      </c>
      <c r="E22" s="51">
        <v>2463</v>
      </c>
      <c r="F22" s="51">
        <v>1093725640.75</v>
      </c>
      <c r="G22" s="51">
        <v>1119173713</v>
      </c>
      <c r="H22" s="51">
        <v>97533745.75</v>
      </c>
      <c r="I22" s="51">
        <v>72130393.579999998</v>
      </c>
      <c r="J22" s="51">
        <v>983</v>
      </c>
      <c r="K22" s="51">
        <v>415395178</v>
      </c>
      <c r="L22" s="51">
        <v>483154478</v>
      </c>
      <c r="M22" s="51">
        <v>97533745.75</v>
      </c>
      <c r="N22" s="51">
        <v>72130393.579999998</v>
      </c>
      <c r="O22" s="51">
        <v>100</v>
      </c>
      <c r="P22" s="51">
        <v>23480000</v>
      </c>
      <c r="Q22" s="51">
        <v>32113990</v>
      </c>
      <c r="R22" s="51">
        <v>2891087.78</v>
      </c>
      <c r="S22" s="51">
        <v>6058562.5300000003</v>
      </c>
      <c r="T22" s="51">
        <v>983</v>
      </c>
      <c r="U22" s="51">
        <v>415395178</v>
      </c>
      <c r="V22" s="51">
        <v>483154478</v>
      </c>
      <c r="W22" s="51">
        <v>97533745.747125</v>
      </c>
      <c r="X22" s="51">
        <v>72130393.583044305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</row>
    <row r="23" spans="1:47" x14ac:dyDescent="0.2">
      <c r="A23" s="30" t="str">
        <f t="shared" ref="A23:A42" si="3">C23&amp;"="&amp;D23</f>
        <v>GAS-GAS DAILY=Yes</v>
      </c>
      <c r="B23" s="30" t="str">
        <f t="shared" ref="B23:B42" si="4">LEFT(C23,FIND("-",C23)-1)</f>
        <v>GAS</v>
      </c>
      <c r="C23" s="16" t="s">
        <v>107</v>
      </c>
      <c r="D23" s="108" t="s">
        <v>0</v>
      </c>
      <c r="E23" s="51">
        <v>1387</v>
      </c>
      <c r="F23" s="51">
        <v>119828485.75</v>
      </c>
      <c r="G23" s="51">
        <v>97498914.290000007</v>
      </c>
      <c r="H23" s="51">
        <v>284171479.63</v>
      </c>
      <c r="I23" s="51">
        <v>227971397.40000001</v>
      </c>
      <c r="J23" s="51">
        <v>749</v>
      </c>
      <c r="K23" s="51">
        <v>66618485.75</v>
      </c>
      <c r="L23" s="51">
        <v>53778914.289999999</v>
      </c>
      <c r="M23" s="51">
        <v>157161304.63</v>
      </c>
      <c r="N23" s="51">
        <v>125350253.65000001</v>
      </c>
      <c r="O23" s="51">
        <v>41</v>
      </c>
      <c r="P23" s="51">
        <v>4640000</v>
      </c>
      <c r="Q23" s="51">
        <v>2198914.29</v>
      </c>
      <c r="R23" s="51">
        <v>12320650</v>
      </c>
      <c r="S23" s="51">
        <v>5780272.4000000004</v>
      </c>
      <c r="T23" s="51">
        <v>749</v>
      </c>
      <c r="U23" s="51">
        <v>66618485.747082397</v>
      </c>
      <c r="V23" s="51">
        <v>53778914.291180402</v>
      </c>
      <c r="W23" s="51">
        <v>157161304.63051501</v>
      </c>
      <c r="X23" s="51">
        <v>125350253.64554501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</row>
    <row r="24" spans="1:47" x14ac:dyDescent="0.2">
      <c r="A24" s="30" t="str">
        <f t="shared" si="3"/>
        <v>GAS-GAS DAILY=No</v>
      </c>
      <c r="B24" s="30" t="str">
        <f t="shared" si="4"/>
        <v>GAS</v>
      </c>
      <c r="C24" s="16" t="s">
        <v>107</v>
      </c>
      <c r="D24" s="108" t="s">
        <v>1</v>
      </c>
      <c r="E24" s="51">
        <v>1706</v>
      </c>
      <c r="F24" s="51">
        <v>233306337.78</v>
      </c>
      <c r="G24" s="51">
        <v>225818500</v>
      </c>
      <c r="H24" s="51">
        <v>559003063.38999999</v>
      </c>
      <c r="I24" s="51">
        <v>538312724.54999995</v>
      </c>
      <c r="J24" s="51">
        <v>615</v>
      </c>
      <c r="K24" s="51">
        <v>74006905.780000001</v>
      </c>
      <c r="L24" s="51">
        <v>98543500</v>
      </c>
      <c r="M24" s="51">
        <v>185314843</v>
      </c>
      <c r="N24" s="51">
        <v>239267576.46000001</v>
      </c>
      <c r="O24" s="51">
        <v>89</v>
      </c>
      <c r="P24" s="51">
        <v>19417405.780000001</v>
      </c>
      <c r="Q24" s="51">
        <v>13485000</v>
      </c>
      <c r="R24" s="51">
        <v>51311539.909999996</v>
      </c>
      <c r="S24" s="51">
        <v>34906792.759999998</v>
      </c>
      <c r="T24" s="51">
        <v>615</v>
      </c>
      <c r="U24" s="51">
        <v>74006905.777692601</v>
      </c>
      <c r="V24" s="51">
        <v>98543500</v>
      </c>
      <c r="W24" s="51">
        <v>185314842.99512401</v>
      </c>
      <c r="X24" s="51">
        <v>239267576.46399999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</row>
    <row r="25" spans="1:47" x14ac:dyDescent="0.2">
      <c r="A25" s="30" t="str">
        <f t="shared" si="3"/>
        <v>GAS-PHYSICAL=Yes</v>
      </c>
      <c r="B25" s="30" t="str">
        <f t="shared" si="4"/>
        <v>GAS</v>
      </c>
      <c r="C25" s="16" t="s">
        <v>23</v>
      </c>
      <c r="D25" s="108" t="s">
        <v>0</v>
      </c>
      <c r="E25" s="51">
        <v>7617</v>
      </c>
      <c r="F25" s="51">
        <v>222830731.37</v>
      </c>
      <c r="G25" s="51">
        <v>202945319.06</v>
      </c>
      <c r="H25" s="51">
        <v>507989783.49000001</v>
      </c>
      <c r="I25" s="51">
        <v>465952499.49000001</v>
      </c>
      <c r="J25" s="51">
        <v>4482</v>
      </c>
      <c r="K25" s="51">
        <v>116518661.7</v>
      </c>
      <c r="L25" s="51">
        <v>116886724.69</v>
      </c>
      <c r="M25" s="51">
        <v>264501208.21000001</v>
      </c>
      <c r="N25" s="51">
        <v>266421594.19</v>
      </c>
      <c r="O25" s="51">
        <v>388</v>
      </c>
      <c r="P25" s="51">
        <v>8341883.1100000003</v>
      </c>
      <c r="Q25" s="51">
        <v>7188123.0499999998</v>
      </c>
      <c r="R25" s="51">
        <v>19453382.829999998</v>
      </c>
      <c r="S25" s="51">
        <v>16613896.800000001</v>
      </c>
      <c r="T25" s="51">
        <v>4482</v>
      </c>
      <c r="U25" s="51">
        <v>116518661.69670001</v>
      </c>
      <c r="V25" s="51">
        <v>116886724.69149999</v>
      </c>
      <c r="W25" s="51">
        <v>264501208.20725399</v>
      </c>
      <c r="X25" s="51">
        <v>266421594.194435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</row>
    <row r="26" spans="1:47" x14ac:dyDescent="0.2">
      <c r="A26" s="30" t="str">
        <f t="shared" si="3"/>
        <v>GAS-PHYSICAL=No</v>
      </c>
      <c r="B26" s="30" t="str">
        <f t="shared" si="4"/>
        <v>GAS</v>
      </c>
      <c r="C26" s="16" t="s">
        <v>23</v>
      </c>
      <c r="D26" s="108" t="s">
        <v>1</v>
      </c>
      <c r="E26" s="51">
        <v>13085</v>
      </c>
      <c r="F26" s="51">
        <v>742340492.92999995</v>
      </c>
      <c r="G26" s="51">
        <v>553149161.97000003</v>
      </c>
      <c r="H26" s="51">
        <v>1764951370.45</v>
      </c>
      <c r="I26" s="51">
        <v>1291279536.0599999</v>
      </c>
      <c r="J26" s="51">
        <v>5832</v>
      </c>
      <c r="K26" s="51">
        <v>411013205.89999998</v>
      </c>
      <c r="L26" s="51">
        <v>233314476.21000001</v>
      </c>
      <c r="M26" s="51">
        <v>995362513.39999998</v>
      </c>
      <c r="N26" s="51">
        <v>548522194.77999997</v>
      </c>
      <c r="O26" s="51">
        <v>571</v>
      </c>
      <c r="P26" s="51">
        <v>24109967.149999999</v>
      </c>
      <c r="Q26" s="51">
        <v>28585738.07</v>
      </c>
      <c r="R26" s="51">
        <v>59209070</v>
      </c>
      <c r="S26" s="51">
        <v>69867501.430000007</v>
      </c>
      <c r="T26" s="51">
        <v>5832</v>
      </c>
      <c r="U26" s="51">
        <v>411013205.90020001</v>
      </c>
      <c r="V26" s="51">
        <v>233314476.211</v>
      </c>
      <c r="W26" s="51">
        <v>995362513.39598501</v>
      </c>
      <c r="X26" s="51">
        <v>548522194.77770603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</row>
    <row r="27" spans="1:47" x14ac:dyDescent="0.2">
      <c r="A27" s="30" t="str">
        <f t="shared" si="3"/>
        <v>GAS-PRICE=Yes</v>
      </c>
      <c r="B27" s="30" t="str">
        <f t="shared" si="4"/>
        <v>GAS</v>
      </c>
      <c r="C27" s="16" t="s">
        <v>24</v>
      </c>
      <c r="D27" s="108" t="s">
        <v>0</v>
      </c>
      <c r="E27" s="51">
        <v>2150</v>
      </c>
      <c r="F27" s="51">
        <v>388806994.83999997</v>
      </c>
      <c r="G27" s="51">
        <v>404000281.55000001</v>
      </c>
      <c r="H27" s="51">
        <v>885740922.77999997</v>
      </c>
      <c r="I27" s="51">
        <v>920395967.55999994</v>
      </c>
      <c r="J27" s="51">
        <v>1755</v>
      </c>
      <c r="K27" s="51">
        <v>294030411.58999997</v>
      </c>
      <c r="L27" s="51">
        <v>290722038.44999999</v>
      </c>
      <c r="M27" s="51">
        <v>672867644.02999997</v>
      </c>
      <c r="N27" s="51">
        <v>669617598.36000001</v>
      </c>
      <c r="O27" s="51">
        <v>201</v>
      </c>
      <c r="P27" s="51">
        <v>46979212.009999998</v>
      </c>
      <c r="Q27" s="51">
        <v>27389588.260000002</v>
      </c>
      <c r="R27" s="51">
        <v>115719941.88</v>
      </c>
      <c r="S27" s="51">
        <v>68020782.969999999</v>
      </c>
      <c r="T27" s="51">
        <v>1755</v>
      </c>
      <c r="U27" s="51">
        <v>294030411.59429997</v>
      </c>
      <c r="V27" s="51">
        <v>290722038.44520003</v>
      </c>
      <c r="W27" s="51">
        <v>672867644.031973</v>
      </c>
      <c r="X27" s="51">
        <v>669617598.35648501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</row>
    <row r="28" spans="1:47" x14ac:dyDescent="0.2">
      <c r="A28" s="30" t="str">
        <f t="shared" si="3"/>
        <v>GAS-PRICE=No</v>
      </c>
      <c r="B28" s="30" t="str">
        <f t="shared" si="4"/>
        <v>GAS</v>
      </c>
      <c r="C28" s="16" t="s">
        <v>24</v>
      </c>
      <c r="D28" s="108" t="s">
        <v>1</v>
      </c>
      <c r="E28" s="51">
        <v>2863</v>
      </c>
      <c r="F28" s="51">
        <v>1787507995.3199999</v>
      </c>
      <c r="G28" s="51">
        <v>1815986031.45</v>
      </c>
      <c r="H28" s="51">
        <v>3817905198.2199998</v>
      </c>
      <c r="I28" s="51">
        <v>4412817554.1499996</v>
      </c>
      <c r="J28" s="51">
        <v>1169</v>
      </c>
      <c r="K28" s="51">
        <v>654606726.23000002</v>
      </c>
      <c r="L28" s="51">
        <v>801381755.74000001</v>
      </c>
      <c r="M28" s="51">
        <v>1452657182.9100001</v>
      </c>
      <c r="N28" s="51">
        <v>2057469606.0599999</v>
      </c>
      <c r="O28" s="51">
        <v>81</v>
      </c>
      <c r="P28" s="51">
        <v>47090000</v>
      </c>
      <c r="Q28" s="51">
        <v>42867290</v>
      </c>
      <c r="R28" s="51">
        <v>118514065</v>
      </c>
      <c r="S28" s="51">
        <v>108869983.43000001</v>
      </c>
      <c r="T28" s="51">
        <v>1169</v>
      </c>
      <c r="U28" s="51">
        <v>654606726.22759998</v>
      </c>
      <c r="V28" s="51">
        <v>801381755.73710001</v>
      </c>
      <c r="W28" s="51">
        <v>1452657182.90572</v>
      </c>
      <c r="X28" s="51">
        <v>2057469606.0580399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</row>
    <row r="29" spans="1:47" x14ac:dyDescent="0.2">
      <c r="A29" s="30" t="str">
        <f t="shared" si="3"/>
        <v>LPG-PHYSICAL=No</v>
      </c>
      <c r="B29" s="30" t="str">
        <f t="shared" si="4"/>
        <v>LPG</v>
      </c>
      <c r="C29" s="16" t="s">
        <v>188</v>
      </c>
      <c r="D29" s="108" t="s">
        <v>1</v>
      </c>
      <c r="E29" s="51">
        <v>103</v>
      </c>
      <c r="F29" s="51">
        <v>1426750</v>
      </c>
      <c r="G29" s="51">
        <v>1025150</v>
      </c>
      <c r="H29" s="51">
        <v>94745360.780000001</v>
      </c>
      <c r="I29" s="51">
        <v>108028298.64</v>
      </c>
      <c r="J29" s="51">
        <v>103</v>
      </c>
      <c r="K29" s="51">
        <v>1426750</v>
      </c>
      <c r="L29" s="51">
        <v>1025150</v>
      </c>
      <c r="M29" s="51">
        <v>94745360.780000001</v>
      </c>
      <c r="N29" s="51">
        <v>108028298.64</v>
      </c>
      <c r="O29" s="51">
        <v>6</v>
      </c>
      <c r="P29" s="51">
        <v>96883</v>
      </c>
      <c r="Q29" s="51">
        <v>12500</v>
      </c>
      <c r="R29" s="51">
        <v>1926012.89</v>
      </c>
      <c r="S29" s="51">
        <v>357656.25</v>
      </c>
      <c r="T29" s="51">
        <v>103</v>
      </c>
      <c r="U29" s="51">
        <v>1426750</v>
      </c>
      <c r="V29" s="51">
        <v>1025150</v>
      </c>
      <c r="W29" s="51">
        <v>94745360.782449096</v>
      </c>
      <c r="X29" s="51">
        <v>108028298.643149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</row>
    <row r="30" spans="1:47" x14ac:dyDescent="0.2">
      <c r="A30" s="30" t="str">
        <f t="shared" si="3"/>
        <v>LPG-PRICE=Yes</v>
      </c>
      <c r="B30" s="30" t="str">
        <f t="shared" si="4"/>
        <v>LPG</v>
      </c>
      <c r="C30" s="16" t="s">
        <v>189</v>
      </c>
      <c r="D30" s="108" t="s">
        <v>0</v>
      </c>
      <c r="E30" s="51">
        <v>16</v>
      </c>
      <c r="F30" s="51">
        <v>32000</v>
      </c>
      <c r="G30" s="51">
        <v>184000</v>
      </c>
      <c r="H30" s="51">
        <v>9296000</v>
      </c>
      <c r="I30" s="51">
        <v>46404000</v>
      </c>
      <c r="J30" s="51">
        <v>16</v>
      </c>
      <c r="K30" s="51">
        <v>32000</v>
      </c>
      <c r="L30" s="51">
        <v>184000</v>
      </c>
      <c r="M30" s="51">
        <v>9296000</v>
      </c>
      <c r="N30" s="51">
        <v>46404000</v>
      </c>
      <c r="O30" s="51">
        <v>5</v>
      </c>
      <c r="P30" s="51">
        <v>32000</v>
      </c>
      <c r="Q30" s="51">
        <v>24000</v>
      </c>
      <c r="R30" s="51">
        <v>9296000</v>
      </c>
      <c r="S30" s="51">
        <v>6984000</v>
      </c>
      <c r="T30" s="51">
        <v>16</v>
      </c>
      <c r="U30" s="51">
        <v>32000</v>
      </c>
      <c r="V30" s="51">
        <v>184000</v>
      </c>
      <c r="W30" s="51">
        <v>9296000</v>
      </c>
      <c r="X30" s="51">
        <v>46404000</v>
      </c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</row>
    <row r="31" spans="1:47" x14ac:dyDescent="0.2">
      <c r="A31" s="30" t="str">
        <f t="shared" si="3"/>
        <v>LPG-PRICE=No</v>
      </c>
      <c r="B31" s="30" t="str">
        <f t="shared" si="4"/>
        <v>LPG</v>
      </c>
      <c r="C31" s="16" t="s">
        <v>189</v>
      </c>
      <c r="D31" s="108" t="s">
        <v>1</v>
      </c>
      <c r="E31" s="51">
        <v>133</v>
      </c>
      <c r="F31" s="51">
        <v>1921500</v>
      </c>
      <c r="G31" s="51">
        <v>1484952.37</v>
      </c>
      <c r="H31" s="51">
        <v>250953598.40000001</v>
      </c>
      <c r="I31" s="51">
        <v>237619479.72999999</v>
      </c>
      <c r="J31" s="51">
        <v>133</v>
      </c>
      <c r="K31" s="51">
        <v>1921500</v>
      </c>
      <c r="L31" s="51">
        <v>1484952.37</v>
      </c>
      <c r="M31" s="51">
        <v>250953598.40000001</v>
      </c>
      <c r="N31" s="51">
        <v>237619479.72999999</v>
      </c>
      <c r="O31" s="51">
        <v>5</v>
      </c>
      <c r="P31" s="51">
        <v>24000</v>
      </c>
      <c r="Q31" s="51">
        <v>56000</v>
      </c>
      <c r="R31" s="51">
        <v>6712000</v>
      </c>
      <c r="S31" s="51">
        <v>13360727.18</v>
      </c>
      <c r="T31" s="51">
        <v>133</v>
      </c>
      <c r="U31" s="51">
        <v>1921500</v>
      </c>
      <c r="V31" s="51">
        <v>1484952.3733999999</v>
      </c>
      <c r="W31" s="51">
        <v>250953598.39701</v>
      </c>
      <c r="X31" s="51">
        <v>237619479.7254</v>
      </c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</row>
    <row r="32" spans="1:47" x14ac:dyDescent="0.2">
      <c r="A32" s="30" t="str">
        <f t="shared" si="3"/>
        <v>NORDIC POWER-FINANCIAL=Yes</v>
      </c>
      <c r="B32" s="30" t="str">
        <f t="shared" si="4"/>
        <v>NORDIC POWER</v>
      </c>
      <c r="C32" s="16" t="s">
        <v>190</v>
      </c>
      <c r="D32" s="108" t="s">
        <v>0</v>
      </c>
      <c r="E32" s="51">
        <v>27</v>
      </c>
      <c r="F32" s="51">
        <v>329920</v>
      </c>
      <c r="G32" s="51">
        <v>172205</v>
      </c>
      <c r="H32" s="51">
        <v>5176360.51</v>
      </c>
      <c r="I32" s="51">
        <v>2546013.3199999998</v>
      </c>
      <c r="J32" s="51">
        <v>23</v>
      </c>
      <c r="K32" s="51">
        <v>282155</v>
      </c>
      <c r="L32" s="51">
        <v>157690</v>
      </c>
      <c r="M32" s="51">
        <v>4468292.6100000003</v>
      </c>
      <c r="N32" s="51">
        <v>2301871.02</v>
      </c>
      <c r="O32" s="51"/>
      <c r="P32" s="51"/>
      <c r="Q32" s="51"/>
      <c r="R32" s="51"/>
      <c r="S32" s="51"/>
      <c r="T32" s="51">
        <v>23</v>
      </c>
      <c r="U32" s="51">
        <v>282155</v>
      </c>
      <c r="V32" s="51">
        <v>157690</v>
      </c>
      <c r="W32" s="51">
        <v>4468292.6101446599</v>
      </c>
      <c r="X32" s="51">
        <v>2301871.0173623101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</row>
    <row r="33" spans="1:47" x14ac:dyDescent="0.2">
      <c r="A33" s="30" t="str">
        <f t="shared" si="3"/>
        <v>NORDIC POWER-FINANCIAL=No</v>
      </c>
      <c r="B33" s="30" t="str">
        <f t="shared" si="4"/>
        <v>NORDIC POWER</v>
      </c>
      <c r="C33" s="16" t="s">
        <v>190</v>
      </c>
      <c r="D33" s="108" t="s">
        <v>1</v>
      </c>
      <c r="E33" s="51">
        <v>1067</v>
      </c>
      <c r="F33" s="51">
        <v>12165662</v>
      </c>
      <c r="G33" s="51">
        <v>10067000.949999999</v>
      </c>
      <c r="H33" s="51">
        <v>183685164.33000001</v>
      </c>
      <c r="I33" s="51">
        <v>157213255.13999999</v>
      </c>
      <c r="J33" s="51">
        <v>715</v>
      </c>
      <c r="K33" s="51">
        <v>8925942</v>
      </c>
      <c r="L33" s="51">
        <v>5245222.95</v>
      </c>
      <c r="M33" s="51">
        <v>131401236.53</v>
      </c>
      <c r="N33" s="51">
        <v>76573016.799999997</v>
      </c>
      <c r="O33" s="51">
        <v>31</v>
      </c>
      <c r="P33" s="51">
        <v>312303</v>
      </c>
      <c r="Q33" s="51">
        <v>175110</v>
      </c>
      <c r="R33" s="51">
        <v>4172807.43</v>
      </c>
      <c r="S33" s="51">
        <v>2343751.0099999998</v>
      </c>
      <c r="T33" s="51">
        <v>715</v>
      </c>
      <c r="U33" s="51">
        <v>8925942</v>
      </c>
      <c r="V33" s="51">
        <v>5245222.95</v>
      </c>
      <c r="W33" s="51">
        <v>131401236.525521</v>
      </c>
      <c r="X33" s="51">
        <v>76573016.804444507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</row>
    <row r="34" spans="1:47" x14ac:dyDescent="0.2">
      <c r="A34" s="30" t="str">
        <f t="shared" si="3"/>
        <v>NORDIC POWER-PHYSICAL=No</v>
      </c>
      <c r="B34" s="30" t="str">
        <f t="shared" si="4"/>
        <v>NORDIC POWER</v>
      </c>
      <c r="C34" s="16" t="s">
        <v>191</v>
      </c>
      <c r="D34" s="108" t="s">
        <v>1</v>
      </c>
      <c r="E34" s="51">
        <v>126</v>
      </c>
      <c r="F34" s="51">
        <v>10988.9</v>
      </c>
      <c r="G34" s="51">
        <v>850823.5</v>
      </c>
      <c r="H34" s="51">
        <v>153684.54999999999</v>
      </c>
      <c r="I34" s="51">
        <v>16369217.539999999</v>
      </c>
      <c r="J34" s="51">
        <v>93</v>
      </c>
      <c r="K34" s="51">
        <v>10589.9</v>
      </c>
      <c r="L34" s="51">
        <v>663849.78</v>
      </c>
      <c r="M34" s="51">
        <v>143932.99</v>
      </c>
      <c r="N34" s="51">
        <v>12968611.359999999</v>
      </c>
      <c r="O34" s="51"/>
      <c r="P34" s="51"/>
      <c r="Q34" s="51"/>
      <c r="R34" s="51"/>
      <c r="S34" s="51"/>
      <c r="T34" s="51">
        <v>93</v>
      </c>
      <c r="U34" s="51">
        <v>10589.9</v>
      </c>
      <c r="V34" s="51">
        <v>663849.78</v>
      </c>
      <c r="W34" s="51">
        <v>143932.99136383599</v>
      </c>
      <c r="X34" s="51">
        <v>12968611.3622454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</row>
    <row r="35" spans="1:47" x14ac:dyDescent="0.2">
      <c r="A35" s="30" t="str">
        <f t="shared" si="3"/>
        <v>PAPER &amp; PULP-PHYSICAL=No</v>
      </c>
      <c r="B35" s="30" t="str">
        <f t="shared" si="4"/>
        <v>PAPER &amp; PULP</v>
      </c>
      <c r="C35" s="16" t="s">
        <v>192</v>
      </c>
      <c r="D35" s="108" t="s">
        <v>1</v>
      </c>
      <c r="E35" s="51">
        <v>93</v>
      </c>
      <c r="F35" s="51">
        <v>26729</v>
      </c>
      <c r="G35" s="51">
        <v>11056</v>
      </c>
      <c r="H35" s="51">
        <v>13399570</v>
      </c>
      <c r="I35" s="51">
        <v>4969359</v>
      </c>
      <c r="J35" s="51">
        <v>45</v>
      </c>
      <c r="K35" s="51">
        <v>6100</v>
      </c>
      <c r="L35" s="51">
        <v>6027</v>
      </c>
      <c r="M35" s="51">
        <v>2543600</v>
      </c>
      <c r="N35" s="51">
        <v>2649689</v>
      </c>
      <c r="O35" s="51"/>
      <c r="P35" s="51"/>
      <c r="Q35" s="51"/>
      <c r="R35" s="51"/>
      <c r="S35" s="51"/>
      <c r="T35" s="51">
        <v>45</v>
      </c>
      <c r="U35" s="51">
        <v>6100</v>
      </c>
      <c r="V35" s="51">
        <v>6027</v>
      </c>
      <c r="W35" s="51">
        <v>2543600.0000319998</v>
      </c>
      <c r="X35" s="51">
        <v>2649689.0000319998</v>
      </c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</row>
    <row r="36" spans="1:47" x14ac:dyDescent="0.2">
      <c r="A36" s="30" t="str">
        <f t="shared" si="3"/>
        <v>PAPER &amp; PULP-PRICE=Yes</v>
      </c>
      <c r="B36" s="30" t="str">
        <f t="shared" si="4"/>
        <v>PAPER &amp; PULP</v>
      </c>
      <c r="C36" s="16" t="s">
        <v>193</v>
      </c>
      <c r="D36" s="108" t="s">
        <v>0</v>
      </c>
      <c r="E36" s="51">
        <v>4</v>
      </c>
      <c r="F36" s="51">
        <v>750</v>
      </c>
      <c r="G36" s="51">
        <v>1800</v>
      </c>
      <c r="H36" s="51">
        <v>393750</v>
      </c>
      <c r="I36" s="51">
        <v>1107000</v>
      </c>
      <c r="J36" s="51">
        <v>1</v>
      </c>
      <c r="K36" s="51">
        <v>750</v>
      </c>
      <c r="L36" s="51">
        <v>0</v>
      </c>
      <c r="M36" s="51">
        <v>393750</v>
      </c>
      <c r="N36" s="51">
        <v>0</v>
      </c>
      <c r="O36" s="51"/>
      <c r="P36" s="51"/>
      <c r="Q36" s="51"/>
      <c r="R36" s="51"/>
      <c r="S36" s="51"/>
      <c r="T36" s="51">
        <v>1</v>
      </c>
      <c r="U36" s="51">
        <v>750</v>
      </c>
      <c r="V36" s="51">
        <v>0</v>
      </c>
      <c r="W36" s="51">
        <v>393750</v>
      </c>
      <c r="X36" s="51">
        <v>0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</row>
    <row r="37" spans="1:47" x14ac:dyDescent="0.2">
      <c r="A37" s="30" t="str">
        <f t="shared" si="3"/>
        <v>PAPER &amp; PULP-PRICE=No</v>
      </c>
      <c r="B37" s="30" t="str">
        <f t="shared" si="4"/>
        <v>PAPER &amp; PULP</v>
      </c>
      <c r="C37" s="16" t="s">
        <v>193</v>
      </c>
      <c r="D37" s="108" t="s">
        <v>1</v>
      </c>
      <c r="E37" s="51">
        <v>26</v>
      </c>
      <c r="F37" s="51">
        <v>321000</v>
      </c>
      <c r="G37" s="51">
        <v>176356.04</v>
      </c>
      <c r="H37" s="51">
        <v>91133750</v>
      </c>
      <c r="I37" s="51">
        <v>56109117.829999998</v>
      </c>
      <c r="J37" s="51">
        <v>15</v>
      </c>
      <c r="K37" s="51">
        <v>132000</v>
      </c>
      <c r="L37" s="51">
        <v>164100</v>
      </c>
      <c r="M37" s="51">
        <v>56760000</v>
      </c>
      <c r="N37" s="51">
        <v>49195500</v>
      </c>
      <c r="O37" s="51"/>
      <c r="P37" s="51"/>
      <c r="Q37" s="51"/>
      <c r="R37" s="51"/>
      <c r="S37" s="51"/>
      <c r="T37" s="51">
        <v>15</v>
      </c>
      <c r="U37" s="51">
        <v>132000</v>
      </c>
      <c r="V37" s="51">
        <v>164100</v>
      </c>
      <c r="W37" s="51">
        <v>56760000</v>
      </c>
      <c r="X37" s="51">
        <v>49195500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</row>
    <row r="38" spans="1:47" x14ac:dyDescent="0.2">
      <c r="A38" s="30" t="str">
        <f t="shared" si="3"/>
        <v>PETROCHEMICALS-PHYSICAL=Yes</v>
      </c>
      <c r="B38" s="30" t="str">
        <f t="shared" si="4"/>
        <v>PETROCHEMICALS</v>
      </c>
      <c r="C38" s="16" t="s">
        <v>194</v>
      </c>
      <c r="D38" s="108" t="s">
        <v>0</v>
      </c>
      <c r="E38" s="51">
        <v>8</v>
      </c>
      <c r="F38" s="51">
        <v>24000</v>
      </c>
      <c r="G38" s="51">
        <v>40000</v>
      </c>
      <c r="H38" s="51">
        <v>8320000</v>
      </c>
      <c r="I38" s="51">
        <v>17794850.75</v>
      </c>
      <c r="J38" s="51">
        <v>8</v>
      </c>
      <c r="K38" s="51">
        <v>24000</v>
      </c>
      <c r="L38" s="51">
        <v>40000</v>
      </c>
      <c r="M38" s="51">
        <v>8320000</v>
      </c>
      <c r="N38" s="51">
        <v>17794850.75</v>
      </c>
      <c r="O38" s="51"/>
      <c r="P38" s="51"/>
      <c r="Q38" s="51"/>
      <c r="R38" s="51"/>
      <c r="S38" s="51"/>
      <c r="T38" s="51">
        <v>8</v>
      </c>
      <c r="U38" s="51">
        <v>24000</v>
      </c>
      <c r="V38" s="51">
        <v>40000</v>
      </c>
      <c r="W38" s="51">
        <v>8320000</v>
      </c>
      <c r="X38" s="51">
        <v>17794850.749680001</v>
      </c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</row>
    <row r="39" spans="1:47" x14ac:dyDescent="0.2">
      <c r="A39" s="30" t="str">
        <f t="shared" si="3"/>
        <v>PETROCHEMICALS-PHYSICAL=No</v>
      </c>
      <c r="B39" s="30" t="str">
        <f t="shared" si="4"/>
        <v>PETROCHEMICALS</v>
      </c>
      <c r="C39" s="16" t="s">
        <v>194</v>
      </c>
      <c r="D39" s="108" t="s">
        <v>1</v>
      </c>
      <c r="E39" s="51">
        <v>63</v>
      </c>
      <c r="F39" s="51">
        <v>247342.07999999999</v>
      </c>
      <c r="G39" s="51">
        <v>292644.15999999997</v>
      </c>
      <c r="H39" s="51">
        <v>130004561.22</v>
      </c>
      <c r="I39" s="51">
        <v>135572941.59</v>
      </c>
      <c r="J39" s="51">
        <v>63</v>
      </c>
      <c r="K39" s="51">
        <v>247342.07999999999</v>
      </c>
      <c r="L39" s="51">
        <v>292644.15999999997</v>
      </c>
      <c r="M39" s="51">
        <v>130004561.22</v>
      </c>
      <c r="N39" s="51">
        <v>135572941.59</v>
      </c>
      <c r="O39" s="51">
        <v>12</v>
      </c>
      <c r="P39" s="51">
        <v>41200</v>
      </c>
      <c r="Q39" s="51">
        <v>40000</v>
      </c>
      <c r="R39" s="51">
        <v>33977795.100000001</v>
      </c>
      <c r="S39" s="51">
        <v>27880000</v>
      </c>
      <c r="T39" s="51">
        <v>63</v>
      </c>
      <c r="U39" s="51">
        <v>247342.07999999999</v>
      </c>
      <c r="V39" s="51">
        <v>292644.15999999997</v>
      </c>
      <c r="W39" s="51">
        <v>130004561.22472601</v>
      </c>
      <c r="X39" s="51">
        <v>135572941.59458399</v>
      </c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</row>
    <row r="40" spans="1:47" x14ac:dyDescent="0.2">
      <c r="A40" s="30" t="str">
        <f t="shared" si="3"/>
        <v>PETROCHEMICALS-PRICE=No</v>
      </c>
      <c r="B40" s="30" t="str">
        <f t="shared" si="4"/>
        <v>PETROCHEMICALS</v>
      </c>
      <c r="C40" s="16" t="s">
        <v>195</v>
      </c>
      <c r="D40" s="108" t="s">
        <v>1</v>
      </c>
      <c r="E40" s="51">
        <v>10</v>
      </c>
      <c r="F40" s="51">
        <v>200000</v>
      </c>
      <c r="G40" s="51">
        <v>480000</v>
      </c>
      <c r="H40" s="51">
        <v>45090000</v>
      </c>
      <c r="I40" s="51">
        <v>101090000</v>
      </c>
      <c r="J40" s="51">
        <v>10</v>
      </c>
      <c r="K40" s="51">
        <v>200000</v>
      </c>
      <c r="L40" s="51">
        <v>480000</v>
      </c>
      <c r="M40" s="51">
        <v>45090000</v>
      </c>
      <c r="N40" s="51">
        <v>101090000</v>
      </c>
      <c r="O40" s="51"/>
      <c r="P40" s="51"/>
      <c r="Q40" s="51"/>
      <c r="R40" s="51"/>
      <c r="S40" s="51"/>
      <c r="T40" s="51">
        <v>10</v>
      </c>
      <c r="U40" s="51">
        <v>200000</v>
      </c>
      <c r="V40" s="51">
        <v>480000</v>
      </c>
      <c r="W40" s="51">
        <v>45090000</v>
      </c>
      <c r="X40" s="51">
        <v>101090000</v>
      </c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</row>
    <row r="41" spans="1:47" x14ac:dyDescent="0.2">
      <c r="A41" s="30" t="str">
        <f t="shared" si="3"/>
        <v>PLASTICS-PRICE=No</v>
      </c>
      <c r="B41" s="30" t="str">
        <f t="shared" si="4"/>
        <v>PLASTICS</v>
      </c>
      <c r="C41" s="16" t="s">
        <v>196</v>
      </c>
      <c r="D41" s="108" t="s">
        <v>1</v>
      </c>
      <c r="E41" s="51">
        <v>52</v>
      </c>
      <c r="F41" s="51">
        <v>15248012</v>
      </c>
      <c r="G41" s="51">
        <v>1870000</v>
      </c>
      <c r="H41" s="51">
        <v>42209178.579999998</v>
      </c>
      <c r="I41" s="51">
        <v>29180579.18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</row>
    <row r="42" spans="1:47" x14ac:dyDescent="0.2">
      <c r="A42" s="30" t="str">
        <f t="shared" si="3"/>
        <v>POWER-PHYSICAL=Yes</v>
      </c>
      <c r="B42" s="30" t="str">
        <f t="shared" si="4"/>
        <v>POWER</v>
      </c>
      <c r="C42" s="16" t="s">
        <v>197</v>
      </c>
      <c r="D42" s="108" t="s">
        <v>0</v>
      </c>
      <c r="E42" s="51">
        <v>1094</v>
      </c>
      <c r="F42" s="51">
        <v>3934100</v>
      </c>
      <c r="G42" s="51">
        <v>4399000</v>
      </c>
      <c r="H42" s="51">
        <v>264475404</v>
      </c>
      <c r="I42" s="51">
        <v>0</v>
      </c>
      <c r="J42" s="51">
        <v>952</v>
      </c>
      <c r="K42" s="51">
        <v>3201700</v>
      </c>
      <c r="L42" s="51">
        <v>3501800</v>
      </c>
      <c r="M42" s="51">
        <v>216583528</v>
      </c>
      <c r="N42" s="51">
        <v>0</v>
      </c>
      <c r="O42" s="51">
        <v>72</v>
      </c>
      <c r="P42" s="51">
        <v>597600</v>
      </c>
      <c r="Q42" s="51">
        <v>179200</v>
      </c>
      <c r="R42" s="51">
        <v>28878800</v>
      </c>
      <c r="S42" s="51">
        <v>0</v>
      </c>
      <c r="T42" s="51">
        <v>952</v>
      </c>
      <c r="U42" s="51">
        <v>3201700</v>
      </c>
      <c r="V42" s="51">
        <v>3501800</v>
      </c>
      <c r="W42" s="51">
        <v>216583528</v>
      </c>
      <c r="X42" s="51">
        <v>0</v>
      </c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</row>
    <row r="43" spans="1:47" x14ac:dyDescent="0.2">
      <c r="A43" s="30" t="str">
        <f t="shared" ref="A43:A54" si="5">C43&amp;"="&amp;D43</f>
        <v>POWER-PHYSICAL=No</v>
      </c>
      <c r="B43" s="30" t="str">
        <f t="shared" ref="B43:B54" si="6">LEFT(C43,FIND("-",C43)-1)</f>
        <v>POWER</v>
      </c>
      <c r="C43" s="16" t="s">
        <v>197</v>
      </c>
      <c r="D43" s="108" t="s">
        <v>1</v>
      </c>
      <c r="E43" s="51">
        <v>10590</v>
      </c>
      <c r="F43" s="51">
        <v>71547918.730000004</v>
      </c>
      <c r="G43" s="51">
        <v>67098105.210000001</v>
      </c>
      <c r="H43" s="51">
        <v>4073929420.98</v>
      </c>
      <c r="I43" s="51">
        <v>0</v>
      </c>
      <c r="J43" s="51">
        <v>7138</v>
      </c>
      <c r="K43" s="51">
        <v>33933354.200000003</v>
      </c>
      <c r="L43" s="51">
        <v>35340309.789999999</v>
      </c>
      <c r="M43" s="51">
        <v>2165490926.4699998</v>
      </c>
      <c r="N43" s="51">
        <v>0</v>
      </c>
      <c r="O43" s="51">
        <v>575</v>
      </c>
      <c r="P43" s="51">
        <v>5414668</v>
      </c>
      <c r="Q43" s="51">
        <v>3073196.68</v>
      </c>
      <c r="R43" s="51">
        <v>265680896.34999999</v>
      </c>
      <c r="S43" s="51">
        <v>0</v>
      </c>
      <c r="T43" s="51">
        <v>7138</v>
      </c>
      <c r="U43" s="51">
        <v>33933354.200000003</v>
      </c>
      <c r="V43" s="51">
        <v>35340309.789999999</v>
      </c>
      <c r="W43" s="51">
        <v>2165490926.4699998</v>
      </c>
      <c r="X43" s="51">
        <v>0</v>
      </c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</row>
    <row r="44" spans="1:47" x14ac:dyDescent="0.2">
      <c r="A44" s="30" t="str">
        <f t="shared" si="5"/>
        <v>UK GAS-FINANCIAL=Yes</v>
      </c>
      <c r="B44" s="30" t="str">
        <f t="shared" si="6"/>
        <v>UK GAS</v>
      </c>
      <c r="C44" s="16" t="s">
        <v>198</v>
      </c>
      <c r="D44" s="108" t="s">
        <v>0</v>
      </c>
      <c r="E44" s="51">
        <v>44</v>
      </c>
      <c r="F44" s="51">
        <v>9565000</v>
      </c>
      <c r="G44" s="51">
        <v>912500</v>
      </c>
      <c r="H44" s="51">
        <v>18578322.469999999</v>
      </c>
      <c r="I44" s="51">
        <v>0</v>
      </c>
      <c r="J44" s="51">
        <v>44</v>
      </c>
      <c r="K44" s="51">
        <v>9565000</v>
      </c>
      <c r="L44" s="51">
        <v>912500</v>
      </c>
      <c r="M44" s="51">
        <v>18578322.469999999</v>
      </c>
      <c r="N44" s="51">
        <v>0</v>
      </c>
      <c r="O44" s="51">
        <v>1</v>
      </c>
      <c r="P44" s="51">
        <v>230000</v>
      </c>
      <c r="Q44" s="51">
        <v>0</v>
      </c>
      <c r="R44" s="51">
        <v>373156.34</v>
      </c>
      <c r="S44" s="51">
        <v>0</v>
      </c>
      <c r="T44" s="51">
        <v>44</v>
      </c>
      <c r="U44" s="51">
        <v>9565000</v>
      </c>
      <c r="V44" s="51">
        <v>912500</v>
      </c>
      <c r="W44" s="51">
        <v>18578322.466041401</v>
      </c>
      <c r="X44" s="51">
        <v>0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</row>
    <row r="45" spans="1:47" x14ac:dyDescent="0.2">
      <c r="A45" s="30" t="str">
        <f t="shared" si="5"/>
        <v>UK GAS-FINANCIAL=No</v>
      </c>
      <c r="B45" s="30" t="str">
        <f t="shared" si="6"/>
        <v>UK GAS</v>
      </c>
      <c r="C45" s="16" t="s">
        <v>198</v>
      </c>
      <c r="D45" s="108" t="s">
        <v>1</v>
      </c>
      <c r="E45" s="51">
        <v>42</v>
      </c>
      <c r="F45" s="51">
        <v>6912886.0800000001</v>
      </c>
      <c r="G45" s="51">
        <v>3243295</v>
      </c>
      <c r="H45" s="51">
        <v>18567774.879999999</v>
      </c>
      <c r="I45" s="51">
        <v>0</v>
      </c>
      <c r="J45" s="51">
        <v>42</v>
      </c>
      <c r="K45" s="51">
        <v>6912886.0800000001</v>
      </c>
      <c r="L45" s="51">
        <v>3243295</v>
      </c>
      <c r="M45" s="51">
        <v>18567774.879999999</v>
      </c>
      <c r="N45" s="51">
        <v>0</v>
      </c>
      <c r="O45" s="51">
        <v>5</v>
      </c>
      <c r="P45" s="51">
        <v>2287500</v>
      </c>
      <c r="Q45" s="51">
        <v>0</v>
      </c>
      <c r="R45" s="51">
        <v>3786258.6</v>
      </c>
      <c r="S45" s="51">
        <v>0</v>
      </c>
      <c r="T45" s="51">
        <v>42</v>
      </c>
      <c r="U45" s="51">
        <v>6912886.0752800005</v>
      </c>
      <c r="V45" s="51">
        <v>3243295</v>
      </c>
      <c r="W45" s="51">
        <v>18567774.883852299</v>
      </c>
      <c r="X45" s="51">
        <v>0</v>
      </c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</row>
    <row r="46" spans="1:47" x14ac:dyDescent="0.2">
      <c r="A46" s="30" t="str">
        <f t="shared" si="5"/>
        <v>UK GAS-PHYSICAL=Yes</v>
      </c>
      <c r="B46" s="30" t="str">
        <f t="shared" si="6"/>
        <v>UK GAS</v>
      </c>
      <c r="C46" s="16" t="s">
        <v>199</v>
      </c>
      <c r="D46" s="108" t="s">
        <v>0</v>
      </c>
      <c r="E46" s="51">
        <v>767</v>
      </c>
      <c r="F46" s="51">
        <v>25535000</v>
      </c>
      <c r="G46" s="51">
        <v>43181500</v>
      </c>
      <c r="H46" s="51">
        <v>134696249.25999999</v>
      </c>
      <c r="I46" s="51">
        <v>0</v>
      </c>
      <c r="J46" s="51">
        <v>767</v>
      </c>
      <c r="K46" s="51">
        <v>25535000</v>
      </c>
      <c r="L46" s="51">
        <v>43181500</v>
      </c>
      <c r="M46" s="51">
        <v>134696249.25999999</v>
      </c>
      <c r="N46" s="51">
        <v>0</v>
      </c>
      <c r="O46" s="51">
        <v>49</v>
      </c>
      <c r="P46" s="51">
        <v>3987500</v>
      </c>
      <c r="Q46" s="51">
        <v>2065000</v>
      </c>
      <c r="R46" s="51">
        <v>11675721.08</v>
      </c>
      <c r="S46" s="51">
        <v>0</v>
      </c>
      <c r="T46" s="51">
        <v>767</v>
      </c>
      <c r="U46" s="51">
        <v>25535000</v>
      </c>
      <c r="V46" s="51">
        <v>43181500</v>
      </c>
      <c r="W46" s="51">
        <v>134696249.26104</v>
      </c>
      <c r="X46" s="51">
        <v>0</v>
      </c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</row>
    <row r="47" spans="1:47" x14ac:dyDescent="0.2">
      <c r="A47" s="30" t="str">
        <f t="shared" si="5"/>
        <v>UK GAS-PHYSICAL=No</v>
      </c>
      <c r="B47" s="30" t="str">
        <f t="shared" si="6"/>
        <v>UK GAS</v>
      </c>
      <c r="C47" s="16" t="s">
        <v>199</v>
      </c>
      <c r="D47" s="108" t="s">
        <v>1</v>
      </c>
      <c r="E47" s="51">
        <v>724</v>
      </c>
      <c r="F47" s="51">
        <v>63869119.219999999</v>
      </c>
      <c r="G47" s="51">
        <v>168518500.56</v>
      </c>
      <c r="H47" s="51">
        <v>388636317.87</v>
      </c>
      <c r="I47" s="51">
        <v>0</v>
      </c>
      <c r="J47" s="51">
        <v>724</v>
      </c>
      <c r="K47" s="51">
        <v>63869119.219999999</v>
      </c>
      <c r="L47" s="51">
        <v>168518500.56</v>
      </c>
      <c r="M47" s="51">
        <v>388636317.87</v>
      </c>
      <c r="N47" s="51">
        <v>0</v>
      </c>
      <c r="O47" s="51">
        <v>41</v>
      </c>
      <c r="P47" s="51">
        <v>3498457.72</v>
      </c>
      <c r="Q47" s="51">
        <v>3231162.56</v>
      </c>
      <c r="R47" s="51">
        <v>14041623.869999999</v>
      </c>
      <c r="S47" s="51">
        <v>0</v>
      </c>
      <c r="T47" s="51">
        <v>724</v>
      </c>
      <c r="U47" s="51">
        <v>63869119.219999999</v>
      </c>
      <c r="V47" s="51">
        <v>168518500.55899999</v>
      </c>
      <c r="W47" s="51">
        <v>388636317.865897</v>
      </c>
      <c r="X47" s="51">
        <v>0</v>
      </c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</row>
    <row r="48" spans="1:47" x14ac:dyDescent="0.2">
      <c r="A48" s="30" t="str">
        <f t="shared" si="5"/>
        <v>UK POWER-FINANCIAL=Yes</v>
      </c>
      <c r="B48" s="30" t="str">
        <f t="shared" si="6"/>
        <v>UK POWER</v>
      </c>
      <c r="C48" s="16" t="s">
        <v>200</v>
      </c>
      <c r="D48" s="108" t="s">
        <v>0</v>
      </c>
      <c r="E48" s="51">
        <v>59</v>
      </c>
      <c r="F48" s="51">
        <v>1184960</v>
      </c>
      <c r="G48" s="51">
        <v>979340</v>
      </c>
      <c r="H48" s="51">
        <v>88656079.730000004</v>
      </c>
      <c r="I48" s="51">
        <v>0</v>
      </c>
      <c r="J48" s="51">
        <v>59</v>
      </c>
      <c r="K48" s="51">
        <v>1184960</v>
      </c>
      <c r="L48" s="51">
        <v>979340</v>
      </c>
      <c r="M48" s="51">
        <v>88656079.730000004</v>
      </c>
      <c r="N48" s="51">
        <v>0</v>
      </c>
      <c r="O48" s="51">
        <v>3</v>
      </c>
      <c r="P48" s="51">
        <v>30220</v>
      </c>
      <c r="Q48" s="51">
        <v>13440</v>
      </c>
      <c r="R48" s="51">
        <v>1723313.67</v>
      </c>
      <c r="S48" s="51">
        <v>0</v>
      </c>
      <c r="T48" s="51">
        <v>59</v>
      </c>
      <c r="U48" s="51">
        <v>1184960</v>
      </c>
      <c r="V48" s="51">
        <v>979340</v>
      </c>
      <c r="W48" s="51">
        <v>88656079.731622607</v>
      </c>
      <c r="X48" s="51">
        <v>0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</row>
    <row r="49" spans="1:47" x14ac:dyDescent="0.2">
      <c r="A49" s="30" t="str">
        <f t="shared" si="5"/>
        <v>UK POWER-FINANCIAL=No</v>
      </c>
      <c r="B49" s="30" t="str">
        <f t="shared" si="6"/>
        <v>UK POWER</v>
      </c>
      <c r="C49" s="16" t="s">
        <v>200</v>
      </c>
      <c r="D49" s="108" t="s">
        <v>1</v>
      </c>
      <c r="E49" s="51">
        <v>281</v>
      </c>
      <c r="F49" s="51">
        <v>5918072.4299999997</v>
      </c>
      <c r="G49" s="51">
        <v>8503670.2699999996</v>
      </c>
      <c r="H49" s="51">
        <v>556159285.39999998</v>
      </c>
      <c r="I49" s="51">
        <v>0</v>
      </c>
      <c r="J49" s="51">
        <v>281</v>
      </c>
      <c r="K49" s="51">
        <v>5918072.4299999997</v>
      </c>
      <c r="L49" s="51">
        <v>8503670.2699999996</v>
      </c>
      <c r="M49" s="51">
        <v>556159285.39999998</v>
      </c>
      <c r="N49" s="51">
        <v>0</v>
      </c>
      <c r="O49" s="51">
        <v>11</v>
      </c>
      <c r="P49" s="51">
        <v>102920</v>
      </c>
      <c r="Q49" s="51">
        <v>206020</v>
      </c>
      <c r="R49" s="51">
        <v>10319791.869999999</v>
      </c>
      <c r="S49" s="51">
        <v>0</v>
      </c>
      <c r="T49" s="51">
        <v>281</v>
      </c>
      <c r="U49" s="51">
        <v>5918072.4338800004</v>
      </c>
      <c r="V49" s="51">
        <v>8503670.2654024009</v>
      </c>
      <c r="W49" s="51">
        <v>556159285.40210903</v>
      </c>
      <c r="X49" s="51">
        <v>0</v>
      </c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</row>
    <row r="50" spans="1:47" x14ac:dyDescent="0.2">
      <c r="A50" s="30" t="str">
        <f t="shared" si="5"/>
        <v>WEATHER-FINANCIAL=Yes</v>
      </c>
      <c r="B50" s="30" t="str">
        <f t="shared" si="6"/>
        <v>WEATHER</v>
      </c>
      <c r="C50" s="16" t="s">
        <v>201</v>
      </c>
      <c r="D50" s="108" t="s">
        <v>0</v>
      </c>
      <c r="E50" s="51">
        <v>29</v>
      </c>
      <c r="F50" s="51">
        <v>15</v>
      </c>
      <c r="G50" s="51">
        <v>14</v>
      </c>
      <c r="H50" s="51"/>
      <c r="I50" s="51">
        <v>0</v>
      </c>
      <c r="J50" s="51">
        <v>29</v>
      </c>
      <c r="K50" s="51">
        <v>15</v>
      </c>
      <c r="L50" s="51">
        <v>14</v>
      </c>
      <c r="M50" s="51"/>
      <c r="N50" s="51">
        <v>0</v>
      </c>
      <c r="O50" s="51">
        <v>1</v>
      </c>
      <c r="P50" s="51">
        <v>0</v>
      </c>
      <c r="Q50" s="51">
        <v>1</v>
      </c>
      <c r="R50" s="51"/>
      <c r="S50" s="51">
        <v>0</v>
      </c>
      <c r="T50" s="51">
        <v>29</v>
      </c>
      <c r="U50" s="51">
        <v>15</v>
      </c>
      <c r="V50" s="51">
        <v>14</v>
      </c>
      <c r="W50" s="51"/>
      <c r="X50" s="51">
        <v>0</v>
      </c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</row>
    <row r="51" spans="1:47" x14ac:dyDescent="0.2">
      <c r="A51" s="30" t="str">
        <f t="shared" si="5"/>
        <v>WEATHER-FINANCIAL=No</v>
      </c>
      <c r="B51" s="30" t="str">
        <f t="shared" si="6"/>
        <v>WEATHER</v>
      </c>
      <c r="C51" s="16" t="s">
        <v>201</v>
      </c>
      <c r="D51" s="108" t="s">
        <v>1</v>
      </c>
      <c r="E51" s="51">
        <v>12</v>
      </c>
      <c r="F51" s="51">
        <v>10</v>
      </c>
      <c r="G51" s="51">
        <v>2</v>
      </c>
      <c r="H51" s="51"/>
      <c r="I51" s="51">
        <v>0</v>
      </c>
      <c r="J51" s="51">
        <v>12</v>
      </c>
      <c r="K51" s="51">
        <v>10</v>
      </c>
      <c r="L51" s="51">
        <v>2</v>
      </c>
      <c r="M51" s="51"/>
      <c r="N51" s="51">
        <v>0</v>
      </c>
      <c r="O51" s="51">
        <v>2</v>
      </c>
      <c r="P51" s="51">
        <v>2</v>
      </c>
      <c r="Q51" s="51">
        <v>0</v>
      </c>
      <c r="R51" s="51"/>
      <c r="S51" s="51">
        <v>0</v>
      </c>
      <c r="T51" s="51">
        <v>12</v>
      </c>
      <c r="U51" s="51">
        <v>10</v>
      </c>
      <c r="V51" s="51">
        <v>2</v>
      </c>
      <c r="W51" s="51"/>
      <c r="X51" s="51">
        <v>0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</row>
    <row r="52" spans="1:47" x14ac:dyDescent="0.2">
      <c r="A52" s="30" t="str">
        <f t="shared" si="5"/>
        <v>=</v>
      </c>
      <c r="B52" s="30" t="e">
        <f t="shared" si="6"/>
        <v>#VALUE!</v>
      </c>
      <c r="C52" s="16"/>
      <c r="D52" s="108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</row>
    <row r="53" spans="1:47" x14ac:dyDescent="0.2">
      <c r="A53" s="30" t="str">
        <f t="shared" si="5"/>
        <v>=</v>
      </c>
      <c r="B53" s="30" t="e">
        <f t="shared" si="6"/>
        <v>#VALUE!</v>
      </c>
      <c r="C53" s="16"/>
      <c r="D53" s="108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</row>
    <row r="54" spans="1:47" x14ac:dyDescent="0.2">
      <c r="A54" s="30" t="str">
        <f t="shared" si="5"/>
        <v>=</v>
      </c>
      <c r="B54" s="30" t="e">
        <f t="shared" si="6"/>
        <v>#VALUE!</v>
      </c>
      <c r="C54" s="16"/>
      <c r="D54" s="108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</row>
    <row r="55" spans="1:47" x14ac:dyDescent="0.2">
      <c r="A55" s="30" t="str">
        <f>C55&amp;"="&amp;D55</f>
        <v>=</v>
      </c>
      <c r="B55" s="30" t="e">
        <f>LEFT(C55,FIND("-",C55)-1)</f>
        <v>#VALUE!</v>
      </c>
      <c r="C55" s="16"/>
      <c r="D55" s="108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</row>
    <row r="56" spans="1:47" x14ac:dyDescent="0.2">
      <c r="A56" s="30" t="str">
        <f>C56&amp;"="&amp;D56</f>
        <v>=</v>
      </c>
      <c r="B56" s="30" t="e">
        <f>LEFT(C56,FIND("-",C56)-1)</f>
        <v>#VALUE!</v>
      </c>
      <c r="C56" s="16"/>
      <c r="D56" s="108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</row>
    <row r="57" spans="1:47" x14ac:dyDescent="0.2">
      <c r="A57" s="30" t="str">
        <f>C57&amp;"="&amp;D57</f>
        <v>=</v>
      </c>
      <c r="B57" s="30" t="e">
        <f>LEFT(C57,FIND("-",C57)-1)</f>
        <v>#VALUE!</v>
      </c>
      <c r="C57" s="16"/>
      <c r="D57" s="108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</row>
    <row r="58" spans="1:47" x14ac:dyDescent="0.2">
      <c r="A58" s="30" t="str">
        <f>C58&amp;"="&amp;D58</f>
        <v>=</v>
      </c>
      <c r="B58" s="30" t="e">
        <f>LEFT(C58,FIND("-",C58)-1)</f>
        <v>#VALUE!</v>
      </c>
      <c r="C58" s="16"/>
      <c r="D58" s="108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</row>
    <row r="59" spans="1:47" x14ac:dyDescent="0.2">
      <c r="A59" s="56"/>
      <c r="B59" s="56"/>
    </row>
    <row r="60" spans="1:47" x14ac:dyDescent="0.2">
      <c r="A60" s="56"/>
      <c r="B60" s="56"/>
    </row>
    <row r="61" spans="1:47" x14ac:dyDescent="0.2">
      <c r="A61" s="56"/>
      <c r="B61" s="56"/>
    </row>
    <row r="62" spans="1:47" x14ac:dyDescent="0.2">
      <c r="A62" s="56"/>
      <c r="B62" s="56"/>
    </row>
    <row r="63" spans="1:47" x14ac:dyDescent="0.2">
      <c r="A63" s="56"/>
      <c r="B63" s="56"/>
    </row>
    <row r="64" spans="1:47" x14ac:dyDescent="0.2">
      <c r="A64" s="56"/>
      <c r="B64" s="56"/>
    </row>
    <row r="65" spans="1:2" x14ac:dyDescent="0.2">
      <c r="A65" s="56"/>
      <c r="B65" s="56"/>
    </row>
    <row r="66" spans="1:2" x14ac:dyDescent="0.2">
      <c r="A66" s="56"/>
      <c r="B66" s="56"/>
    </row>
    <row r="67" spans="1:2" x14ac:dyDescent="0.2">
      <c r="A67" s="56"/>
      <c r="B67" s="56"/>
    </row>
    <row r="68" spans="1:2" x14ac:dyDescent="0.2">
      <c r="A68" s="56"/>
      <c r="B68" s="56"/>
    </row>
    <row r="69" spans="1:2" x14ac:dyDescent="0.2">
      <c r="A69" s="56"/>
      <c r="B69" s="56"/>
    </row>
    <row r="70" spans="1:2" x14ac:dyDescent="0.2">
      <c r="A70" s="56"/>
      <c r="B70" s="56"/>
    </row>
    <row r="71" spans="1:2" x14ac:dyDescent="0.2">
      <c r="A71" s="56"/>
      <c r="B71" s="56"/>
    </row>
    <row r="72" spans="1:2" x14ac:dyDescent="0.2">
      <c r="A72" s="56"/>
      <c r="B72" s="56"/>
    </row>
    <row r="73" spans="1:2" x14ac:dyDescent="0.2">
      <c r="A73" s="56"/>
      <c r="B73" s="56"/>
    </row>
    <row r="74" spans="1:2" x14ac:dyDescent="0.2">
      <c r="A74" s="56"/>
      <c r="B74" s="56"/>
    </row>
    <row r="75" spans="1:2" x14ac:dyDescent="0.2">
      <c r="A75" s="56"/>
      <c r="B75" s="56"/>
    </row>
    <row r="76" spans="1:2" x14ac:dyDescent="0.2">
      <c r="A76" s="56"/>
      <c r="B76" s="56"/>
    </row>
    <row r="77" spans="1:2" x14ac:dyDescent="0.2">
      <c r="A77" s="56"/>
      <c r="B77" s="56"/>
    </row>
    <row r="78" spans="1:2" x14ac:dyDescent="0.2">
      <c r="A78" s="56"/>
      <c r="B78" s="56"/>
    </row>
    <row r="79" spans="1:2" x14ac:dyDescent="0.2">
      <c r="A79" s="56"/>
      <c r="B79" s="56"/>
    </row>
    <row r="80" spans="1:2" x14ac:dyDescent="0.2">
      <c r="A80" s="56"/>
      <c r="B80" s="56"/>
    </row>
    <row r="81" spans="1:2" x14ac:dyDescent="0.2">
      <c r="A81" s="56"/>
      <c r="B81" s="56"/>
    </row>
    <row r="82" spans="1:2" x14ac:dyDescent="0.2">
      <c r="A82" s="56"/>
      <c r="B82" s="56"/>
    </row>
    <row r="83" spans="1:2" x14ac:dyDescent="0.2">
      <c r="B83" s="56"/>
    </row>
    <row r="84" spans="1:2" x14ac:dyDescent="0.2">
      <c r="B84" s="56"/>
    </row>
    <row r="85" spans="1:2" x14ac:dyDescent="0.2">
      <c r="B85" s="56"/>
    </row>
    <row r="86" spans="1:2" x14ac:dyDescent="0.2">
      <c r="B86" s="56"/>
    </row>
    <row r="87" spans="1:2" x14ac:dyDescent="0.2">
      <c r="B87" s="56"/>
    </row>
    <row r="88" spans="1:2" x14ac:dyDescent="0.2">
      <c r="B88" s="5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BRAINWAVE</vt:lpstr>
      <vt:lpstr>CONVERSION FACTORS</vt:lpstr>
      <vt:lpstr>BRAINWAVE CALCULATIONS</vt:lpstr>
      <vt:lpstr>RAW DATA</vt:lpstr>
      <vt:lpstr>DELETEDATA</vt:lpstr>
      <vt:lpstr>BRAINWAVE!Print_Area</vt:lpstr>
      <vt:lpstr>'BRAINWAVE CALCULATIONS'!Print_Area</vt:lpstr>
      <vt:lpstr>SUMMARY!Print_Area</vt:lpstr>
      <vt:lpstr>SUMMARY!Print_Titles</vt:lpstr>
      <vt:lpstr>VARDATA</vt:lpstr>
      <vt:lpstr>VARDATA2</vt:lpstr>
      <vt:lpstr>VARFINDCOLUMN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mfriedm</dc:creator>
  <cp:lastModifiedBy>Felienne</cp:lastModifiedBy>
  <cp:lastPrinted>2000-01-27T14:49:56Z</cp:lastPrinted>
  <dcterms:created xsi:type="dcterms:W3CDTF">1999-12-10T23:29:26Z</dcterms:created>
  <dcterms:modified xsi:type="dcterms:W3CDTF">2014-09-05T10:50:28Z</dcterms:modified>
</cp:coreProperties>
</file>