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0725" activeTab="1"/>
  </bookViews>
  <sheets>
    <sheet name="Enter" sheetId="20938" r:id="rId1"/>
    <sheet name="Summary" sheetId="560" r:id="rId2"/>
    <sheet name="Proposal" sheetId="1" r:id="rId3"/>
    <sheet name="Income" sheetId="20936" r:id="rId4"/>
    <sheet name="Volatility" sheetId="556" r:id="rId5"/>
    <sheet name="Maturity" sheetId="267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Enter!$A$1:$L$28</definedName>
    <definedName name="_xlnm.Print_Area" localSheetId="3">Income!$A$1:$Q$49</definedName>
    <definedName name="_xlnm.Print_Area" localSheetId="5">Maturity!$A$1:$J$41</definedName>
    <definedName name="_xlnm.Print_Area" localSheetId="2">Proposal!$A$1:$N$36</definedName>
    <definedName name="_xlnm.Print_Area" localSheetId="1">Summary!$A$1:$J$34</definedName>
    <definedName name="_xlnm.Print_Area" localSheetId="4">Volatility!$A$1:$M$34</definedName>
    <definedName name="Rating">#REF!</definedName>
  </definedNames>
  <calcPr calcId="152511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D7" i="20939"/>
  <c r="H9" i="20939"/>
  <c r="K9" i="20939"/>
  <c r="L9" i="20939"/>
  <c r="A11" i="20939"/>
  <c r="A12" i="20939"/>
  <c r="M12" i="20939"/>
  <c r="A13" i="20939"/>
  <c r="A14" i="20939"/>
  <c r="B14" i="20939"/>
  <c r="F14" i="20939"/>
  <c r="J14" i="20939"/>
  <c r="A15" i="20939"/>
  <c r="A16" i="20939"/>
  <c r="A17" i="20939"/>
  <c r="F17" i="20939"/>
  <c r="J17" i="20939"/>
  <c r="A19" i="20939"/>
  <c r="A20" i="20939"/>
  <c r="A21" i="20939"/>
  <c r="A22" i="20939"/>
  <c r="A23" i="20939"/>
  <c r="A25" i="20939"/>
  <c r="D26" i="20939"/>
  <c r="E26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O35" i="20939"/>
  <c r="K36" i="20939"/>
  <c r="O36" i="20939"/>
  <c r="K37" i="20939"/>
  <c r="O37" i="20939"/>
  <c r="K38" i="20939"/>
  <c r="O38" i="20939"/>
  <c r="K39" i="20939"/>
  <c r="O39" i="20939"/>
  <c r="K40" i="20939"/>
  <c r="O40" i="20939"/>
  <c r="K41" i="20939"/>
  <c r="O41" i="20939"/>
  <c r="K42" i="20939"/>
  <c r="O42" i="20939"/>
  <c r="K43" i="20939"/>
  <c r="O43" i="20939"/>
  <c r="K44" i="20939"/>
  <c r="O44" i="20939"/>
  <c r="K45" i="20939"/>
  <c r="O45" i="20939"/>
  <c r="K46" i="20939"/>
  <c r="O46" i="20939"/>
  <c r="K47" i="20939"/>
  <c r="O47" i="20939"/>
  <c r="K48" i="20939"/>
  <c r="O48" i="20939"/>
  <c r="K49" i="20939"/>
  <c r="O49" i="20939"/>
  <c r="AD3" i="20938"/>
  <c r="AD4" i="20938"/>
  <c r="AD5" i="20938"/>
  <c r="AD6" i="20938"/>
  <c r="AD7" i="20938"/>
  <c r="AD8" i="20938"/>
  <c r="AD9" i="20938"/>
  <c r="AD10" i="20938"/>
  <c r="AD11" i="20938"/>
  <c r="AD12" i="20938"/>
  <c r="AD13" i="20938"/>
  <c r="AD14" i="20938"/>
  <c r="AD15" i="20938"/>
  <c r="AD16" i="20938"/>
  <c r="AD17" i="20938"/>
  <c r="AD18" i="20938"/>
  <c r="AD19" i="20938"/>
  <c r="AD20" i="20938"/>
  <c r="AD21" i="20938"/>
  <c r="AD22" i="20938"/>
  <c r="AD23" i="20938"/>
  <c r="AD24" i="20938"/>
  <c r="A25" i="20938"/>
  <c r="B10" i="20936"/>
  <c r="D10" i="20936"/>
  <c r="C13" i="20936"/>
  <c r="B15" i="20936"/>
  <c r="C15" i="20936"/>
  <c r="B22" i="20936"/>
  <c r="R4" i="267"/>
  <c r="R5" i="267"/>
  <c r="R6" i="267"/>
  <c r="R8" i="267"/>
  <c r="R15" i="267"/>
  <c r="N4" i="1"/>
  <c r="A7" i="1"/>
  <c r="B7" i="1"/>
  <c r="E5" i="20939" s="1"/>
  <c r="C7" i="1"/>
  <c r="D7" i="1"/>
  <c r="E7" i="1"/>
  <c r="F7" i="1"/>
  <c r="I5" i="20939" s="1"/>
  <c r="G7" i="1"/>
  <c r="J5" i="20939" s="1"/>
  <c r="H7" i="1"/>
  <c r="K5" i="20939" s="1"/>
  <c r="I7" i="1"/>
  <c r="R7" i="1" s="1"/>
  <c r="J7" i="1"/>
  <c r="T7" i="1"/>
  <c r="AG7" i="1"/>
  <c r="AI7" i="1"/>
  <c r="AT7" i="1"/>
  <c r="A8" i="1"/>
  <c r="B8" i="1"/>
  <c r="C8" i="1"/>
  <c r="D8" i="1"/>
  <c r="G6" i="20939" s="1"/>
  <c r="E8" i="1"/>
  <c r="S8" i="1" s="1"/>
  <c r="Z8" i="1" s="1"/>
  <c r="AA8" i="1" s="1"/>
  <c r="F8" i="1"/>
  <c r="I6" i="20939" s="1"/>
  <c r="G8" i="1"/>
  <c r="J6" i="20939" s="1"/>
  <c r="H8" i="1"/>
  <c r="K6" i="20939" s="1"/>
  <c r="I8" i="1"/>
  <c r="L6" i="20939" s="1"/>
  <c r="J8" i="1"/>
  <c r="R8" i="1"/>
  <c r="T8" i="1"/>
  <c r="V8" i="1"/>
  <c r="AG8" i="1"/>
  <c r="AP8" i="1"/>
  <c r="AU8" i="1" s="1"/>
  <c r="AT8" i="1"/>
  <c r="BE8" i="1"/>
  <c r="A9" i="1"/>
  <c r="A8" i="20936" s="1"/>
  <c r="B9" i="1"/>
  <c r="E7" i="20939" s="1"/>
  <c r="C9" i="1"/>
  <c r="D9" i="1"/>
  <c r="C8" i="20936" s="1"/>
  <c r="E9" i="1"/>
  <c r="AQ9" i="1" s="1"/>
  <c r="AR9" i="1" s="1"/>
  <c r="F9" i="1"/>
  <c r="I7" i="20939" s="1"/>
  <c r="G9" i="1"/>
  <c r="J7" i="20939" s="1"/>
  <c r="H9" i="1"/>
  <c r="K7" i="20939" s="1"/>
  <c r="I9" i="1"/>
  <c r="L7" i="20939" s="1"/>
  <c r="J9" i="1"/>
  <c r="R9" i="1"/>
  <c r="V9" i="1"/>
  <c r="AH9" i="1"/>
  <c r="AI9" i="1"/>
  <c r="AP9" i="1"/>
  <c r="AU9" i="1" s="1"/>
  <c r="AS9" i="1"/>
  <c r="AT9" i="1"/>
  <c r="BE9" i="1"/>
  <c r="A10" i="1"/>
  <c r="B10" i="1"/>
  <c r="E8" i="20939" s="1"/>
  <c r="C10" i="1"/>
  <c r="D10" i="1"/>
  <c r="AP10" i="1" s="1"/>
  <c r="E10" i="1"/>
  <c r="H8" i="20939" s="1"/>
  <c r="F10" i="1"/>
  <c r="I8" i="20939" s="1"/>
  <c r="G10" i="1"/>
  <c r="J8" i="20939" s="1"/>
  <c r="H10" i="1"/>
  <c r="I10" i="1"/>
  <c r="J10" i="1"/>
  <c r="V10" i="1"/>
  <c r="AQ10" i="1"/>
  <c r="AR10" i="1"/>
  <c r="AS10" i="1" s="1"/>
  <c r="AT10" i="1"/>
  <c r="A11" i="1"/>
  <c r="B11" i="1"/>
  <c r="E9" i="20939" s="1"/>
  <c r="C11" i="1"/>
  <c r="F9" i="20939" s="1"/>
  <c r="D11" i="1"/>
  <c r="E11" i="1"/>
  <c r="F11" i="1"/>
  <c r="G11" i="1"/>
  <c r="J9" i="20939" s="1"/>
  <c r="H11" i="1"/>
  <c r="I11" i="1"/>
  <c r="R11" i="1" s="1"/>
  <c r="J11" i="1"/>
  <c r="M9" i="20939" s="1"/>
  <c r="S11" i="1"/>
  <c r="Z11" i="1" s="1"/>
  <c r="AA11" i="1" s="1"/>
  <c r="T11" i="1"/>
  <c r="AG11" i="1"/>
  <c r="M11" i="1" s="1"/>
  <c r="P9" i="20939" s="1"/>
  <c r="AH11" i="1"/>
  <c r="AP11" i="1"/>
  <c r="AQ11" i="1"/>
  <c r="AR11" i="1"/>
  <c r="AS11" i="1"/>
  <c r="AT11" i="1"/>
  <c r="AU11" i="1"/>
  <c r="A12" i="1"/>
  <c r="B12" i="1"/>
  <c r="C12" i="1"/>
  <c r="B11" i="20936" s="1"/>
  <c r="D12" i="1"/>
  <c r="E12" i="1"/>
  <c r="H10" i="20939" s="1"/>
  <c r="F12" i="1"/>
  <c r="I10" i="20939" s="1"/>
  <c r="G12" i="1"/>
  <c r="J10" i="20939" s="1"/>
  <c r="H12" i="1"/>
  <c r="K10" i="20939" s="1"/>
  <c r="I12" i="1"/>
  <c r="J12" i="1"/>
  <c r="V12" i="1"/>
  <c r="AP12" i="1"/>
  <c r="AQ12" i="1"/>
  <c r="AR12" i="1" s="1"/>
  <c r="AS12" i="1" s="1"/>
  <c r="AT12" i="1" s="1"/>
  <c r="AU12" i="1"/>
  <c r="BC12" i="1"/>
  <c r="A13" i="1"/>
  <c r="B13" i="1"/>
  <c r="C13" i="1"/>
  <c r="D13" i="1"/>
  <c r="E13" i="1"/>
  <c r="F13" i="1"/>
  <c r="I11" i="20939" s="1"/>
  <c r="G13" i="1"/>
  <c r="J11" i="20939" s="1"/>
  <c r="H13" i="1"/>
  <c r="K11" i="20939" s="1"/>
  <c r="I13" i="1"/>
  <c r="J13" i="1"/>
  <c r="R13" i="1"/>
  <c r="S13" i="1" s="1"/>
  <c r="Z13" i="1" s="1"/>
  <c r="AA13" i="1"/>
  <c r="AB13" i="1" s="1"/>
  <c r="AP13" i="1"/>
  <c r="AU13" i="1"/>
  <c r="BD13" i="1"/>
  <c r="BE13" i="1"/>
  <c r="A14" i="1"/>
  <c r="AI14" i="1" s="1"/>
  <c r="B14" i="1"/>
  <c r="E12" i="20939" s="1"/>
  <c r="C14" i="1"/>
  <c r="D14" i="1"/>
  <c r="E14" i="1"/>
  <c r="H12" i="20939" s="1"/>
  <c r="F14" i="1"/>
  <c r="G14" i="1"/>
  <c r="J12" i="20939" s="1"/>
  <c r="H14" i="1"/>
  <c r="K12" i="20939" s="1"/>
  <c r="I14" i="1"/>
  <c r="J14" i="1"/>
  <c r="AM14" i="1"/>
  <c r="AQ14" i="1"/>
  <c r="AR14" i="1" s="1"/>
  <c r="AU14" i="1"/>
  <c r="A15" i="1"/>
  <c r="B15" i="1"/>
  <c r="E13" i="20939" s="1"/>
  <c r="C15" i="1"/>
  <c r="B14" i="20936" s="1"/>
  <c r="D15" i="1"/>
  <c r="E15" i="1"/>
  <c r="H13" i="20939" s="1"/>
  <c r="F15" i="1"/>
  <c r="G15" i="1"/>
  <c r="J13" i="20939" s="1"/>
  <c r="H15" i="1"/>
  <c r="K13" i="20939" s="1"/>
  <c r="I15" i="1"/>
  <c r="J15" i="1"/>
  <c r="M13" i="20939" s="1"/>
  <c r="AG15" i="1"/>
  <c r="M15" i="1" s="1"/>
  <c r="P13" i="20939" s="1"/>
  <c r="AH15" i="1"/>
  <c r="AP15" i="1"/>
  <c r="AQ15" i="1"/>
  <c r="AR15" i="1"/>
  <c r="AS15" i="1"/>
  <c r="AT15" i="1"/>
  <c r="AU15" i="1"/>
  <c r="A16" i="1"/>
  <c r="B16" i="1"/>
  <c r="C16" i="1"/>
  <c r="D16" i="1"/>
  <c r="G14" i="20939" s="1"/>
  <c r="E16" i="1"/>
  <c r="H14" i="20939" s="1"/>
  <c r="F16" i="1"/>
  <c r="I14" i="20939" s="1"/>
  <c r="G16" i="1"/>
  <c r="H16" i="1"/>
  <c r="K14" i="20939" s="1"/>
  <c r="I16" i="1"/>
  <c r="J16" i="1"/>
  <c r="V16" i="1"/>
  <c r="AP16" i="1"/>
  <c r="AQ16" i="1"/>
  <c r="AR16" i="1" s="1"/>
  <c r="AS16" i="1" s="1"/>
  <c r="AT16" i="1"/>
  <c r="AU16" i="1"/>
  <c r="A17" i="1"/>
  <c r="B17" i="1"/>
  <c r="C17" i="1"/>
  <c r="D17" i="1"/>
  <c r="E17" i="1"/>
  <c r="H15" i="20939" s="1"/>
  <c r="F17" i="1"/>
  <c r="I15" i="20939" s="1"/>
  <c r="G17" i="1"/>
  <c r="J15" i="20939" s="1"/>
  <c r="H17" i="1"/>
  <c r="K15" i="20939" s="1"/>
  <c r="I17" i="1"/>
  <c r="L15" i="20939" s="1"/>
  <c r="J17" i="1"/>
  <c r="BC17" i="1" s="1"/>
  <c r="R17" i="1"/>
  <c r="S17" i="1" s="1"/>
  <c r="Z17" i="1" s="1"/>
  <c r="AA17" i="1" s="1"/>
  <c r="AB17" i="1" s="1"/>
  <c r="V17" i="1"/>
  <c r="AG17" i="1"/>
  <c r="AQ17" i="1"/>
  <c r="AR17" i="1" s="1"/>
  <c r="AU17" i="1"/>
  <c r="BE17" i="1"/>
  <c r="A18" i="1"/>
  <c r="B18" i="1"/>
  <c r="E16" i="20939" s="1"/>
  <c r="C18" i="1"/>
  <c r="D18" i="1"/>
  <c r="E18" i="1"/>
  <c r="H16" i="20939" s="1"/>
  <c r="F18" i="1"/>
  <c r="I16" i="20939" s="1"/>
  <c r="G18" i="1"/>
  <c r="J16" i="20939" s="1"/>
  <c r="H18" i="1"/>
  <c r="K16" i="20939" s="1"/>
  <c r="I18" i="1"/>
  <c r="J18" i="1"/>
  <c r="L18" i="1"/>
  <c r="O16" i="20939" s="1"/>
  <c r="V18" i="1"/>
  <c r="AG18" i="1"/>
  <c r="M18" i="1" s="1"/>
  <c r="P16" i="20939" s="1"/>
  <c r="AH18" i="1"/>
  <c r="AT18" i="1"/>
  <c r="A19" i="1"/>
  <c r="BE19" i="1" s="1"/>
  <c r="B19" i="1"/>
  <c r="E17" i="20939" s="1"/>
  <c r="C19" i="1"/>
  <c r="B18" i="20936" s="1"/>
  <c r="D19" i="1"/>
  <c r="E19" i="1"/>
  <c r="H17" i="20939" s="1"/>
  <c r="F19" i="1"/>
  <c r="I17" i="20939" s="1"/>
  <c r="G19" i="1"/>
  <c r="H19" i="1"/>
  <c r="K17" i="20939" s="1"/>
  <c r="I19" i="1"/>
  <c r="J19" i="1"/>
  <c r="AP19" i="1"/>
  <c r="AQ19" i="1"/>
  <c r="AR19" i="1"/>
  <c r="AS19" i="1" s="1"/>
  <c r="AT19" i="1"/>
  <c r="A20" i="1"/>
  <c r="L20" i="1" s="1"/>
  <c r="O18" i="20939" s="1"/>
  <c r="B20" i="1"/>
  <c r="E18" i="20939" s="1"/>
  <c r="C20" i="1"/>
  <c r="D20" i="1"/>
  <c r="E20" i="1"/>
  <c r="H18" i="20939" s="1"/>
  <c r="F20" i="1"/>
  <c r="I18" i="20939" s="1"/>
  <c r="G20" i="1"/>
  <c r="J18" i="20939" s="1"/>
  <c r="H20" i="1"/>
  <c r="K18" i="20939" s="1"/>
  <c r="I20" i="1"/>
  <c r="J20" i="1"/>
  <c r="M18" i="20939" s="1"/>
  <c r="M20" i="1"/>
  <c r="P18" i="20939" s="1"/>
  <c r="N20" i="1"/>
  <c r="Q18" i="20939" s="1"/>
  <c r="R20" i="1"/>
  <c r="S20" i="1"/>
  <c r="Z20" i="1" s="1"/>
  <c r="AA20" i="1" s="1"/>
  <c r="V20" i="1"/>
  <c r="AB20" i="1"/>
  <c r="AD20" i="1"/>
  <c r="AG20" i="1"/>
  <c r="AI20" i="1"/>
  <c r="AM20" i="1"/>
  <c r="AP20" i="1"/>
  <c r="AU20" i="1" s="1"/>
  <c r="AT20" i="1"/>
  <c r="BC20" i="1"/>
  <c r="BD20" i="1"/>
  <c r="BE20" i="1"/>
  <c r="A21" i="1"/>
  <c r="B21" i="1"/>
  <c r="E19" i="20939" s="1"/>
  <c r="C21" i="1"/>
  <c r="D21" i="1"/>
  <c r="D21" i="556" s="1"/>
  <c r="U21" i="556" s="1"/>
  <c r="E21" i="1"/>
  <c r="F21" i="1"/>
  <c r="I19" i="20939" s="1"/>
  <c r="G21" i="1"/>
  <c r="J19" i="20939" s="1"/>
  <c r="H21" i="1"/>
  <c r="K19" i="20939" s="1"/>
  <c r="I21" i="1"/>
  <c r="J21" i="1"/>
  <c r="M19" i="20939" s="1"/>
  <c r="L21" i="1"/>
  <c r="O19" i="20939" s="1"/>
  <c r="M21" i="1"/>
  <c r="P19" i="20939" s="1"/>
  <c r="N21" i="1"/>
  <c r="Q19" i="20939" s="1"/>
  <c r="AB21" i="1"/>
  <c r="AD21" i="1"/>
  <c r="AG21" i="1"/>
  <c r="AI21" i="1"/>
  <c r="AM21" i="1"/>
  <c r="AT21" i="1"/>
  <c r="BC21" i="1"/>
  <c r="BE21" i="1"/>
  <c r="A22" i="1"/>
  <c r="B22" i="1"/>
  <c r="E20" i="20939" s="1"/>
  <c r="C22" i="1"/>
  <c r="D22" i="1"/>
  <c r="E22" i="1"/>
  <c r="H20" i="20939" s="1"/>
  <c r="F22" i="1"/>
  <c r="I20" i="20939" s="1"/>
  <c r="G22" i="1"/>
  <c r="J20" i="20939" s="1"/>
  <c r="H22" i="1"/>
  <c r="K20" i="20939" s="1"/>
  <c r="I22" i="1"/>
  <c r="J22" i="1"/>
  <c r="M20" i="20939" s="1"/>
  <c r="AT22" i="1"/>
  <c r="A23" i="1"/>
  <c r="BE23" i="1" s="1"/>
  <c r="B23" i="1"/>
  <c r="E21" i="20939" s="1"/>
  <c r="C23" i="1"/>
  <c r="F21" i="20939" s="1"/>
  <c r="D23" i="1"/>
  <c r="E23" i="1"/>
  <c r="H21" i="20939" s="1"/>
  <c r="F23" i="1"/>
  <c r="I21" i="20939" s="1"/>
  <c r="G23" i="1"/>
  <c r="J21" i="20939" s="1"/>
  <c r="H23" i="1"/>
  <c r="K21" i="20939" s="1"/>
  <c r="I23" i="1"/>
  <c r="L21" i="20939" s="1"/>
  <c r="J23" i="1"/>
  <c r="R23" i="1"/>
  <c r="V23" i="1"/>
  <c r="AP23" i="1"/>
  <c r="AU23" i="1" s="1"/>
  <c r="AQ23" i="1"/>
  <c r="AR23" i="1" s="1"/>
  <c r="AS23" i="1" s="1"/>
  <c r="AT23" i="1"/>
  <c r="BD23" i="1"/>
  <c r="A24" i="1"/>
  <c r="A23" i="20936" s="1"/>
  <c r="B24" i="1"/>
  <c r="E22" i="20939" s="1"/>
  <c r="C24" i="1"/>
  <c r="D24" i="1"/>
  <c r="C23" i="20936" s="1"/>
  <c r="E24" i="1"/>
  <c r="F24" i="1"/>
  <c r="I22" i="20939" s="1"/>
  <c r="G24" i="1"/>
  <c r="J22" i="20939" s="1"/>
  <c r="H24" i="1"/>
  <c r="K22" i="20939" s="1"/>
  <c r="I24" i="1"/>
  <c r="J24" i="1"/>
  <c r="AM24" i="1" s="1"/>
  <c r="M24" i="1"/>
  <c r="P22" i="20939" s="1"/>
  <c r="N24" i="1"/>
  <c r="Q22" i="20939" s="1"/>
  <c r="R24" i="1"/>
  <c r="V24" i="1"/>
  <c r="AB24" i="1"/>
  <c r="AD24" i="1"/>
  <c r="AG24" i="1"/>
  <c r="AP24" i="1"/>
  <c r="AU24" i="1" s="1"/>
  <c r="AT24" i="1"/>
  <c r="BC24" i="1"/>
  <c r="BD24" i="1"/>
  <c r="BE24" i="1"/>
  <c r="BH24" i="1"/>
  <c r="A25" i="1"/>
  <c r="B25" i="1"/>
  <c r="E23" i="20939" s="1"/>
  <c r="C25" i="1"/>
  <c r="D25" i="1"/>
  <c r="E25" i="1"/>
  <c r="F25" i="1"/>
  <c r="I23" i="20939" s="1"/>
  <c r="G25" i="1"/>
  <c r="J23" i="20939" s="1"/>
  <c r="H25" i="1"/>
  <c r="I25" i="1"/>
  <c r="J25" i="1"/>
  <c r="M23" i="20939" s="1"/>
  <c r="L25" i="1"/>
  <c r="O23" i="20939" s="1"/>
  <c r="M25" i="1"/>
  <c r="P23" i="20939" s="1"/>
  <c r="N25" i="1"/>
  <c r="Q23" i="20939" s="1"/>
  <c r="AB25" i="1"/>
  <c r="AD25" i="1"/>
  <c r="AG25" i="1"/>
  <c r="AH25" i="1"/>
  <c r="AI25" i="1"/>
  <c r="AM25" i="1"/>
  <c r="AT25" i="1"/>
  <c r="BC25" i="1"/>
  <c r="BE25" i="1"/>
  <c r="A26" i="1"/>
  <c r="B26" i="1"/>
  <c r="E24" i="20939" s="1"/>
  <c r="C26" i="1"/>
  <c r="D26" i="1"/>
  <c r="E26" i="1"/>
  <c r="H24" i="20939" s="1"/>
  <c r="F26" i="1"/>
  <c r="I24" i="20939" s="1"/>
  <c r="G26" i="1"/>
  <c r="J24" i="20939" s="1"/>
  <c r="H26" i="1"/>
  <c r="K24" i="20939" s="1"/>
  <c r="I26" i="1"/>
  <c r="J26" i="1"/>
  <c r="L26" i="1"/>
  <c r="O24" i="20939" s="1"/>
  <c r="N26" i="1"/>
  <c r="Q24" i="20939" s="1"/>
  <c r="V26" i="1"/>
  <c r="AB26" i="1"/>
  <c r="AG26" i="1"/>
  <c r="M26" i="1" s="1"/>
  <c r="P24" i="20939" s="1"/>
  <c r="AM26" i="1"/>
  <c r="AT26" i="1"/>
  <c r="BC26" i="1"/>
  <c r="A27" i="1"/>
  <c r="B27" i="1"/>
  <c r="E25" i="20939" s="1"/>
  <c r="C27" i="1"/>
  <c r="D27" i="1"/>
  <c r="E27" i="1"/>
  <c r="H25" i="20939" s="1"/>
  <c r="F27" i="1"/>
  <c r="I25" i="20939" s="1"/>
  <c r="G27" i="1"/>
  <c r="J25" i="20939" s="1"/>
  <c r="H27" i="1"/>
  <c r="K25" i="20939" s="1"/>
  <c r="I27" i="1"/>
  <c r="J27" i="1"/>
  <c r="AQ27" i="1"/>
  <c r="AR27" i="1" s="1"/>
  <c r="AS27" i="1"/>
  <c r="AT27" i="1"/>
  <c r="A28" i="1"/>
  <c r="A27" i="20936" s="1"/>
  <c r="B28" i="1"/>
  <c r="C28" i="1"/>
  <c r="D28" i="1"/>
  <c r="E28" i="1"/>
  <c r="H26" i="20939" s="1"/>
  <c r="F28" i="1"/>
  <c r="I26" i="20939" s="1"/>
  <c r="G28" i="1"/>
  <c r="J26" i="20939" s="1"/>
  <c r="H28" i="1"/>
  <c r="I28" i="1"/>
  <c r="J28" i="1"/>
  <c r="M28" i="1"/>
  <c r="P26" i="20939" s="1"/>
  <c r="N28" i="1"/>
  <c r="Q26" i="20939" s="1"/>
  <c r="R28" i="1"/>
  <c r="V28" i="1"/>
  <c r="AB28" i="1"/>
  <c r="AD28" i="1"/>
  <c r="AG28" i="1"/>
  <c r="AM28" i="1"/>
  <c r="AP28" i="1"/>
  <c r="AU28" i="1" s="1"/>
  <c r="AQ28" i="1"/>
  <c r="AR28" i="1" s="1"/>
  <c r="AS28" i="1" s="1"/>
  <c r="AT28" i="1"/>
  <c r="BC28" i="1"/>
  <c r="BD28" i="1"/>
  <c r="BE28" i="1"/>
  <c r="A5" i="560"/>
  <c r="B5" i="560"/>
  <c r="W10" i="556" s="1"/>
  <c r="A7" i="556"/>
  <c r="B7" i="556"/>
  <c r="C7" i="556"/>
  <c r="D7" i="556"/>
  <c r="U7" i="556" s="1"/>
  <c r="G7" i="556"/>
  <c r="AS7" i="556" s="1"/>
  <c r="X7" i="556"/>
  <c r="AB7" i="556"/>
  <c r="AF7" i="556"/>
  <c r="AJ7" i="556"/>
  <c r="AN7" i="556"/>
  <c r="BE7" i="556"/>
  <c r="BF7" i="556"/>
  <c r="A8" i="556"/>
  <c r="C8" i="556"/>
  <c r="D8" i="556"/>
  <c r="X8" i="556"/>
  <c r="AB8" i="556"/>
  <c r="AF8" i="556"/>
  <c r="AJ8" i="556"/>
  <c r="AN8" i="556"/>
  <c r="BE8" i="556"/>
  <c r="BF8" i="556"/>
  <c r="A9" i="556"/>
  <c r="B9" i="556"/>
  <c r="C9" i="556"/>
  <c r="D9" i="556"/>
  <c r="U9" i="556" s="1"/>
  <c r="G9" i="556"/>
  <c r="X9" i="556"/>
  <c r="AB9" i="556"/>
  <c r="AF9" i="556"/>
  <c r="AJ9" i="556"/>
  <c r="AN9" i="556"/>
  <c r="AS9" i="556"/>
  <c r="BE9" i="556"/>
  <c r="BF9" i="556"/>
  <c r="A10" i="556"/>
  <c r="B10" i="556"/>
  <c r="C10" i="556"/>
  <c r="D10" i="556"/>
  <c r="U10" i="556"/>
  <c r="BE10" i="556"/>
  <c r="BF10" i="556"/>
  <c r="B11" i="556"/>
  <c r="C11" i="556"/>
  <c r="D11" i="556"/>
  <c r="G11" i="556"/>
  <c r="X11" i="556"/>
  <c r="AB11" i="556"/>
  <c r="AE11" i="556"/>
  <c r="AF11" i="556"/>
  <c r="AJ11" i="556"/>
  <c r="AN11" i="556"/>
  <c r="BE11" i="556"/>
  <c r="BF11" i="556"/>
  <c r="A12" i="556"/>
  <c r="C12" i="556"/>
  <c r="D12" i="556"/>
  <c r="G12" i="556"/>
  <c r="X12" i="556"/>
  <c r="AB12" i="556"/>
  <c r="AF12" i="556"/>
  <c r="AJ12" i="556"/>
  <c r="AN12" i="556"/>
  <c r="BE12" i="556"/>
  <c r="BF12" i="556"/>
  <c r="A13" i="556"/>
  <c r="D13" i="556"/>
  <c r="G13" i="556"/>
  <c r="X13" i="556"/>
  <c r="AB13" i="556"/>
  <c r="AF13" i="556"/>
  <c r="AJ13" i="556"/>
  <c r="AN13" i="556"/>
  <c r="BE13" i="556"/>
  <c r="BF13" i="556"/>
  <c r="A14" i="556"/>
  <c r="B14" i="556"/>
  <c r="C14" i="556"/>
  <c r="G14" i="556"/>
  <c r="AA14" i="556"/>
  <c r="AS14" i="556"/>
  <c r="BE14" i="556"/>
  <c r="BF14" i="556"/>
  <c r="B15" i="556"/>
  <c r="C15" i="556"/>
  <c r="D15" i="556"/>
  <c r="G15" i="556"/>
  <c r="X15" i="556"/>
  <c r="AB15" i="556"/>
  <c r="AF15" i="556"/>
  <c r="AJ15" i="556"/>
  <c r="AN15" i="556"/>
  <c r="BE15" i="556"/>
  <c r="BF15" i="556"/>
  <c r="A16" i="556"/>
  <c r="C16" i="556"/>
  <c r="D16" i="556"/>
  <c r="X16" i="556"/>
  <c r="AB16" i="556"/>
  <c r="AF16" i="556"/>
  <c r="AJ16" i="556"/>
  <c r="AN16" i="556"/>
  <c r="BE16" i="556"/>
  <c r="BF16" i="556"/>
  <c r="A17" i="556"/>
  <c r="C17" i="556"/>
  <c r="D17" i="556"/>
  <c r="U17" i="556" s="1"/>
  <c r="X17" i="556"/>
  <c r="AB17" i="556"/>
  <c r="AF17" i="556"/>
  <c r="AJ17" i="556"/>
  <c r="AN17" i="556"/>
  <c r="BE17" i="556"/>
  <c r="BF17" i="556"/>
  <c r="A18" i="556"/>
  <c r="B18" i="556"/>
  <c r="D18" i="556"/>
  <c r="U18" i="556" s="1"/>
  <c r="G18" i="556"/>
  <c r="W18" i="556"/>
  <c r="X18" i="556"/>
  <c r="AA18" i="556"/>
  <c r="AB18" i="556"/>
  <c r="AE18" i="556"/>
  <c r="AF18" i="556"/>
  <c r="AI18" i="556"/>
  <c r="AJ18" i="556"/>
  <c r="AM18" i="556"/>
  <c r="AN18" i="556"/>
  <c r="BE18" i="556"/>
  <c r="BF18" i="556"/>
  <c r="A19" i="556"/>
  <c r="B19" i="556"/>
  <c r="C19" i="556"/>
  <c r="D19" i="556"/>
  <c r="G19" i="556"/>
  <c r="W19" i="556"/>
  <c r="X19" i="556"/>
  <c r="AA19" i="556"/>
  <c r="AB19" i="556"/>
  <c r="AE19" i="556"/>
  <c r="AF19" i="556"/>
  <c r="AI19" i="556"/>
  <c r="AJ19" i="556"/>
  <c r="AM19" i="556"/>
  <c r="AN19" i="556"/>
  <c r="BE19" i="556"/>
  <c r="BF19" i="556"/>
  <c r="A20" i="556"/>
  <c r="B20" i="556"/>
  <c r="C20" i="556"/>
  <c r="D20" i="556"/>
  <c r="G20" i="556"/>
  <c r="U20" i="556"/>
  <c r="W20" i="556"/>
  <c r="X20" i="556"/>
  <c r="AA20" i="556"/>
  <c r="AB20" i="556"/>
  <c r="AE20" i="556"/>
  <c r="AF20" i="556"/>
  <c r="AI20" i="556"/>
  <c r="AJ20" i="556"/>
  <c r="AM20" i="556"/>
  <c r="AN20" i="556"/>
  <c r="AS20" i="556"/>
  <c r="BE20" i="556"/>
  <c r="BF20" i="556"/>
  <c r="A21" i="556"/>
  <c r="B21" i="556"/>
  <c r="C21" i="556"/>
  <c r="G21" i="556"/>
  <c r="W21" i="556"/>
  <c r="X21" i="556"/>
  <c r="AA21" i="556"/>
  <c r="AB21" i="556"/>
  <c r="AE21" i="556"/>
  <c r="AF21" i="556"/>
  <c r="AI21" i="556"/>
  <c r="AJ21" i="556"/>
  <c r="AM21" i="556"/>
  <c r="AN21" i="556"/>
  <c r="AS21" i="556"/>
  <c r="BE21" i="556"/>
  <c r="BF21" i="556"/>
  <c r="B22" i="556"/>
  <c r="C22" i="556"/>
  <c r="D22" i="556"/>
  <c r="G22" i="556"/>
  <c r="W22" i="556"/>
  <c r="X22" i="556"/>
  <c r="AA22" i="556"/>
  <c r="AB22" i="556"/>
  <c r="AE22" i="556"/>
  <c r="AF22" i="556"/>
  <c r="AI22" i="556"/>
  <c r="AJ22" i="556"/>
  <c r="AM22" i="556"/>
  <c r="AN22" i="556"/>
  <c r="BE22" i="556"/>
  <c r="BF22" i="556"/>
  <c r="A23" i="556"/>
  <c r="B23" i="556"/>
  <c r="C23" i="556"/>
  <c r="D23" i="556"/>
  <c r="G23" i="556"/>
  <c r="U23" i="556"/>
  <c r="W23" i="556"/>
  <c r="X23" i="556"/>
  <c r="AA23" i="556"/>
  <c r="AB23" i="556"/>
  <c r="AE23" i="556"/>
  <c r="AF23" i="556"/>
  <c r="AI23" i="556"/>
  <c r="AJ23" i="556"/>
  <c r="AM23" i="556"/>
  <c r="AN23" i="556"/>
  <c r="AS23" i="556"/>
  <c r="BE23" i="556"/>
  <c r="BF23" i="556"/>
  <c r="A24" i="556"/>
  <c r="B24" i="556"/>
  <c r="C24" i="556"/>
  <c r="D24" i="556"/>
  <c r="G24" i="556"/>
  <c r="W24" i="556"/>
  <c r="X24" i="556"/>
  <c r="AA24" i="556"/>
  <c r="AB24" i="556"/>
  <c r="AE24" i="556"/>
  <c r="AF24" i="556"/>
  <c r="AI24" i="556"/>
  <c r="AJ24" i="556"/>
  <c r="AM24" i="556"/>
  <c r="AN24" i="556"/>
  <c r="BE24" i="556"/>
  <c r="BF24" i="556"/>
  <c r="A25" i="556"/>
  <c r="AS25" i="556" s="1"/>
  <c r="B25" i="556"/>
  <c r="C25" i="556"/>
  <c r="D25" i="556"/>
  <c r="G25" i="556"/>
  <c r="W25" i="556"/>
  <c r="AA25" i="556"/>
  <c r="AE25" i="556"/>
  <c r="AI25" i="556"/>
  <c r="AM25" i="556"/>
  <c r="BE25" i="556"/>
  <c r="BF25" i="556"/>
  <c r="A26" i="556"/>
  <c r="B26" i="556"/>
  <c r="C26" i="556"/>
  <c r="D26" i="556"/>
  <c r="G26" i="556"/>
  <c r="AS26" i="556" s="1"/>
  <c r="U26" i="556"/>
  <c r="W26" i="556"/>
  <c r="X26" i="556"/>
  <c r="AA26" i="556"/>
  <c r="AB26" i="556"/>
  <c r="AE26" i="556"/>
  <c r="AF26" i="556"/>
  <c r="AI26" i="556"/>
  <c r="AJ26" i="556"/>
  <c r="AM26" i="556"/>
  <c r="AN26" i="556"/>
  <c r="BE26" i="556"/>
  <c r="BF26" i="556"/>
  <c r="A27" i="556"/>
  <c r="B27" i="556"/>
  <c r="C27" i="556"/>
  <c r="D27" i="556"/>
  <c r="G27" i="556"/>
  <c r="W27" i="556"/>
  <c r="X27" i="556"/>
  <c r="AA27" i="556"/>
  <c r="AB27" i="556"/>
  <c r="AE27" i="556"/>
  <c r="AF27" i="556"/>
  <c r="AI27" i="556"/>
  <c r="AJ27" i="556"/>
  <c r="AM27" i="556"/>
  <c r="AN27" i="556"/>
  <c r="BE27" i="556"/>
  <c r="BF27" i="556"/>
  <c r="A28" i="556"/>
  <c r="B28" i="556"/>
  <c r="C28" i="556"/>
  <c r="D28" i="556"/>
  <c r="G28" i="556"/>
  <c r="U28" i="556"/>
  <c r="W28" i="556"/>
  <c r="X28" i="556"/>
  <c r="AA28" i="556"/>
  <c r="AB28" i="556"/>
  <c r="AE28" i="556"/>
  <c r="AI28" i="556"/>
  <c r="AJ28" i="556"/>
  <c r="AM28" i="556"/>
  <c r="AN28" i="556"/>
  <c r="AS28" i="556"/>
  <c r="BE28" i="556"/>
  <c r="BF28" i="556"/>
  <c r="AI15" i="556" l="1"/>
  <c r="AM10" i="556"/>
  <c r="AM16" i="556"/>
  <c r="AI13" i="556"/>
  <c r="AA12" i="556"/>
  <c r="W11" i="556"/>
  <c r="AI10" i="556"/>
  <c r="AE9" i="556"/>
  <c r="AE8" i="556"/>
  <c r="AE17" i="556"/>
  <c r="AM13" i="556"/>
  <c r="AI8" i="556"/>
  <c r="AA7" i="556"/>
  <c r="W17" i="556"/>
  <c r="AE10" i="556"/>
  <c r="AA16" i="556"/>
  <c r="AE12" i="556"/>
  <c r="AI16" i="556"/>
  <c r="W12" i="556"/>
  <c r="AA10" i="556"/>
  <c r="AA8" i="556"/>
  <c r="AM14" i="556"/>
  <c r="AI14" i="556"/>
  <c r="W14" i="556"/>
  <c r="AI9" i="556"/>
  <c r="AM17" i="556"/>
  <c r="AJ14" i="556"/>
  <c r="AM11" i="556"/>
  <c r="AA9" i="556"/>
  <c r="AI17" i="556"/>
  <c r="AE16" i="556"/>
  <c r="AB14" i="556"/>
  <c r="W13" i="556"/>
  <c r="AI12" i="556"/>
  <c r="AM9" i="556"/>
  <c r="AM8" i="556"/>
  <c r="W8" i="556"/>
  <c r="AI7" i="556"/>
  <c r="L17" i="1"/>
  <c r="O15" i="20939" s="1"/>
  <c r="K23" i="20939"/>
  <c r="X25" i="556"/>
  <c r="AF25" i="556"/>
  <c r="AN25" i="556"/>
  <c r="E15" i="20939"/>
  <c r="B17" i="556"/>
  <c r="K8" i="20939"/>
  <c r="AB10" i="556"/>
  <c r="AJ10" i="556"/>
  <c r="BE10" i="1"/>
  <c r="AN10" i="556"/>
  <c r="X10" i="556"/>
  <c r="AF10" i="556"/>
  <c r="AH21" i="1"/>
  <c r="AH16" i="1"/>
  <c r="BC16" i="1"/>
  <c r="AM16" i="1"/>
  <c r="G16" i="556"/>
  <c r="AS16" i="556" s="1"/>
  <c r="M14" i="20939"/>
  <c r="AI16" i="1"/>
  <c r="E14" i="20939"/>
  <c r="B16" i="556"/>
  <c r="AS27" i="556"/>
  <c r="U12" i="556"/>
  <c r="AS12" i="556"/>
  <c r="M6" i="20939"/>
  <c r="AH8" i="1"/>
  <c r="M8" i="1" s="1"/>
  <c r="P6" i="20939" s="1"/>
  <c r="BC8" i="1"/>
  <c r="AI8" i="1"/>
  <c r="AM8" i="1"/>
  <c r="BD8" i="1"/>
  <c r="BH8" i="1" s="1"/>
  <c r="G8" i="556"/>
  <c r="E6" i="20939"/>
  <c r="B8" i="556"/>
  <c r="AS13" i="556"/>
  <c r="G17" i="556"/>
  <c r="AS17" i="556" s="1"/>
  <c r="M15" i="20939"/>
  <c r="AI17" i="1"/>
  <c r="AM17" i="1"/>
  <c r="AB25" i="556"/>
  <c r="R19" i="267"/>
  <c r="R22" i="1"/>
  <c r="L20" i="20939"/>
  <c r="D20" i="20939"/>
  <c r="AI22" i="1"/>
  <c r="N22" i="1"/>
  <c r="Q20" i="20939" s="1"/>
  <c r="AB22" i="1"/>
  <c r="BC22" i="1"/>
  <c r="A21" i="20936"/>
  <c r="BD22" i="1"/>
  <c r="AD22" i="1"/>
  <c r="BE22" i="1"/>
  <c r="AG22" i="1"/>
  <c r="M22" i="1" s="1"/>
  <c r="P20" i="20939" s="1"/>
  <c r="L22" i="1"/>
  <c r="O20" i="20939" s="1"/>
  <c r="V22" i="1"/>
  <c r="A22" i="556"/>
  <c r="D22" i="20936"/>
  <c r="T23" i="1"/>
  <c r="S23" i="1"/>
  <c r="Z23" i="1" s="1"/>
  <c r="AA23" i="1" s="1"/>
  <c r="BG23" i="1"/>
  <c r="BH23" i="1"/>
  <c r="U24" i="556"/>
  <c r="K26" i="20939"/>
  <c r="AF28" i="556"/>
  <c r="M25" i="20939"/>
  <c r="AM27" i="1"/>
  <c r="AS24" i="556"/>
  <c r="U25" i="556"/>
  <c r="C20" i="20936"/>
  <c r="AP21" i="1"/>
  <c r="AU21" i="1" s="1"/>
  <c r="G19" i="20939"/>
  <c r="AJ25" i="556"/>
  <c r="U13" i="556"/>
  <c r="T28" i="1"/>
  <c r="BG28" i="1"/>
  <c r="D27" i="20936"/>
  <c r="S28" i="1"/>
  <c r="Z28" i="1" s="1"/>
  <c r="AA28" i="1" s="1"/>
  <c r="BH28" i="1"/>
  <c r="L25" i="20939"/>
  <c r="R24" i="267"/>
  <c r="R27" i="1"/>
  <c r="D25" i="20939"/>
  <c r="A26" i="20936"/>
  <c r="AG27" i="1"/>
  <c r="M27" i="1" s="1"/>
  <c r="P25" i="20939" s="1"/>
  <c r="AI27" i="1"/>
  <c r="N27" i="1"/>
  <c r="Q25" i="20939" s="1"/>
  <c r="AB27" i="1"/>
  <c r="BC27" i="1"/>
  <c r="BE27" i="1"/>
  <c r="V27" i="1"/>
  <c r="AD27" i="1"/>
  <c r="BD27" i="1"/>
  <c r="L27" i="1"/>
  <c r="O25" i="20939" s="1"/>
  <c r="B17" i="20936"/>
  <c r="F16" i="20939"/>
  <c r="C18" i="556"/>
  <c r="U27" i="556"/>
  <c r="AS19" i="556"/>
  <c r="T24" i="1"/>
  <c r="BG24" i="1"/>
  <c r="K24" i="1" s="1"/>
  <c r="N22" i="20939" s="1"/>
  <c r="D23" i="20936"/>
  <c r="S24" i="1"/>
  <c r="Z24" i="1" s="1"/>
  <c r="AA24" i="1" s="1"/>
  <c r="H22" i="20939"/>
  <c r="AQ24" i="1"/>
  <c r="AR24" i="1" s="1"/>
  <c r="AS24" i="1" s="1"/>
  <c r="M10" i="20939"/>
  <c r="AH12" i="1"/>
  <c r="BD12" i="1"/>
  <c r="AI12" i="1"/>
  <c r="AM12" i="1"/>
  <c r="E10" i="20939"/>
  <c r="B12" i="556"/>
  <c r="F23" i="20939"/>
  <c r="B24" i="20936"/>
  <c r="L17" i="20939"/>
  <c r="R16" i="267"/>
  <c r="R19" i="1"/>
  <c r="D17" i="20939"/>
  <c r="A18" i="20936"/>
  <c r="AG19" i="1"/>
  <c r="M19" i="1" s="1"/>
  <c r="P17" i="20939" s="1"/>
  <c r="L19" i="1"/>
  <c r="O17" i="20939" s="1"/>
  <c r="AI19" i="1"/>
  <c r="N19" i="1"/>
  <c r="Q17" i="20939" s="1"/>
  <c r="AB19" i="1"/>
  <c r="BC19" i="1"/>
  <c r="V19" i="1"/>
  <c r="AD19" i="1"/>
  <c r="BD19" i="1"/>
  <c r="U19" i="556"/>
  <c r="AS8" i="556"/>
  <c r="AS17" i="1"/>
  <c r="AT17" i="1" s="1"/>
  <c r="M26" i="20939"/>
  <c r="K28" i="1"/>
  <c r="N26" i="20939" s="1"/>
  <c r="AH28" i="1"/>
  <c r="AI28" i="1"/>
  <c r="C26" i="20936"/>
  <c r="G25" i="20939"/>
  <c r="AH27" i="1"/>
  <c r="M24" i="20939"/>
  <c r="H23" i="20939"/>
  <c r="AQ25" i="1"/>
  <c r="AR25" i="1" s="1"/>
  <c r="AS25" i="1" s="1"/>
  <c r="V21" i="1"/>
  <c r="G12" i="20939"/>
  <c r="AP14" i="1"/>
  <c r="AS14" i="1" s="1"/>
  <c r="AT14" i="1" s="1"/>
  <c r="V14" i="1"/>
  <c r="AG14" i="1"/>
  <c r="AH14" i="1"/>
  <c r="BE14" i="1"/>
  <c r="M8" i="20939"/>
  <c r="AH10" i="1"/>
  <c r="B6" i="20936"/>
  <c r="F5" i="20939"/>
  <c r="F10" i="20936"/>
  <c r="N10" i="20936"/>
  <c r="G10" i="20936"/>
  <c r="O10" i="20936"/>
  <c r="H10" i="20936"/>
  <c r="P10" i="20936"/>
  <c r="K10" i="20936"/>
  <c r="E10" i="20936"/>
  <c r="I10" i="20936"/>
  <c r="P8" i="267"/>
  <c r="Q8" i="267" s="1"/>
  <c r="J10" i="20936"/>
  <c r="M10" i="20936"/>
  <c r="U10" i="20936"/>
  <c r="B65" i="20936"/>
  <c r="E11" i="556"/>
  <c r="AA17" i="556"/>
  <c r="W16" i="556"/>
  <c r="AA15" i="556"/>
  <c r="D14" i="556"/>
  <c r="AE13" i="556"/>
  <c r="G10" i="556"/>
  <c r="AS10" i="556" s="1"/>
  <c r="AP27" i="1"/>
  <c r="AU27" i="1" s="1"/>
  <c r="L24" i="20939"/>
  <c r="R23" i="267"/>
  <c r="R26" i="1"/>
  <c r="D24" i="20939"/>
  <c r="AI26" i="1"/>
  <c r="BD26" i="1"/>
  <c r="AD26" i="1"/>
  <c r="BE26" i="1"/>
  <c r="A25" i="20936"/>
  <c r="L13" i="20939"/>
  <c r="R12" i="267"/>
  <c r="R15" i="1"/>
  <c r="D13" i="20939"/>
  <c r="AI15" i="1"/>
  <c r="A14" i="20936"/>
  <c r="BC15" i="1"/>
  <c r="L15" i="1" s="1"/>
  <c r="O13" i="20939" s="1"/>
  <c r="AM15" i="1"/>
  <c r="BD15" i="1"/>
  <c r="BE15" i="1"/>
  <c r="A15" i="556"/>
  <c r="V15" i="1"/>
  <c r="AI11" i="1"/>
  <c r="BC11" i="1"/>
  <c r="BG11" i="1" s="1"/>
  <c r="AM11" i="1"/>
  <c r="BD11" i="1"/>
  <c r="L11" i="1"/>
  <c r="O9" i="20939" s="1"/>
  <c r="AB11" i="1"/>
  <c r="BE11" i="1"/>
  <c r="V11" i="1"/>
  <c r="D9" i="20939"/>
  <c r="A10" i="20936"/>
  <c r="L10" i="20936" s="1"/>
  <c r="A11" i="556"/>
  <c r="B7" i="20936"/>
  <c r="F6" i="20939"/>
  <c r="U16" i="556"/>
  <c r="W7" i="556"/>
  <c r="AE7" i="556"/>
  <c r="AM7" i="556"/>
  <c r="X14" i="556"/>
  <c r="AF14" i="556"/>
  <c r="AN14" i="556"/>
  <c r="W9" i="556"/>
  <c r="AM12" i="556"/>
  <c r="AA13" i="556"/>
  <c r="AQ21" i="1"/>
  <c r="AR21" i="1" s="1"/>
  <c r="AS21" i="1" s="1"/>
  <c r="H19" i="20939"/>
  <c r="M11" i="20939"/>
  <c r="AI13" i="1"/>
  <c r="AM13" i="1"/>
  <c r="E11" i="20939"/>
  <c r="B13" i="556"/>
  <c r="AM10" i="1"/>
  <c r="AS18" i="556"/>
  <c r="G24" i="20939"/>
  <c r="C25" i="20936"/>
  <c r="AP26" i="1"/>
  <c r="AU26" i="1" s="1"/>
  <c r="AH26" i="1"/>
  <c r="M22" i="20939"/>
  <c r="AH24" i="1"/>
  <c r="AI24" i="1"/>
  <c r="AH19" i="1"/>
  <c r="AM19" i="1"/>
  <c r="M17" i="20939"/>
  <c r="G16" i="20939"/>
  <c r="C17" i="20936"/>
  <c r="AP18" i="1"/>
  <c r="AU18" i="1" s="1"/>
  <c r="I12" i="20939"/>
  <c r="AE14" i="556"/>
  <c r="BC13" i="1"/>
  <c r="L13" i="1" s="1"/>
  <c r="O11" i="20939" s="1"/>
  <c r="AI10" i="1"/>
  <c r="U8" i="556"/>
  <c r="F24" i="20939"/>
  <c r="B25" i="20936"/>
  <c r="V25" i="1"/>
  <c r="B20" i="20936"/>
  <c r="F19" i="20939"/>
  <c r="AQ20" i="1"/>
  <c r="AR20" i="1" s="1"/>
  <c r="AS20" i="1" s="1"/>
  <c r="AU19" i="1"/>
  <c r="L14" i="20939"/>
  <c r="R13" i="267"/>
  <c r="R16" i="1"/>
  <c r="D14" i="20939"/>
  <c r="A15" i="20936"/>
  <c r="AG16" i="1"/>
  <c r="BD16" i="1"/>
  <c r="BE16" i="1"/>
  <c r="L10" i="20939"/>
  <c r="R9" i="267"/>
  <c r="R26" i="267" s="1"/>
  <c r="R12" i="1"/>
  <c r="D10" i="20939"/>
  <c r="AG12" i="1"/>
  <c r="M12" i="1" s="1"/>
  <c r="P10" i="20939" s="1"/>
  <c r="BE12" i="1"/>
  <c r="L8" i="20939"/>
  <c r="R7" i="267"/>
  <c r="R10" i="1"/>
  <c r="A9" i="20936"/>
  <c r="D8" i="20939"/>
  <c r="BD10" i="1"/>
  <c r="B11" i="560"/>
  <c r="B11" i="20939" s="1"/>
  <c r="A29" i="1"/>
  <c r="D27" i="20939" s="1"/>
  <c r="AG10" i="1"/>
  <c r="M10" i="1" s="1"/>
  <c r="P8" i="20939" s="1"/>
  <c r="BC10" i="1"/>
  <c r="M21" i="20939"/>
  <c r="AH23" i="1"/>
  <c r="AM23" i="1"/>
  <c r="AH22" i="1"/>
  <c r="C21" i="20936"/>
  <c r="G20" i="20939"/>
  <c r="AP22" i="1"/>
  <c r="AU22" i="1" s="1"/>
  <c r="D19" i="20936"/>
  <c r="T20" i="1"/>
  <c r="BG20" i="1"/>
  <c r="BH20" i="1"/>
  <c r="M16" i="20939"/>
  <c r="AM18" i="1"/>
  <c r="H11" i="20939"/>
  <c r="AQ13" i="1"/>
  <c r="AR13" i="1" s="1"/>
  <c r="AS13" i="1" s="1"/>
  <c r="AT13" i="1" s="1"/>
  <c r="AT29" i="1"/>
  <c r="D8" i="20936"/>
  <c r="S9" i="1"/>
  <c r="Z9" i="1" s="1"/>
  <c r="AA9" i="1" s="1"/>
  <c r="AB9" i="1" s="1"/>
  <c r="T9" i="1"/>
  <c r="R20" i="267"/>
  <c r="A22" i="20936"/>
  <c r="D21" i="20939"/>
  <c r="AG23" i="1"/>
  <c r="M23" i="1" s="1"/>
  <c r="L23" i="1"/>
  <c r="O21" i="20939" s="1"/>
  <c r="AI23" i="1"/>
  <c r="N23" i="1"/>
  <c r="Q21" i="20939" s="1"/>
  <c r="AB23" i="1"/>
  <c r="BC23" i="1"/>
  <c r="F20" i="20939"/>
  <c r="B21" i="20936"/>
  <c r="L16" i="20939"/>
  <c r="R18" i="1"/>
  <c r="A17" i="20936"/>
  <c r="D16" i="20939"/>
  <c r="AI18" i="1"/>
  <c r="N18" i="1"/>
  <c r="Q16" i="20939" s="1"/>
  <c r="AB18" i="1"/>
  <c r="BC18" i="1"/>
  <c r="BD18" i="1"/>
  <c r="AD18" i="1"/>
  <c r="BE18" i="1"/>
  <c r="G15" i="20939"/>
  <c r="C16" i="20936"/>
  <c r="AP17" i="1"/>
  <c r="G11" i="20939"/>
  <c r="C12" i="20936"/>
  <c r="V13" i="1"/>
  <c r="AG13" i="1"/>
  <c r="G23" i="20939"/>
  <c r="C24" i="20936"/>
  <c r="AP25" i="1"/>
  <c r="AU25" i="1" s="1"/>
  <c r="AD23" i="1"/>
  <c r="AM22" i="1"/>
  <c r="AH17" i="1"/>
  <c r="M17" i="1" s="1"/>
  <c r="P15" i="20939" s="1"/>
  <c r="B16" i="20936"/>
  <c r="F15" i="20939"/>
  <c r="I13" i="20939"/>
  <c r="W15" i="556"/>
  <c r="AE15" i="556"/>
  <c r="AM15" i="556"/>
  <c r="AH13" i="1"/>
  <c r="B12" i="20936"/>
  <c r="F11" i="20939"/>
  <c r="C13" i="556"/>
  <c r="I9" i="20939"/>
  <c r="AA11" i="556"/>
  <c r="AI11" i="556"/>
  <c r="A11" i="20936"/>
  <c r="L28" i="1"/>
  <c r="O26" i="20939" s="1"/>
  <c r="G26" i="20939"/>
  <c r="C27" i="20936"/>
  <c r="AQ26" i="1"/>
  <c r="AR26" i="1" s="1"/>
  <c r="AS26" i="1" s="1"/>
  <c r="L24" i="1"/>
  <c r="O22" i="20939" s="1"/>
  <c r="AQ22" i="1"/>
  <c r="AR22" i="1" s="1"/>
  <c r="AS22" i="1" s="1"/>
  <c r="AH20" i="1"/>
  <c r="G18" i="20939"/>
  <c r="C19" i="20936"/>
  <c r="AQ18" i="1"/>
  <c r="AR18" i="1" s="1"/>
  <c r="AS18" i="1" s="1"/>
  <c r="BH17" i="1"/>
  <c r="BC14" i="1"/>
  <c r="B13" i="20936"/>
  <c r="F12" i="20939"/>
  <c r="BD9" i="1"/>
  <c r="AG9" i="1"/>
  <c r="M9" i="1" s="1"/>
  <c r="G22" i="20939"/>
  <c r="H7" i="20939"/>
  <c r="F26" i="20939"/>
  <c r="B27" i="20936"/>
  <c r="L23" i="20939"/>
  <c r="R22" i="267"/>
  <c r="A24" i="20936"/>
  <c r="D23" i="20939"/>
  <c r="F22" i="20939"/>
  <c r="B23" i="20936"/>
  <c r="R18" i="267"/>
  <c r="L19" i="20939"/>
  <c r="A20" i="20936"/>
  <c r="D19" i="20939"/>
  <c r="F18" i="20939"/>
  <c r="B19" i="20936"/>
  <c r="D16" i="20936"/>
  <c r="T17" i="1"/>
  <c r="G13" i="20939"/>
  <c r="C14" i="20936"/>
  <c r="G9" i="20939"/>
  <c r="C10" i="20936"/>
  <c r="D22" i="20939"/>
  <c r="G7" i="20939"/>
  <c r="C22" i="20936"/>
  <c r="G21" i="20939"/>
  <c r="G17" i="20939"/>
  <c r="C18" i="20936"/>
  <c r="L12" i="20939"/>
  <c r="R11" i="267"/>
  <c r="R14" i="1"/>
  <c r="D12" i="20939"/>
  <c r="A13" i="20936"/>
  <c r="BD14" i="1"/>
  <c r="D12" i="20936"/>
  <c r="T13" i="1"/>
  <c r="AU10" i="1"/>
  <c r="F7" i="20939"/>
  <c r="B8" i="20936"/>
  <c r="H5" i="20939"/>
  <c r="AQ7" i="1"/>
  <c r="AR7" i="1" s="1"/>
  <c r="AS7" i="1" s="1"/>
  <c r="R25" i="267"/>
  <c r="L26" i="20939"/>
  <c r="F25" i="20939"/>
  <c r="B26" i="20936"/>
  <c r="BD25" i="1"/>
  <c r="R25" i="1"/>
  <c r="L22" i="20939"/>
  <c r="R21" i="267"/>
  <c r="BD21" i="1"/>
  <c r="R21" i="1"/>
  <c r="R17" i="267"/>
  <c r="L18" i="20939"/>
  <c r="A19" i="20936"/>
  <c r="D18" i="20939"/>
  <c r="BD17" i="1"/>
  <c r="BG17" i="1" s="1"/>
  <c r="BH13" i="1"/>
  <c r="G10" i="20939"/>
  <c r="C11" i="20936"/>
  <c r="B9" i="20936"/>
  <c r="F8" i="20939"/>
  <c r="M7" i="20939"/>
  <c r="AM9" i="1"/>
  <c r="BC9" i="1"/>
  <c r="BH9" i="1" s="1"/>
  <c r="H6" i="20939"/>
  <c r="AQ8" i="1"/>
  <c r="AR8" i="1" s="1"/>
  <c r="AS8" i="1" s="1"/>
  <c r="C6" i="20936"/>
  <c r="G5" i="20939"/>
  <c r="AH7" i="1"/>
  <c r="M7" i="1" s="1"/>
  <c r="BD7" i="1"/>
  <c r="AP7" i="1"/>
  <c r="AU7" i="1" s="1"/>
  <c r="F13" i="20939"/>
  <c r="D15" i="20939"/>
  <c r="A16" i="20936"/>
  <c r="L11" i="20939"/>
  <c r="R10" i="267"/>
  <c r="A12" i="20936"/>
  <c r="D11" i="20939"/>
  <c r="A7" i="20936"/>
  <c r="D6" i="20939"/>
  <c r="AB8" i="1"/>
  <c r="M5" i="20939"/>
  <c r="AM7" i="1"/>
  <c r="D6" i="20936"/>
  <c r="S7" i="1"/>
  <c r="Z7" i="1" s="1"/>
  <c r="AA7" i="1" s="1"/>
  <c r="AB7" i="1" s="1"/>
  <c r="A6" i="20936"/>
  <c r="BC7" i="1"/>
  <c r="BE7" i="1"/>
  <c r="C9" i="20936"/>
  <c r="G8" i="20939"/>
  <c r="D7" i="20936"/>
  <c r="V7" i="1"/>
  <c r="V29" i="1" s="1"/>
  <c r="B13" i="560" s="1"/>
  <c r="B13" i="20939" s="1"/>
  <c r="R14" i="267"/>
  <c r="F10" i="20939"/>
  <c r="L5" i="20939"/>
  <c r="C7" i="20936"/>
  <c r="C70" i="20936" l="1"/>
  <c r="P5" i="20939"/>
  <c r="P21" i="20939"/>
  <c r="K11" i="1"/>
  <c r="AE11" i="1"/>
  <c r="F11" i="556"/>
  <c r="AG11" i="556" s="1"/>
  <c r="AH11" i="556" s="1"/>
  <c r="AE17" i="1"/>
  <c r="F17" i="556"/>
  <c r="S17" i="556" s="1"/>
  <c r="T17" i="556" s="1"/>
  <c r="K17" i="1"/>
  <c r="I23" i="20936"/>
  <c r="J23" i="20936"/>
  <c r="U23" i="20936"/>
  <c r="K23" i="20936"/>
  <c r="E23" i="20936"/>
  <c r="P23" i="20936"/>
  <c r="P21" i="267"/>
  <c r="Q21" i="267" s="1"/>
  <c r="F23" i="20936"/>
  <c r="G23" i="20936"/>
  <c r="H23" i="20936"/>
  <c r="M23" i="20936"/>
  <c r="N23" i="20936"/>
  <c r="O23" i="20936"/>
  <c r="L23" i="20936"/>
  <c r="E24" i="556"/>
  <c r="S28" i="556"/>
  <c r="T28" i="556" s="1"/>
  <c r="S23" i="556"/>
  <c r="T23" i="556" s="1"/>
  <c r="BG7" i="1"/>
  <c r="BH7" i="1"/>
  <c r="L7" i="1"/>
  <c r="O5" i="20939" s="1"/>
  <c r="D20" i="20936"/>
  <c r="S21" i="1"/>
  <c r="Z21" i="1" s="1"/>
  <c r="AA21" i="1" s="1"/>
  <c r="T21" i="1"/>
  <c r="BG21" i="1"/>
  <c r="BH21" i="1"/>
  <c r="C75" i="20936"/>
  <c r="BG9" i="1"/>
  <c r="D9" i="20936"/>
  <c r="S10" i="1"/>
  <c r="Z10" i="1" s="1"/>
  <c r="AA10" i="1" s="1"/>
  <c r="AB10" i="1" s="1"/>
  <c r="T10" i="1"/>
  <c r="BG10" i="1"/>
  <c r="BH10" i="1"/>
  <c r="D25" i="20936"/>
  <c r="S26" i="1"/>
  <c r="Z26" i="1" s="1"/>
  <c r="AA26" i="1" s="1"/>
  <c r="T26" i="1"/>
  <c r="BH26" i="1"/>
  <c r="BG26" i="1"/>
  <c r="D18" i="20936"/>
  <c r="BH19" i="1"/>
  <c r="T19" i="1"/>
  <c r="BG19" i="1"/>
  <c r="S19" i="1"/>
  <c r="Z19" i="1" s="1"/>
  <c r="AA19" i="1" s="1"/>
  <c r="H12" i="20936"/>
  <c r="P12" i="20936"/>
  <c r="I12" i="20936"/>
  <c r="J12" i="20936"/>
  <c r="U12" i="20936"/>
  <c r="E12" i="20936"/>
  <c r="M12" i="20936"/>
  <c r="O12" i="20936"/>
  <c r="F12" i="20936"/>
  <c r="G12" i="20936"/>
  <c r="P10" i="267"/>
  <c r="Q10" i="267" s="1"/>
  <c r="K12" i="20936"/>
  <c r="L12" i="20936"/>
  <c r="N12" i="20936"/>
  <c r="E13" i="556"/>
  <c r="M13" i="1"/>
  <c r="P11" i="20939" s="1"/>
  <c r="D17" i="20936"/>
  <c r="S18" i="1"/>
  <c r="Z18" i="1" s="1"/>
  <c r="AA18" i="1" s="1"/>
  <c r="BG18" i="1"/>
  <c r="BH18" i="1"/>
  <c r="T18" i="1"/>
  <c r="D11" i="20936"/>
  <c r="BG12" i="1"/>
  <c r="BH12" i="1"/>
  <c r="S12" i="1"/>
  <c r="Z12" i="1" s="1"/>
  <c r="AA12" i="1" s="1"/>
  <c r="AB12" i="1" s="1"/>
  <c r="T12" i="1"/>
  <c r="L12" i="1"/>
  <c r="O10" i="20939" s="1"/>
  <c r="M16" i="1"/>
  <c r="P14" i="20939" s="1"/>
  <c r="AS29" i="556"/>
  <c r="X10" i="1" s="1"/>
  <c r="AE23" i="1"/>
  <c r="F23" i="556"/>
  <c r="D21" i="20936"/>
  <c r="S22" i="1"/>
  <c r="Z22" i="1" s="1"/>
  <c r="AA22" i="1" s="1"/>
  <c r="BH22" i="1"/>
  <c r="BG22" i="1"/>
  <c r="T22" i="1"/>
  <c r="AU29" i="1"/>
  <c r="D24" i="20936"/>
  <c r="T25" i="1"/>
  <c r="BG25" i="1"/>
  <c r="BH25" i="1"/>
  <c r="S25" i="1"/>
  <c r="Z25" i="1" s="1"/>
  <c r="AA25" i="1" s="1"/>
  <c r="K23" i="1"/>
  <c r="N21" i="20939" s="1"/>
  <c r="D15" i="20936"/>
  <c r="BG16" i="1"/>
  <c r="S16" i="1"/>
  <c r="Z16" i="1" s="1"/>
  <c r="AA16" i="1" s="1"/>
  <c r="AB16" i="1" s="1"/>
  <c r="BH16" i="1"/>
  <c r="T16" i="1"/>
  <c r="L16" i="1"/>
  <c r="O14" i="20939" s="1"/>
  <c r="AS11" i="556"/>
  <c r="A30" i="556"/>
  <c r="U15" i="556"/>
  <c r="AS15" i="556"/>
  <c r="M14" i="1"/>
  <c r="I27" i="20936"/>
  <c r="J27" i="20936"/>
  <c r="U27" i="20936"/>
  <c r="K27" i="20936"/>
  <c r="H27" i="20936"/>
  <c r="L27" i="20936"/>
  <c r="M27" i="20936"/>
  <c r="N27" i="20936"/>
  <c r="P27" i="20936"/>
  <c r="E27" i="20936"/>
  <c r="O27" i="20936"/>
  <c r="F27" i="20936"/>
  <c r="G27" i="20936"/>
  <c r="E28" i="556"/>
  <c r="AI29" i="1"/>
  <c r="AJ29" i="1" s="1"/>
  <c r="B23" i="560" s="1"/>
  <c r="B23" i="20939" s="1"/>
  <c r="J6" i="20936"/>
  <c r="U6" i="20936"/>
  <c r="K6" i="20936"/>
  <c r="L6" i="20936"/>
  <c r="G6" i="20936"/>
  <c r="O6" i="20936"/>
  <c r="E6" i="20936"/>
  <c r="F6" i="20936"/>
  <c r="I6" i="20936"/>
  <c r="M6" i="20936"/>
  <c r="N6" i="20936"/>
  <c r="P6" i="20936"/>
  <c r="P4" i="267"/>
  <c r="Q4" i="267" s="1"/>
  <c r="B61" i="20936"/>
  <c r="H6" i="20936"/>
  <c r="E7" i="556"/>
  <c r="AO11" i="556"/>
  <c r="AP11" i="556" s="1"/>
  <c r="Q10" i="20936"/>
  <c r="AE28" i="1"/>
  <c r="F28" i="556"/>
  <c r="AS22" i="556"/>
  <c r="U22" i="556"/>
  <c r="U11" i="556"/>
  <c r="AW13" i="556"/>
  <c r="L8" i="1"/>
  <c r="O6" i="20939" s="1"/>
  <c r="BG8" i="1"/>
  <c r="C68" i="20936"/>
  <c r="L16" i="20936"/>
  <c r="E16" i="20936"/>
  <c r="M16" i="20936"/>
  <c r="I16" i="20936"/>
  <c r="K16" i="20936"/>
  <c r="N16" i="20936"/>
  <c r="O16" i="20936"/>
  <c r="P16" i="20936"/>
  <c r="U16" i="20936"/>
  <c r="G16" i="20936"/>
  <c r="H16" i="20936"/>
  <c r="J16" i="20936"/>
  <c r="P14" i="267"/>
  <c r="Q14" i="267" s="1"/>
  <c r="F16" i="20936"/>
  <c r="E17" i="556"/>
  <c r="L8" i="20936"/>
  <c r="E8" i="20936"/>
  <c r="M8" i="20936"/>
  <c r="F8" i="20936"/>
  <c r="N8" i="20936"/>
  <c r="I8" i="20936"/>
  <c r="K8" i="20936"/>
  <c r="B63" i="20936"/>
  <c r="O8" i="20936"/>
  <c r="P8" i="20936"/>
  <c r="G8" i="20936"/>
  <c r="P6" i="267"/>
  <c r="Q6" i="267" s="1"/>
  <c r="J8" i="20936"/>
  <c r="U8" i="20936"/>
  <c r="E9" i="556"/>
  <c r="H8" i="20936"/>
  <c r="AE20" i="1"/>
  <c r="F20" i="556"/>
  <c r="AE24" i="1"/>
  <c r="F24" i="556"/>
  <c r="S24" i="556" s="1"/>
  <c r="T24" i="556" s="1"/>
  <c r="AW29" i="1"/>
  <c r="B16" i="560" s="1"/>
  <c r="B16" i="20939" s="1"/>
  <c r="D13" i="20936"/>
  <c r="T14" i="1"/>
  <c r="BG14" i="1"/>
  <c r="BH14" i="1"/>
  <c r="L14" i="1"/>
  <c r="O12" i="20939" s="1"/>
  <c r="S14" i="1"/>
  <c r="Z14" i="1" s="1"/>
  <c r="AA14" i="1" s="1"/>
  <c r="AB14" i="1" s="1"/>
  <c r="P7" i="20939"/>
  <c r="L19" i="20936"/>
  <c r="E19" i="20936"/>
  <c r="M19" i="20936"/>
  <c r="I19" i="20936"/>
  <c r="G19" i="20936"/>
  <c r="P17" i="267"/>
  <c r="Q17" i="267" s="1"/>
  <c r="H19" i="20936"/>
  <c r="J19" i="20936"/>
  <c r="U19" i="20936"/>
  <c r="F19" i="20936"/>
  <c r="K19" i="20936"/>
  <c r="P19" i="20936"/>
  <c r="N19" i="20936"/>
  <c r="E20" i="556"/>
  <c r="O19" i="20936"/>
  <c r="L10" i="1"/>
  <c r="O8" i="20939" s="1"/>
  <c r="AM29" i="1"/>
  <c r="B15" i="560" s="1"/>
  <c r="C67" i="20936"/>
  <c r="K20" i="1"/>
  <c r="N18" i="20939" s="1"/>
  <c r="K22" i="20936"/>
  <c r="L22" i="20936"/>
  <c r="P20" i="267"/>
  <c r="Q20" i="267" s="1"/>
  <c r="E22" i="20936"/>
  <c r="M22" i="20936"/>
  <c r="I22" i="20936"/>
  <c r="J22" i="20936"/>
  <c r="N22" i="20936"/>
  <c r="O22" i="20936"/>
  <c r="F22" i="20936"/>
  <c r="G22" i="20936"/>
  <c r="H22" i="20936"/>
  <c r="P22" i="20936"/>
  <c r="U22" i="20936"/>
  <c r="E23" i="556"/>
  <c r="G7" i="20936"/>
  <c r="O7" i="20936"/>
  <c r="H7" i="20936"/>
  <c r="P7" i="20936"/>
  <c r="I7" i="20936"/>
  <c r="L7" i="20936"/>
  <c r="N7" i="20936"/>
  <c r="U7" i="20936"/>
  <c r="M7" i="20936"/>
  <c r="B62" i="20936"/>
  <c r="E7" i="20936"/>
  <c r="P5" i="267"/>
  <c r="Q5" i="267" s="1"/>
  <c r="F7" i="20936"/>
  <c r="J7" i="20936"/>
  <c r="K7" i="20936"/>
  <c r="E8" i="556"/>
  <c r="A28" i="20936"/>
  <c r="C71" i="20936" s="1"/>
  <c r="C61" i="20936"/>
  <c r="C62" i="20936"/>
  <c r="BG13" i="1"/>
  <c r="L9" i="1"/>
  <c r="O7" i="20939" s="1"/>
  <c r="BH11" i="1"/>
  <c r="D14" i="20936"/>
  <c r="BG15" i="1"/>
  <c r="T15" i="1"/>
  <c r="BH15" i="1"/>
  <c r="S15" i="1"/>
  <c r="Z15" i="1" s="1"/>
  <c r="AA15" i="1" s="1"/>
  <c r="AB15" i="1" s="1"/>
  <c r="U14" i="556"/>
  <c r="D26" i="20936"/>
  <c r="S27" i="1"/>
  <c r="Z27" i="1" s="1"/>
  <c r="AA27" i="1" s="1"/>
  <c r="T27" i="1"/>
  <c r="BG27" i="1"/>
  <c r="BH27" i="1"/>
  <c r="AT27" i="556"/>
  <c r="H17" i="556" l="1"/>
  <c r="AX17" i="556" s="1"/>
  <c r="AC10" i="1"/>
  <c r="AY10" i="1"/>
  <c r="Q16" i="20936"/>
  <c r="X12" i="1"/>
  <c r="AV17" i="556"/>
  <c r="K26" i="20936"/>
  <c r="L26" i="20936"/>
  <c r="E26" i="20936"/>
  <c r="M26" i="20936"/>
  <c r="O26" i="20936"/>
  <c r="P26" i="20936"/>
  <c r="F26" i="20936"/>
  <c r="G26" i="20936"/>
  <c r="U26" i="20936"/>
  <c r="I26" i="20936"/>
  <c r="J26" i="20936"/>
  <c r="N26" i="20936"/>
  <c r="P24" i="267"/>
  <c r="Q24" i="267" s="1"/>
  <c r="H26" i="20936"/>
  <c r="E27" i="556"/>
  <c r="AV20" i="556"/>
  <c r="AT13" i="556"/>
  <c r="G24" i="20936"/>
  <c r="O24" i="20936"/>
  <c r="H24" i="20936"/>
  <c r="P24" i="20936"/>
  <c r="I24" i="20936"/>
  <c r="L24" i="20936"/>
  <c r="M24" i="20936"/>
  <c r="N24" i="20936"/>
  <c r="U24" i="20936"/>
  <c r="P22" i="267"/>
  <c r="Q22" i="267" s="1"/>
  <c r="E24" i="20936"/>
  <c r="F24" i="20936"/>
  <c r="J24" i="20936"/>
  <c r="K24" i="20936"/>
  <c r="E25" i="556"/>
  <c r="S10" i="556"/>
  <c r="T10" i="556" s="1"/>
  <c r="X18" i="1"/>
  <c r="B15" i="20939"/>
  <c r="B17" i="560"/>
  <c r="B17" i="20939" s="1"/>
  <c r="AT19" i="556"/>
  <c r="AU13" i="556"/>
  <c r="Q27" i="20936"/>
  <c r="K22" i="1"/>
  <c r="N20" i="20939" s="1"/>
  <c r="AE22" i="1"/>
  <c r="AF22" i="1" s="1"/>
  <c r="F22" i="556"/>
  <c r="AV22" i="556" s="1"/>
  <c r="F18" i="556"/>
  <c r="AV18" i="556" s="1"/>
  <c r="AE18" i="1"/>
  <c r="K18" i="1"/>
  <c r="N16" i="20939" s="1"/>
  <c r="I28" i="556"/>
  <c r="AZ28" i="556" s="1"/>
  <c r="L28" i="556"/>
  <c r="BB28" i="556" s="1"/>
  <c r="J28" i="556"/>
  <c r="BA28" i="556" s="1"/>
  <c r="H28" i="556"/>
  <c r="AX28" i="556" s="1"/>
  <c r="K28" i="556"/>
  <c r="AY28" i="556" s="1"/>
  <c r="M28" i="556"/>
  <c r="BC28" i="556" s="1"/>
  <c r="AU8" i="556"/>
  <c r="AC17" i="556"/>
  <c r="AD17" i="556" s="1"/>
  <c r="I17" i="556" s="1"/>
  <c r="AZ17" i="556" s="1"/>
  <c r="AK17" i="556"/>
  <c r="AL17" i="556" s="1"/>
  <c r="L17" i="556" s="1"/>
  <c r="BB17" i="556" s="1"/>
  <c r="AG17" i="556"/>
  <c r="AH17" i="556" s="1"/>
  <c r="J17" i="556" s="1"/>
  <c r="BA17" i="556" s="1"/>
  <c r="AO17" i="556"/>
  <c r="AP17" i="556" s="1"/>
  <c r="M17" i="556" s="1"/>
  <c r="BC17" i="556" s="1"/>
  <c r="Y17" i="556"/>
  <c r="Z17" i="556" s="1"/>
  <c r="K17" i="556" s="1"/>
  <c r="AY17" i="556" s="1"/>
  <c r="AE8" i="1"/>
  <c r="F8" i="556"/>
  <c r="K8" i="1"/>
  <c r="AV28" i="556"/>
  <c r="C66" i="20936"/>
  <c r="AT24" i="556"/>
  <c r="Y24" i="556"/>
  <c r="Z24" i="556" s="1"/>
  <c r="AG24" i="556"/>
  <c r="AH24" i="556" s="1"/>
  <c r="AO24" i="556"/>
  <c r="AP24" i="556" s="1"/>
  <c r="AK24" i="556"/>
  <c r="AL24" i="556" s="1"/>
  <c r="AC24" i="556"/>
  <c r="AD24" i="556" s="1"/>
  <c r="AT8" i="556"/>
  <c r="AW23" i="556"/>
  <c r="X27" i="1"/>
  <c r="AK8" i="556"/>
  <c r="AL8" i="556" s="1"/>
  <c r="AC8" i="556"/>
  <c r="AD8" i="556" s="1"/>
  <c r="AG8" i="556"/>
  <c r="AH8" i="556" s="1"/>
  <c r="Y8" i="556"/>
  <c r="Z8" i="556" s="1"/>
  <c r="AO8" i="556"/>
  <c r="AP8" i="556" s="1"/>
  <c r="AG23" i="556"/>
  <c r="AH23" i="556" s="1"/>
  <c r="AO23" i="556"/>
  <c r="AP23" i="556" s="1"/>
  <c r="AU23" i="556"/>
  <c r="Y23" i="556"/>
  <c r="Z23" i="556" s="1"/>
  <c r="AK23" i="556"/>
  <c r="AL23" i="556" s="1"/>
  <c r="AC23" i="556"/>
  <c r="AD23" i="556" s="1"/>
  <c r="Q19" i="20936"/>
  <c r="AE14" i="1"/>
  <c r="F14" i="556"/>
  <c r="AV14" i="556" s="1"/>
  <c r="K14" i="1"/>
  <c r="AU9" i="556"/>
  <c r="AO7" i="556"/>
  <c r="AP7" i="556" s="1"/>
  <c r="AC7" i="556"/>
  <c r="AD7" i="556" s="1"/>
  <c r="Y7" i="556"/>
  <c r="Z7" i="556" s="1"/>
  <c r="AU7" i="556"/>
  <c r="P12" i="20939"/>
  <c r="AW14" i="556"/>
  <c r="C77" i="20936"/>
  <c r="AW12" i="556"/>
  <c r="I17" i="20936"/>
  <c r="J17" i="20936"/>
  <c r="U17" i="20936"/>
  <c r="F17" i="20936"/>
  <c r="N17" i="20936"/>
  <c r="E17" i="20936"/>
  <c r="G17" i="20936"/>
  <c r="G28" i="20936" s="1"/>
  <c r="H17" i="20936"/>
  <c r="P15" i="267"/>
  <c r="Q15" i="267" s="1"/>
  <c r="O17" i="20936"/>
  <c r="P17" i="20936"/>
  <c r="K17" i="20936"/>
  <c r="E18" i="556"/>
  <c r="M17" i="20936"/>
  <c r="L17" i="20936"/>
  <c r="AE26" i="1"/>
  <c r="F26" i="556"/>
  <c r="AV26" i="556" s="1"/>
  <c r="K26" i="1"/>
  <c r="N24" i="20939" s="1"/>
  <c r="X8" i="1"/>
  <c r="S20" i="556"/>
  <c r="T20" i="556" s="1"/>
  <c r="X16" i="1"/>
  <c r="AT17" i="556"/>
  <c r="J14" i="20936"/>
  <c r="U14" i="20936"/>
  <c r="K14" i="20936"/>
  <c r="L14" i="20936"/>
  <c r="G14" i="20936"/>
  <c r="O14" i="20936"/>
  <c r="I14" i="20936"/>
  <c r="M14" i="20936"/>
  <c r="N14" i="20936"/>
  <c r="H14" i="20936"/>
  <c r="P14" i="20936"/>
  <c r="E14" i="20936"/>
  <c r="F14" i="20936"/>
  <c r="P12" i="267"/>
  <c r="Q12" i="267" s="1"/>
  <c r="E15" i="556"/>
  <c r="Q8" i="20936"/>
  <c r="AW24" i="556"/>
  <c r="X22" i="1"/>
  <c r="AU22" i="556"/>
  <c r="AT22" i="556"/>
  <c r="AW22" i="556"/>
  <c r="F18" i="20936"/>
  <c r="N18" i="20936"/>
  <c r="G18" i="20936"/>
  <c r="O18" i="20936"/>
  <c r="K18" i="20936"/>
  <c r="L18" i="20936"/>
  <c r="M18" i="20936"/>
  <c r="P16" i="267"/>
  <c r="Q16" i="267" s="1"/>
  <c r="P18" i="20936"/>
  <c r="U18" i="20936"/>
  <c r="E18" i="20936"/>
  <c r="I18" i="20936"/>
  <c r="J18" i="20936"/>
  <c r="E19" i="556"/>
  <c r="H18" i="20936"/>
  <c r="AE21" i="1"/>
  <c r="AF21" i="1" s="1"/>
  <c r="K21" i="1"/>
  <c r="N19" i="20939" s="1"/>
  <c r="F21" i="556"/>
  <c r="AV21" i="556" s="1"/>
  <c r="AT16" i="556"/>
  <c r="AW19" i="556"/>
  <c r="X11" i="1"/>
  <c r="AT11" i="556"/>
  <c r="AW11" i="556"/>
  <c r="AU11" i="556"/>
  <c r="AV11" i="556"/>
  <c r="AT12" i="556"/>
  <c r="S27" i="556"/>
  <c r="T27" i="556" s="1"/>
  <c r="X13" i="1"/>
  <c r="Q6" i="20936"/>
  <c r="C76" i="20936"/>
  <c r="C69" i="20936"/>
  <c r="E21" i="20936"/>
  <c r="M21" i="20936"/>
  <c r="F21" i="20936"/>
  <c r="N21" i="20936"/>
  <c r="G21" i="20936"/>
  <c r="O21" i="20936"/>
  <c r="P21" i="20936"/>
  <c r="U21" i="20936"/>
  <c r="H21" i="20936"/>
  <c r="I21" i="20936"/>
  <c r="P19" i="267"/>
  <c r="Q19" i="267" s="1"/>
  <c r="J21" i="20936"/>
  <c r="K21" i="20936"/>
  <c r="E22" i="556"/>
  <c r="L21" i="20936"/>
  <c r="AV24" i="556"/>
  <c r="I9" i="20936"/>
  <c r="I28" i="20936" s="1"/>
  <c r="J9" i="20936"/>
  <c r="J28" i="20936" s="1"/>
  <c r="U9" i="20936"/>
  <c r="K9" i="20936"/>
  <c r="K28" i="20936" s="1"/>
  <c r="F9" i="20936"/>
  <c r="N9" i="20936"/>
  <c r="N28" i="20936" s="1"/>
  <c r="H9" i="20936"/>
  <c r="L9" i="20936"/>
  <c r="M9" i="20936"/>
  <c r="M28" i="20936" s="1"/>
  <c r="B64" i="20936"/>
  <c r="P7" i="267"/>
  <c r="Q7" i="267" s="1"/>
  <c r="E9" i="20936"/>
  <c r="G9" i="20936"/>
  <c r="O9" i="20936"/>
  <c r="P9" i="20936"/>
  <c r="P28" i="20936" s="1"/>
  <c r="E10" i="556"/>
  <c r="J20" i="20936"/>
  <c r="K20" i="20936"/>
  <c r="G20" i="20936"/>
  <c r="O20" i="20936"/>
  <c r="N20" i="20936"/>
  <c r="P20" i="20936"/>
  <c r="E20" i="20936"/>
  <c r="F20" i="20936"/>
  <c r="P18" i="267"/>
  <c r="Q18" i="267" s="1"/>
  <c r="H20" i="20936"/>
  <c r="I20" i="20936"/>
  <c r="M20" i="20936"/>
  <c r="U20" i="20936"/>
  <c r="L20" i="20936"/>
  <c r="E21" i="556"/>
  <c r="Q23" i="20936"/>
  <c r="N15" i="20939"/>
  <c r="N17" i="1"/>
  <c r="Q15" i="20939" s="1"/>
  <c r="AW18" i="556"/>
  <c r="X17" i="1"/>
  <c r="AW10" i="556"/>
  <c r="E25" i="20936"/>
  <c r="M25" i="20936"/>
  <c r="F25" i="20936"/>
  <c r="N25" i="20936"/>
  <c r="G25" i="20936"/>
  <c r="O25" i="20936"/>
  <c r="P23" i="267"/>
  <c r="Q23" i="267" s="1"/>
  <c r="H25" i="20936"/>
  <c r="I25" i="20936"/>
  <c r="J25" i="20936"/>
  <c r="K25" i="20936"/>
  <c r="L25" i="20936"/>
  <c r="U25" i="20936"/>
  <c r="E26" i="556"/>
  <c r="P25" i="20936"/>
  <c r="F7" i="556"/>
  <c r="AV7" i="556" s="1"/>
  <c r="AE7" i="1"/>
  <c r="K7" i="1"/>
  <c r="Q7" i="20936"/>
  <c r="AK11" i="556"/>
  <c r="AL11" i="556" s="1"/>
  <c r="AE16" i="1"/>
  <c r="AF16" i="1" s="1"/>
  <c r="AD16" i="1" s="1"/>
  <c r="F16" i="556"/>
  <c r="AV16" i="556" s="1"/>
  <c r="K16" i="1"/>
  <c r="L23" i="556"/>
  <c r="BB23" i="556" s="1"/>
  <c r="I23" i="556"/>
  <c r="AZ23" i="556" s="1"/>
  <c r="J23" i="556"/>
  <c r="BA23" i="556" s="1"/>
  <c r="H23" i="556"/>
  <c r="AX23" i="556" s="1"/>
  <c r="K23" i="556"/>
  <c r="AY23" i="556" s="1"/>
  <c r="M23" i="556"/>
  <c r="BC23" i="556" s="1"/>
  <c r="AU17" i="556"/>
  <c r="AT14" i="556"/>
  <c r="AF20" i="1"/>
  <c r="Y11" i="556"/>
  <c r="Z11" i="556" s="1"/>
  <c r="G15" i="20936"/>
  <c r="O15" i="20936"/>
  <c r="H15" i="20936"/>
  <c r="H28" i="20936" s="1"/>
  <c r="P15" i="20936"/>
  <c r="L15" i="20936"/>
  <c r="E15" i="20936"/>
  <c r="U15" i="20936"/>
  <c r="F15" i="20936"/>
  <c r="F28" i="20936" s="1"/>
  <c r="I15" i="20936"/>
  <c r="M15" i="20936"/>
  <c r="N15" i="20936"/>
  <c r="P13" i="267"/>
  <c r="Q13" i="267" s="1"/>
  <c r="K15" i="20936"/>
  <c r="J15" i="20936"/>
  <c r="E16" i="556"/>
  <c r="AU24" i="556"/>
  <c r="C83" i="20936"/>
  <c r="C84" i="20936"/>
  <c r="C85" i="20936"/>
  <c r="C82" i="20936"/>
  <c r="C86" i="20936"/>
  <c r="C87" i="20936"/>
  <c r="C79" i="20936"/>
  <c r="C80" i="20936"/>
  <c r="C81" i="20936"/>
  <c r="C78" i="20936"/>
  <c r="C63" i="20936"/>
  <c r="C73" i="20936"/>
  <c r="C65" i="20936"/>
  <c r="AC11" i="556"/>
  <c r="AD11" i="556" s="1"/>
  <c r="AC28" i="556"/>
  <c r="AD28" i="556" s="1"/>
  <c r="AK28" i="556"/>
  <c r="AL28" i="556" s="1"/>
  <c r="AG28" i="556"/>
  <c r="AH28" i="556" s="1"/>
  <c r="Y28" i="556"/>
  <c r="Z28" i="556" s="1"/>
  <c r="AO28" i="556"/>
  <c r="AP28" i="556" s="1"/>
  <c r="AU28" i="556"/>
  <c r="AV23" i="556"/>
  <c r="X24" i="1"/>
  <c r="AE12" i="1"/>
  <c r="AF12" i="1" s="1"/>
  <c r="AD12" i="1" s="1"/>
  <c r="F12" i="556"/>
  <c r="AV12" i="556" s="1"/>
  <c r="K12" i="1"/>
  <c r="AC13" i="556"/>
  <c r="AD13" i="556" s="1"/>
  <c r="AE9" i="1"/>
  <c r="K9" i="1"/>
  <c r="F9" i="556"/>
  <c r="AW8" i="556"/>
  <c r="AW7" i="556"/>
  <c r="AC20" i="556"/>
  <c r="AD20" i="556" s="1"/>
  <c r="AK20" i="556"/>
  <c r="AL20" i="556" s="1"/>
  <c r="AG20" i="556"/>
  <c r="AH20" i="556" s="1"/>
  <c r="AO20" i="556"/>
  <c r="AP20" i="556" s="1"/>
  <c r="Y20" i="556"/>
  <c r="Z20" i="556" s="1"/>
  <c r="AU20" i="556"/>
  <c r="AT28" i="556"/>
  <c r="AT9" i="556"/>
  <c r="X9" i="1"/>
  <c r="AW26" i="556"/>
  <c r="AT25" i="556"/>
  <c r="X7" i="1"/>
  <c r="X23" i="1"/>
  <c r="X28" i="1"/>
  <c r="AF28" i="1" s="1"/>
  <c r="X26" i="1"/>
  <c r="X20" i="1"/>
  <c r="AT7" i="556"/>
  <c r="AT23" i="556"/>
  <c r="X21" i="1"/>
  <c r="AW28" i="556"/>
  <c r="X25" i="1"/>
  <c r="AT21" i="556"/>
  <c r="AT26" i="556"/>
  <c r="AW25" i="556"/>
  <c r="AW21" i="556"/>
  <c r="AW20" i="556"/>
  <c r="AT20" i="556"/>
  <c r="X14" i="1"/>
  <c r="S11" i="556"/>
  <c r="T11" i="556" s="1"/>
  <c r="S21" i="556"/>
  <c r="T21" i="556" s="1"/>
  <c r="AW16" i="556"/>
  <c r="AE10" i="1"/>
  <c r="AF10" i="1" s="1"/>
  <c r="AD10" i="1" s="1"/>
  <c r="F10" i="556"/>
  <c r="AV10" i="556" s="1"/>
  <c r="K10" i="1"/>
  <c r="N9" i="20939"/>
  <c r="N11" i="1"/>
  <c r="Q9" i="20939" s="1"/>
  <c r="AT18" i="556"/>
  <c r="C64" i="20936"/>
  <c r="F27" i="556"/>
  <c r="AV27" i="556" s="1"/>
  <c r="AE27" i="1"/>
  <c r="K27" i="1"/>
  <c r="N25" i="20939" s="1"/>
  <c r="E13" i="20936"/>
  <c r="M13" i="20936"/>
  <c r="F13" i="20936"/>
  <c r="N13" i="20936"/>
  <c r="G13" i="20936"/>
  <c r="O13" i="20936"/>
  <c r="O28" i="20936" s="1"/>
  <c r="J13" i="20936"/>
  <c r="U13" i="20936"/>
  <c r="L13" i="20936"/>
  <c r="L28" i="20936" s="1"/>
  <c r="P13" i="20936"/>
  <c r="H13" i="20936"/>
  <c r="I13" i="20936"/>
  <c r="P11" i="267"/>
  <c r="Q11" i="267" s="1"/>
  <c r="K13" i="20936"/>
  <c r="E14" i="556"/>
  <c r="X19" i="1"/>
  <c r="AW27" i="556"/>
  <c r="K15" i="1"/>
  <c r="AE15" i="1"/>
  <c r="F15" i="556"/>
  <c r="AV15" i="556" s="1"/>
  <c r="AE13" i="1"/>
  <c r="F13" i="556"/>
  <c r="AO13" i="556" s="1"/>
  <c r="AP13" i="556" s="1"/>
  <c r="K13" i="1"/>
  <c r="Q22" i="20936"/>
  <c r="AW9" i="556"/>
  <c r="C74" i="20936"/>
  <c r="K24" i="556"/>
  <c r="AY24" i="556" s="1"/>
  <c r="M24" i="556"/>
  <c r="BC24" i="556" s="1"/>
  <c r="H24" i="556"/>
  <c r="AX24" i="556" s="1"/>
  <c r="I24" i="556"/>
  <c r="AZ24" i="556" s="1"/>
  <c r="J24" i="556"/>
  <c r="BA24" i="556" s="1"/>
  <c r="L24" i="556"/>
  <c r="BB24" i="556" s="1"/>
  <c r="X15" i="1"/>
  <c r="AW15" i="556"/>
  <c r="AU15" i="556"/>
  <c r="AT15" i="556"/>
  <c r="S16" i="556"/>
  <c r="T16" i="556" s="1"/>
  <c r="AE25" i="1"/>
  <c r="K25" i="1"/>
  <c r="N23" i="20939" s="1"/>
  <c r="F25" i="556"/>
  <c r="AV25" i="556" s="1"/>
  <c r="AF23" i="1"/>
  <c r="K11" i="20936"/>
  <c r="L11" i="20936"/>
  <c r="E11" i="20936"/>
  <c r="M11" i="20936"/>
  <c r="H11" i="20936"/>
  <c r="P11" i="20936"/>
  <c r="U11" i="20936"/>
  <c r="P9" i="267"/>
  <c r="Q9" i="267" s="1"/>
  <c r="C13" i="267" s="1"/>
  <c r="F11" i="20936"/>
  <c r="G11" i="20936"/>
  <c r="O11" i="20936"/>
  <c r="I11" i="20936"/>
  <c r="J11" i="20936"/>
  <c r="N11" i="20936"/>
  <c r="B66" i="20936"/>
  <c r="E12" i="556"/>
  <c r="Q12" i="20936"/>
  <c r="AE19" i="1"/>
  <c r="AF19" i="1" s="1"/>
  <c r="F19" i="556"/>
  <c r="AV19" i="556" s="1"/>
  <c r="K19" i="1"/>
  <c r="N17" i="20939" s="1"/>
  <c r="C72" i="20936"/>
  <c r="S7" i="556"/>
  <c r="T7" i="556" s="1"/>
  <c r="AF17" i="1"/>
  <c r="AD17" i="1" s="1"/>
  <c r="AW17" i="556"/>
  <c r="AT10" i="556"/>
  <c r="W13" i="20936" l="1"/>
  <c r="D13" i="267"/>
  <c r="M43" i="20939" s="1"/>
  <c r="L43" i="20939"/>
  <c r="W17" i="20936"/>
  <c r="W7" i="20936"/>
  <c r="W15" i="20936"/>
  <c r="W8" i="20936"/>
  <c r="W12" i="20936"/>
  <c r="W16" i="20936"/>
  <c r="W11" i="20936"/>
  <c r="W9" i="20936"/>
  <c r="W14" i="20936"/>
  <c r="W10" i="20936"/>
  <c r="M11" i="556"/>
  <c r="BC11" i="556" s="1"/>
  <c r="J11" i="556"/>
  <c r="BA11" i="556" s="1"/>
  <c r="I11" i="556"/>
  <c r="AZ11" i="556" s="1"/>
  <c r="K11" i="556"/>
  <c r="AY11" i="556" s="1"/>
  <c r="L11" i="556"/>
  <c r="BB11" i="556" s="1"/>
  <c r="H11" i="556"/>
  <c r="AX11" i="556" s="1"/>
  <c r="AY23" i="1"/>
  <c r="AC23" i="1"/>
  <c r="N10" i="20939"/>
  <c r="N12" i="1"/>
  <c r="Q10" i="20939" s="1"/>
  <c r="N12" i="20939"/>
  <c r="N14" i="1"/>
  <c r="Q12" i="20939" s="1"/>
  <c r="S22" i="556"/>
  <c r="T22" i="556" s="1"/>
  <c r="H10" i="556"/>
  <c r="AX10" i="556" s="1"/>
  <c r="Q26" i="20936"/>
  <c r="I7" i="556"/>
  <c r="AZ7" i="556" s="1"/>
  <c r="L7" i="556"/>
  <c r="BB7" i="556" s="1"/>
  <c r="K7" i="556"/>
  <c r="AY7" i="556" s="1"/>
  <c r="M7" i="556"/>
  <c r="BC7" i="556" s="1"/>
  <c r="H7" i="556"/>
  <c r="AX7" i="556" s="1"/>
  <c r="AY15" i="1"/>
  <c r="AC15" i="1"/>
  <c r="C7" i="267"/>
  <c r="C6" i="267"/>
  <c r="H5" i="267"/>
  <c r="AY19" i="1"/>
  <c r="AC19" i="1"/>
  <c r="AC21" i="1"/>
  <c r="AY21" i="1"/>
  <c r="AF9" i="1"/>
  <c r="AD9" i="1" s="1"/>
  <c r="AC10" i="556"/>
  <c r="AD10" i="556" s="1"/>
  <c r="I10" i="556" s="1"/>
  <c r="AZ10" i="556" s="1"/>
  <c r="AK10" i="556"/>
  <c r="AL10" i="556" s="1"/>
  <c r="L10" i="556" s="1"/>
  <c r="BB10" i="556" s="1"/>
  <c r="AG10" i="556"/>
  <c r="AH10" i="556" s="1"/>
  <c r="J10" i="556" s="1"/>
  <c r="BA10" i="556" s="1"/>
  <c r="AO10" i="556"/>
  <c r="AP10" i="556" s="1"/>
  <c r="M10" i="556" s="1"/>
  <c r="BC10" i="556" s="1"/>
  <c r="Y10" i="556"/>
  <c r="Z10" i="556" s="1"/>
  <c r="K10" i="556" s="1"/>
  <c r="AY10" i="556" s="1"/>
  <c r="AU10" i="556"/>
  <c r="S26" i="556"/>
  <c r="T26" i="556" s="1"/>
  <c r="S15" i="556"/>
  <c r="T15" i="556" s="1"/>
  <c r="AY11" i="1"/>
  <c r="AC11" i="1"/>
  <c r="AO19" i="556"/>
  <c r="AP19" i="556" s="1"/>
  <c r="AK19" i="556"/>
  <c r="AL19" i="556" s="1"/>
  <c r="AC19" i="556"/>
  <c r="AD19" i="556" s="1"/>
  <c r="AG19" i="556"/>
  <c r="AH19" i="556" s="1"/>
  <c r="Y19" i="556"/>
  <c r="Z19" i="556" s="1"/>
  <c r="AU19" i="556"/>
  <c r="AG15" i="556"/>
  <c r="AH15" i="556" s="1"/>
  <c r="AK15" i="556"/>
  <c r="AL15" i="556" s="1"/>
  <c r="Y15" i="556"/>
  <c r="Z15" i="556" s="1"/>
  <c r="AO15" i="556"/>
  <c r="AP15" i="556" s="1"/>
  <c r="AC15" i="556"/>
  <c r="AD15" i="556" s="1"/>
  <c r="AC16" i="1"/>
  <c r="AY16" i="1"/>
  <c r="AC18" i="556"/>
  <c r="AD18" i="556" s="1"/>
  <c r="AK18" i="556"/>
  <c r="AL18" i="556" s="1"/>
  <c r="Y18" i="556"/>
  <c r="Z18" i="556" s="1"/>
  <c r="AO18" i="556"/>
  <c r="AP18" i="556" s="1"/>
  <c r="AG18" i="556"/>
  <c r="AH18" i="556" s="1"/>
  <c r="AU18" i="556"/>
  <c r="S18" i="556"/>
  <c r="T18" i="556" s="1"/>
  <c r="AY18" i="1"/>
  <c r="AC18" i="1"/>
  <c r="C8" i="267"/>
  <c r="AC12" i="556"/>
  <c r="AD12" i="556" s="1"/>
  <c r="Y12" i="556"/>
  <c r="Z12" i="556" s="1"/>
  <c r="AK12" i="556"/>
  <c r="AL12" i="556" s="1"/>
  <c r="AG12" i="556"/>
  <c r="AH12" i="556" s="1"/>
  <c r="AO12" i="556"/>
  <c r="AP12" i="556" s="1"/>
  <c r="AU12" i="556"/>
  <c r="C9" i="267"/>
  <c r="C10" i="267"/>
  <c r="H13" i="267"/>
  <c r="H7" i="267"/>
  <c r="N13" i="20939"/>
  <c r="N15" i="1"/>
  <c r="Q13" i="20939" s="1"/>
  <c r="AC25" i="1"/>
  <c r="AY25" i="1"/>
  <c r="AV9" i="556"/>
  <c r="S9" i="556"/>
  <c r="T9" i="556" s="1"/>
  <c r="AC9" i="556"/>
  <c r="AD9" i="556" s="1"/>
  <c r="AY27" i="1"/>
  <c r="AC27" i="1"/>
  <c r="H18" i="267"/>
  <c r="C5" i="267"/>
  <c r="N8" i="20939"/>
  <c r="N10" i="1"/>
  <c r="Q8" i="20939" s="1"/>
  <c r="AC14" i="1"/>
  <c r="AY14" i="1"/>
  <c r="AY24" i="1"/>
  <c r="AC24" i="1"/>
  <c r="AC25" i="556"/>
  <c r="AD25" i="556" s="1"/>
  <c r="AK25" i="556"/>
  <c r="AL25" i="556" s="1"/>
  <c r="Y25" i="556"/>
  <c r="Z25" i="556" s="1"/>
  <c r="AG25" i="556"/>
  <c r="AH25" i="556" s="1"/>
  <c r="AO25" i="556"/>
  <c r="AP25" i="556" s="1"/>
  <c r="AU25" i="556"/>
  <c r="Q11" i="20936"/>
  <c r="H12" i="267"/>
  <c r="H10" i="267"/>
  <c r="H11" i="267"/>
  <c r="H6" i="267"/>
  <c r="AF13" i="1"/>
  <c r="AD13" i="1" s="1"/>
  <c r="AY20" i="1"/>
  <c r="AC20" i="1"/>
  <c r="S25" i="556"/>
  <c r="T25" i="556" s="1"/>
  <c r="Q15" i="20936"/>
  <c r="Q18" i="20936"/>
  <c r="AY22" i="1"/>
  <c r="AC22" i="1"/>
  <c r="Q14" i="20936"/>
  <c r="AK7" i="556"/>
  <c r="AL7" i="556" s="1"/>
  <c r="AG9" i="556"/>
  <c r="AH9" i="556" s="1"/>
  <c r="N6" i="20939"/>
  <c r="N8" i="1"/>
  <c r="Q6" i="20939" s="1"/>
  <c r="S14" i="556"/>
  <c r="T14" i="556" s="1"/>
  <c r="AO27" i="556"/>
  <c r="AP27" i="556" s="1"/>
  <c r="Y27" i="556"/>
  <c r="Z27" i="556" s="1"/>
  <c r="AK27" i="556"/>
  <c r="AL27" i="556" s="1"/>
  <c r="AC27" i="556"/>
  <c r="AD27" i="556" s="1"/>
  <c r="AG27" i="556"/>
  <c r="AH27" i="556" s="1"/>
  <c r="AU27" i="556"/>
  <c r="AC12" i="1"/>
  <c r="AY12" i="1"/>
  <c r="C11" i="267"/>
  <c r="Q13" i="20936"/>
  <c r="AC7" i="1"/>
  <c r="AY7" i="1"/>
  <c r="X29" i="1"/>
  <c r="N7" i="20939"/>
  <c r="N9" i="1"/>
  <c r="Q7" i="20939" s="1"/>
  <c r="Q17" i="20936"/>
  <c r="C17" i="267"/>
  <c r="AF27" i="1"/>
  <c r="H16" i="267"/>
  <c r="H9" i="267"/>
  <c r="AW29" i="556"/>
  <c r="B21" i="560" s="1"/>
  <c r="B21" i="20939" s="1"/>
  <c r="AC22" i="556"/>
  <c r="AD22" i="556" s="1"/>
  <c r="AK22" i="556"/>
  <c r="AL22" i="556" s="1"/>
  <c r="AG22" i="556"/>
  <c r="AH22" i="556" s="1"/>
  <c r="AO22" i="556"/>
  <c r="AP22" i="556" s="1"/>
  <c r="Y22" i="556"/>
  <c r="Z22" i="556" s="1"/>
  <c r="AO9" i="556"/>
  <c r="AP9" i="556" s="1"/>
  <c r="AV8" i="556"/>
  <c r="AV29" i="556" s="1"/>
  <c r="S8" i="556"/>
  <c r="T8" i="556" s="1"/>
  <c r="AF18" i="1"/>
  <c r="AC13" i="1"/>
  <c r="AY13" i="1"/>
  <c r="AF25" i="1"/>
  <c r="C18" i="267"/>
  <c r="H14" i="267"/>
  <c r="N11" i="20939"/>
  <c r="N13" i="1"/>
  <c r="Q11" i="20939" s="1"/>
  <c r="AC14" i="556"/>
  <c r="AD14" i="556" s="1"/>
  <c r="AO14" i="556"/>
  <c r="AP14" i="556" s="1"/>
  <c r="AG14" i="556"/>
  <c r="AH14" i="556" s="1"/>
  <c r="Y14" i="556"/>
  <c r="Z14" i="556" s="1"/>
  <c r="AK14" i="556"/>
  <c r="AL14" i="556" s="1"/>
  <c r="AU14" i="556"/>
  <c r="N5" i="20939"/>
  <c r="N7" i="1"/>
  <c r="Q5" i="20939" s="1"/>
  <c r="Y21" i="556"/>
  <c r="Z21" i="556" s="1"/>
  <c r="AG21" i="556"/>
  <c r="AH21" i="556" s="1"/>
  <c r="AO21" i="556"/>
  <c r="AP21" i="556" s="1"/>
  <c r="AC21" i="556"/>
  <c r="AD21" i="556" s="1"/>
  <c r="AK21" i="556"/>
  <c r="AL21" i="556" s="1"/>
  <c r="AU21" i="556"/>
  <c r="Q20" i="20936"/>
  <c r="S12" i="556"/>
  <c r="T12" i="556" s="1"/>
  <c r="Q21" i="20936"/>
  <c r="H27" i="556"/>
  <c r="AX27" i="556" s="1"/>
  <c r="J27" i="556"/>
  <c r="BA27" i="556" s="1"/>
  <c r="M27" i="556"/>
  <c r="BC27" i="556" s="1"/>
  <c r="I27" i="556"/>
  <c r="AZ27" i="556" s="1"/>
  <c r="K27" i="556"/>
  <c r="AY27" i="556" s="1"/>
  <c r="L27" i="556"/>
  <c r="BB27" i="556" s="1"/>
  <c r="I20" i="556"/>
  <c r="AZ20" i="556" s="1"/>
  <c r="L20" i="556"/>
  <c r="BB20" i="556" s="1"/>
  <c r="K20" i="556"/>
  <c r="AY20" i="556" s="1"/>
  <c r="M20" i="556"/>
  <c r="BC20" i="556" s="1"/>
  <c r="H20" i="556"/>
  <c r="AX20" i="556" s="1"/>
  <c r="J20" i="556"/>
  <c r="BA20" i="556" s="1"/>
  <c r="AF14" i="1"/>
  <c r="AD14" i="1" s="1"/>
  <c r="H16" i="556"/>
  <c r="AX16" i="556" s="1"/>
  <c r="M16" i="556"/>
  <c r="BC16" i="556" s="1"/>
  <c r="H8" i="267"/>
  <c r="C14" i="267"/>
  <c r="C15" i="267"/>
  <c r="C12" i="267"/>
  <c r="AV13" i="556"/>
  <c r="S13" i="556"/>
  <c r="T13" i="556" s="1"/>
  <c r="AT29" i="556"/>
  <c r="D30" i="556" s="1"/>
  <c r="AC9" i="1"/>
  <c r="AY9" i="1"/>
  <c r="AK13" i="556"/>
  <c r="AL13" i="556" s="1"/>
  <c r="AK16" i="556"/>
  <c r="AL16" i="556" s="1"/>
  <c r="L16" i="556" s="1"/>
  <c r="BB16" i="556" s="1"/>
  <c r="AO16" i="556"/>
  <c r="AP16" i="556" s="1"/>
  <c r="AG16" i="556"/>
  <c r="AH16" i="556" s="1"/>
  <c r="J16" i="556" s="1"/>
  <c r="BA16" i="556" s="1"/>
  <c r="AC16" i="556"/>
  <c r="AD16" i="556" s="1"/>
  <c r="I16" i="556" s="1"/>
  <c r="AZ16" i="556" s="1"/>
  <c r="Y16" i="556"/>
  <c r="Z16" i="556" s="1"/>
  <c r="K16" i="556" s="1"/>
  <c r="AY16" i="556" s="1"/>
  <c r="AU16" i="556"/>
  <c r="AF7" i="1"/>
  <c r="AD7" i="1" s="1"/>
  <c r="Q25" i="20936"/>
  <c r="AC8" i="1"/>
  <c r="AY8" i="1"/>
  <c r="AU29" i="556"/>
  <c r="E30" i="556" s="1"/>
  <c r="Y9" i="556"/>
  <c r="Z9" i="556" s="1"/>
  <c r="H19" i="267"/>
  <c r="H15" i="267"/>
  <c r="H21" i="556"/>
  <c r="AX21" i="556" s="1"/>
  <c r="K21" i="556"/>
  <c r="AY21" i="556" s="1"/>
  <c r="L21" i="556"/>
  <c r="BB21" i="556" s="1"/>
  <c r="I21" i="556"/>
  <c r="AZ21" i="556" s="1"/>
  <c r="M21" i="556"/>
  <c r="BC21" i="556" s="1"/>
  <c r="J21" i="556"/>
  <c r="BA21" i="556" s="1"/>
  <c r="AY26" i="1"/>
  <c r="AC26" i="1"/>
  <c r="AG13" i="556"/>
  <c r="AH13" i="556" s="1"/>
  <c r="N14" i="20939"/>
  <c r="N16" i="1"/>
  <c r="Q14" i="20939" s="1"/>
  <c r="AC17" i="1"/>
  <c r="AY17" i="1"/>
  <c r="Q9" i="20936"/>
  <c r="E28" i="20936"/>
  <c r="S19" i="556"/>
  <c r="T19" i="556" s="1"/>
  <c r="C16" i="267"/>
  <c r="H17" i="267"/>
  <c r="C19" i="267"/>
  <c r="AF15" i="1"/>
  <c r="AD15" i="1" s="1"/>
  <c r="AC28" i="1"/>
  <c r="AY28" i="1"/>
  <c r="AF24" i="1"/>
  <c r="Y13" i="556"/>
  <c r="Z13" i="556" s="1"/>
  <c r="AF11" i="1"/>
  <c r="AD11" i="1" s="1"/>
  <c r="Y26" i="556"/>
  <c r="Z26" i="556" s="1"/>
  <c r="AG26" i="556"/>
  <c r="AH26" i="556" s="1"/>
  <c r="AO26" i="556"/>
  <c r="AP26" i="556" s="1"/>
  <c r="AK26" i="556"/>
  <c r="AL26" i="556" s="1"/>
  <c r="AC26" i="556"/>
  <c r="AD26" i="556" s="1"/>
  <c r="AU26" i="556"/>
  <c r="AF26" i="1"/>
  <c r="AG7" i="556"/>
  <c r="AH7" i="556" s="1"/>
  <c r="J7" i="556" s="1"/>
  <c r="BA7" i="556" s="1"/>
  <c r="AK9" i="556"/>
  <c r="AL9" i="556" s="1"/>
  <c r="AF8" i="1"/>
  <c r="AD8" i="1" s="1"/>
  <c r="Q24" i="20936"/>
  <c r="B22" i="560" l="1"/>
  <c r="B22" i="20939" s="1"/>
  <c r="F30" i="556"/>
  <c r="J25" i="556"/>
  <c r="BA25" i="556" s="1"/>
  <c r="L25" i="556"/>
  <c r="BB25" i="556" s="1"/>
  <c r="M25" i="556"/>
  <c r="BC25" i="556" s="1"/>
  <c r="I25" i="556"/>
  <c r="AZ25" i="556" s="1"/>
  <c r="K25" i="556"/>
  <c r="AY25" i="556" s="1"/>
  <c r="H25" i="556"/>
  <c r="AX25" i="556" s="1"/>
  <c r="I7" i="267"/>
  <c r="Q37" i="20939" s="1"/>
  <c r="P37" i="20939"/>
  <c r="P35" i="20939"/>
  <c r="I5" i="267"/>
  <c r="Q35" i="20939" s="1"/>
  <c r="D19" i="267"/>
  <c r="M49" i="20939" s="1"/>
  <c r="L49" i="20939"/>
  <c r="D15" i="267"/>
  <c r="M45" i="20939" s="1"/>
  <c r="L45" i="20939"/>
  <c r="P39" i="20939"/>
  <c r="I9" i="267"/>
  <c r="Q39" i="20939" s="1"/>
  <c r="AY29" i="1"/>
  <c r="B12" i="560" s="1"/>
  <c r="B12" i="20939" s="1"/>
  <c r="P43" i="20939"/>
  <c r="I13" i="267"/>
  <c r="Q43" i="20939" s="1"/>
  <c r="L36" i="20939"/>
  <c r="D6" i="267"/>
  <c r="M36" i="20939" s="1"/>
  <c r="H8" i="556"/>
  <c r="AX8" i="556" s="1"/>
  <c r="M8" i="556"/>
  <c r="BC8" i="556" s="1"/>
  <c r="K8" i="556"/>
  <c r="AY8" i="556" s="1"/>
  <c r="I8" i="556"/>
  <c r="AZ8" i="556" s="1"/>
  <c r="J8" i="556"/>
  <c r="BA8" i="556" s="1"/>
  <c r="L8" i="556"/>
  <c r="BB8" i="556" s="1"/>
  <c r="P44" i="20939"/>
  <c r="I14" i="267"/>
  <c r="Q44" i="20939" s="1"/>
  <c r="L37" i="20939"/>
  <c r="D7" i="267"/>
  <c r="M37" i="20939" s="1"/>
  <c r="M22" i="556"/>
  <c r="BC22" i="556" s="1"/>
  <c r="J22" i="556"/>
  <c r="BA22" i="556" s="1"/>
  <c r="L22" i="556"/>
  <c r="BB22" i="556" s="1"/>
  <c r="H22" i="556"/>
  <c r="AX22" i="556" s="1"/>
  <c r="I22" i="556"/>
  <c r="AZ22" i="556" s="1"/>
  <c r="K22" i="556"/>
  <c r="AY22" i="556" s="1"/>
  <c r="L46" i="20939"/>
  <c r="D16" i="267"/>
  <c r="M46" i="20939" s="1"/>
  <c r="AD29" i="1"/>
  <c r="I8" i="267"/>
  <c r="Q38" i="20939" s="1"/>
  <c r="P38" i="20939"/>
  <c r="L48" i="20939"/>
  <c r="D18" i="267"/>
  <c r="M48" i="20939" s="1"/>
  <c r="L39" i="20939"/>
  <c r="D9" i="267"/>
  <c r="M39" i="20939" s="1"/>
  <c r="I15" i="556"/>
  <c r="AZ15" i="556" s="1"/>
  <c r="H15" i="556"/>
  <c r="AX15" i="556" s="1"/>
  <c r="L15" i="556"/>
  <c r="BB15" i="556" s="1"/>
  <c r="M15" i="556"/>
  <c r="BC15" i="556" s="1"/>
  <c r="K15" i="556"/>
  <c r="AY15" i="556" s="1"/>
  <c r="J15" i="556"/>
  <c r="BA15" i="556" s="1"/>
  <c r="M19" i="556"/>
  <c r="BC19" i="556" s="1"/>
  <c r="I19" i="556"/>
  <c r="AZ19" i="556" s="1"/>
  <c r="L19" i="556"/>
  <c r="BB19" i="556" s="1"/>
  <c r="J19" i="556"/>
  <c r="BA19" i="556" s="1"/>
  <c r="K19" i="556"/>
  <c r="AY19" i="556" s="1"/>
  <c r="H19" i="556"/>
  <c r="AX19" i="556" s="1"/>
  <c r="I15" i="267"/>
  <c r="Q45" i="20939" s="1"/>
  <c r="P45" i="20939"/>
  <c r="D17" i="267"/>
  <c r="M47" i="20939" s="1"/>
  <c r="L47" i="20939"/>
  <c r="L41" i="20939"/>
  <c r="D11" i="267"/>
  <c r="M41" i="20939" s="1"/>
  <c r="P36" i="20939"/>
  <c r="I6" i="267"/>
  <c r="Q36" i="20939" s="1"/>
  <c r="I26" i="556"/>
  <c r="AZ26" i="556" s="1"/>
  <c r="K26" i="556"/>
  <c r="AY26" i="556" s="1"/>
  <c r="L26" i="556"/>
  <c r="BB26" i="556" s="1"/>
  <c r="M26" i="556"/>
  <c r="BC26" i="556" s="1"/>
  <c r="H26" i="556"/>
  <c r="AX26" i="556" s="1"/>
  <c r="AX29" i="556" s="1"/>
  <c r="H30" i="556" s="1"/>
  <c r="B20" i="560" s="1"/>
  <c r="B20" i="20939" s="1"/>
  <c r="J26" i="556"/>
  <c r="BA26" i="556" s="1"/>
  <c r="L12" i="556"/>
  <c r="BB12" i="556" s="1"/>
  <c r="H12" i="556"/>
  <c r="AX12" i="556" s="1"/>
  <c r="K12" i="556"/>
  <c r="AY12" i="556" s="1"/>
  <c r="M12" i="556"/>
  <c r="BC12" i="556" s="1"/>
  <c r="J12" i="556"/>
  <c r="BA12" i="556" s="1"/>
  <c r="I12" i="556"/>
  <c r="AZ12" i="556" s="1"/>
  <c r="P47" i="20939"/>
  <c r="I17" i="267"/>
  <c r="Q47" i="20939" s="1"/>
  <c r="L44" i="20939"/>
  <c r="D14" i="267"/>
  <c r="M44" i="20939" s="1"/>
  <c r="H9" i="556"/>
  <c r="AX9" i="556" s="1"/>
  <c r="J9" i="556"/>
  <c r="BA9" i="556" s="1"/>
  <c r="L9" i="556"/>
  <c r="BB9" i="556" s="1"/>
  <c r="K9" i="556"/>
  <c r="AY9" i="556" s="1"/>
  <c r="M9" i="556"/>
  <c r="BC9" i="556" s="1"/>
  <c r="I9" i="556"/>
  <c r="AZ9" i="556" s="1"/>
  <c r="L40" i="20939"/>
  <c r="D10" i="267"/>
  <c r="M40" i="20939" s="1"/>
  <c r="L38" i="20939"/>
  <c r="D8" i="267"/>
  <c r="M38" i="20939" s="1"/>
  <c r="W6" i="20936"/>
  <c r="Q28" i="20936"/>
  <c r="P49" i="20939"/>
  <c r="I19" i="267"/>
  <c r="Q49" i="20939" s="1"/>
  <c r="J14" i="556"/>
  <c r="BA14" i="556" s="1"/>
  <c r="I14" i="556"/>
  <c r="AZ14" i="556" s="1"/>
  <c r="M14" i="556"/>
  <c r="BC14" i="556" s="1"/>
  <c r="H14" i="556"/>
  <c r="AX14" i="556" s="1"/>
  <c r="K14" i="556"/>
  <c r="AY14" i="556" s="1"/>
  <c r="L14" i="556"/>
  <c r="BB14" i="556" s="1"/>
  <c r="I11" i="267"/>
  <c r="Q41" i="20939" s="1"/>
  <c r="P41" i="20939"/>
  <c r="D5" i="267"/>
  <c r="M35" i="20939" s="1"/>
  <c r="L35" i="20939"/>
  <c r="L18" i="556"/>
  <c r="BB18" i="556" s="1"/>
  <c r="I18" i="556"/>
  <c r="AZ18" i="556" s="1"/>
  <c r="J18" i="556"/>
  <c r="BA18" i="556" s="1"/>
  <c r="M18" i="556"/>
  <c r="BC18" i="556" s="1"/>
  <c r="K18" i="556"/>
  <c r="AY18" i="556" s="1"/>
  <c r="H18" i="556"/>
  <c r="AX18" i="556" s="1"/>
  <c r="I12" i="267"/>
  <c r="Q42" i="20939" s="1"/>
  <c r="P42" i="20939"/>
  <c r="L42" i="20939"/>
  <c r="D12" i="267"/>
  <c r="M42" i="20939" s="1"/>
  <c r="I16" i="267"/>
  <c r="Q46" i="20939" s="1"/>
  <c r="P46" i="20939"/>
  <c r="AC29" i="1"/>
  <c r="B19" i="560" s="1"/>
  <c r="B19" i="20939" s="1"/>
  <c r="K13" i="556"/>
  <c r="AY13" i="556" s="1"/>
  <c r="L13" i="556"/>
  <c r="BB13" i="556" s="1"/>
  <c r="H13" i="556"/>
  <c r="AX13" i="556" s="1"/>
  <c r="J13" i="556"/>
  <c r="BA13" i="556" s="1"/>
  <c r="I13" i="556"/>
  <c r="AZ13" i="556" s="1"/>
  <c r="M13" i="556"/>
  <c r="BC13" i="556" s="1"/>
  <c r="P40" i="20939"/>
  <c r="I10" i="267"/>
  <c r="Q40" i="20939" s="1"/>
  <c r="P48" i="20939"/>
  <c r="I18" i="267"/>
  <c r="Q48" i="20939" s="1"/>
  <c r="BA29" i="556" l="1"/>
  <c r="J30" i="556" s="1"/>
  <c r="BB29" i="556"/>
  <c r="L30" i="556" s="1"/>
  <c r="AY29" i="556"/>
  <c r="K30" i="556" s="1"/>
  <c r="AZ29" i="556"/>
  <c r="I30" i="556" s="1"/>
  <c r="BC29" i="556"/>
  <c r="M30" i="556" s="1"/>
  <c r="L29" i="20936"/>
  <c r="N29" i="20936"/>
  <c r="J29" i="20936"/>
  <c r="G29" i="20936"/>
  <c r="H29" i="20936"/>
  <c r="P29" i="20936"/>
  <c r="K29" i="20936"/>
  <c r="M29" i="20936"/>
  <c r="F29" i="20936"/>
  <c r="O29" i="20936"/>
  <c r="I29" i="20936"/>
  <c r="E29" i="20936"/>
</calcChain>
</file>

<file path=xl/sharedStrings.xml><?xml version="1.0" encoding="utf-8"?>
<sst xmlns="http://schemas.openxmlformats.org/spreadsheetml/2006/main" count="307" uniqueCount="165">
  <si>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</si>
  <si>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</si>
  <si>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</si>
  <si>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</si>
  <si>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</si>
  <si>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</si>
  <si>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</si>
  <si>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</si>
  <si>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</si>
  <si>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</si>
  <si>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</si>
  <si>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</si>
  <si>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</si>
  <si>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</si>
  <si>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</si>
  <si>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</si>
  <si>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</si>
  <si>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</si>
  <si>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</si>
  <si>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</si>
  <si>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</si>
  <si>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</si>
  <si>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</si>
  <si>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</si>
  <si>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</si>
  <si>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</si>
  <si>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</si>
  <si>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</si>
  <si>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</si>
  <si>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</si>
  <si>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</si>
  <si>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</si>
  <si>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</si>
  <si>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</si>
  <si>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</si>
  <si>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</si>
  <si>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</si>
  <si>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</si>
  <si>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</si>
  <si>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</si>
  <si>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</si>
  <si>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</si>
  <si>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</si>
  <si>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</si>
  <si>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</si>
  <si>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</si>
  <si>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</si>
  <si>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</si>
  <si>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</si>
  <si>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</si>
  <si>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</si>
  <si>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</si>
  <si>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</si>
  <si>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</si>
  <si>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</si>
  <si>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</si>
  <si>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</si>
  <si>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</si>
  <si>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</si>
  <si>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</si>
  <si>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</si>
  <si>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</si>
  <si>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</si>
  <si>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</si>
  <si>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</si>
  <si>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</si>
  <si>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</si>
  <si>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</si>
  <si>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</si>
  <si>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</si>
  <si>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</si>
  <si>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</si>
  <si>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</si>
  <si>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</si>
  <si>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</si>
  <si>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</si>
  <si>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</si>
  <si>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</si>
  <si>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</si>
  <si>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</si>
  <si>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</si>
  <si>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</si>
  <si>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</si>
  <si>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</si>
  <si>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</si>
  <si>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</si>
  <si>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</si>
  <si>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</si>
  <si>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</si>
  <si>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</si>
  <si>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</si>
  <si>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</si>
  <si>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</si>
  <si>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</si>
  <si>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</si>
  <si>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</si>
  <si>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</si>
  <si>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</si>
  <si>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</si>
  <si>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</si>
  <si>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</si>
  <si>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</si>
  <si>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</si>
  <si>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</si>
  <si>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</si>
  <si>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</si>
  <si>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</si>
  <si>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</si>
  <si>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</si>
  <si>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</si>
  <si>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</si>
  <si>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</si>
  <si>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</si>
  <si>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</si>
  <si>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</si>
  <si>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</si>
  <si>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</si>
  <si>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</si>
  <si>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</si>
  <si>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</si>
  <si>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</si>
  <si>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</si>
  <si>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</si>
  <si>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</si>
  <si>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</si>
  <si>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</si>
  <si>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</si>
  <si>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</si>
  <si>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</si>
  <si>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</si>
  <si>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</si>
  <si>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</si>
  <si>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</si>
  <si>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</si>
  <si>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</si>
  <si>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</si>
  <si>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</si>
  <si>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</si>
  <si>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</si>
  <si>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</si>
  <si>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</si>
  <si>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</si>
  <si>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</si>
  <si>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</si>
  <si>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</si>
  <si>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</si>
  <si>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</si>
  <si>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</si>
  <si>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</si>
  <si>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</si>
  <si>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</si>
  <si>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</si>
  <si>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HOUSTON TX CCD</t>
  </si>
  <si>
    <t>SPRING TX ISD PSF</t>
  </si>
  <si>
    <t>MONROE WISC SCH</t>
  </si>
  <si>
    <t>AAA/AA+</t>
  </si>
  <si>
    <t>TROY MICH</t>
  </si>
  <si>
    <t>N.HARRIS MONT CCD</t>
  </si>
  <si>
    <t>PHILADELPHIA PA SCH</t>
  </si>
  <si>
    <t>SEATTLE WASH WTR</t>
  </si>
  <si>
    <t>PASADENA TX COMB</t>
  </si>
  <si>
    <t>PORT HOUSTON</t>
  </si>
  <si>
    <t>TEXAS TURNPIKE</t>
  </si>
  <si>
    <t>SAN ANTONIO ISD</t>
  </si>
  <si>
    <t>Scott Neal Muni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</si>
</sst>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9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3" xfId="0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left"/>
      <protection hidden="1"/>
    </xf>
    <xf numFmtId="172" fontId="6" fillId="0" borderId="13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left"/>
      <protection hidden="1"/>
    </xf>
    <xf numFmtId="0" fontId="6" fillId="0" borderId="15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3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3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373712"/>
        <c:axId val="146374272"/>
        <c:axId val="0"/>
      </c:bar3DChart>
      <c:catAx>
        <c:axId val="1463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374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376512"/>
        <c:axId val="146377072"/>
        <c:axId val="0"/>
      </c:bar3DChart>
      <c:catAx>
        <c:axId val="1463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7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637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42656"/>
        <c:axId val="139082560"/>
        <c:axId val="0"/>
      </c:bar3DChart>
      <c:catAx>
        <c:axId val="1411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8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825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4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0.13262</cdr:y>
    </cdr:from>
    <cdr:to>
      <cdr:x>0.1016</cdr:x>
      <cdr:y>0.13262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879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37"/>
  <sheetViews>
    <sheetView showGridLines="0" zoomScale="70" workbookViewId="0">
      <selection activeCell="G28" sqref="G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6384" width="9.140625" style="2"/>
  </cols>
  <sheetData>
    <row r="1" spans="1:30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</row>
    <row r="2" spans="1:30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131</v>
      </c>
      <c r="L2" s="135" t="s">
        <v>21</v>
      </c>
      <c r="AD2" s="2" t="s">
        <v>127</v>
      </c>
    </row>
    <row r="3" spans="1:30" ht="15.75" customHeight="1" x14ac:dyDescent="0.25">
      <c r="A3" s="324">
        <v>200</v>
      </c>
      <c r="B3" s="325">
        <v>37226</v>
      </c>
      <c r="C3" s="326">
        <v>37211</v>
      </c>
      <c r="D3" s="326" t="s">
        <v>151</v>
      </c>
      <c r="E3" s="326" t="s">
        <v>153</v>
      </c>
      <c r="F3" s="327">
        <v>0.05</v>
      </c>
      <c r="G3" s="326">
        <v>42597</v>
      </c>
      <c r="H3" s="326">
        <v>40770</v>
      </c>
      <c r="I3" s="328">
        <v>100</v>
      </c>
      <c r="J3" s="326"/>
      <c r="K3" s="333"/>
      <c r="L3" s="330">
        <v>104.70699999999999</v>
      </c>
      <c r="AD3" s="18" t="e">
        <f>#REF!*A3</f>
        <v>#REF!</v>
      </c>
    </row>
    <row r="4" spans="1:30" ht="15" customHeight="1" x14ac:dyDescent="0.25">
      <c r="A4" s="324">
        <v>200</v>
      </c>
      <c r="B4" s="325">
        <v>37196</v>
      </c>
      <c r="C4" s="326">
        <v>37224</v>
      </c>
      <c r="D4" s="326" t="s">
        <v>151</v>
      </c>
      <c r="E4" s="326" t="s">
        <v>161</v>
      </c>
      <c r="F4" s="327">
        <v>4.7500000000000001E-2</v>
      </c>
      <c r="G4" s="326">
        <v>43009</v>
      </c>
      <c r="H4" s="326">
        <v>40817</v>
      </c>
      <c r="I4" s="332">
        <v>100</v>
      </c>
      <c r="J4" s="326"/>
      <c r="K4" s="329"/>
      <c r="L4" s="330">
        <v>101.566</v>
      </c>
      <c r="AD4" s="18" t="e">
        <f>#REF!*A4</f>
        <v>#REF!</v>
      </c>
    </row>
    <row r="5" spans="1:30" ht="15" customHeight="1" x14ac:dyDescent="0.25">
      <c r="A5" s="324">
        <v>200</v>
      </c>
      <c r="B5" s="325">
        <v>37196</v>
      </c>
      <c r="C5" s="326">
        <v>37211</v>
      </c>
      <c r="D5" s="326" t="s">
        <v>151</v>
      </c>
      <c r="E5" s="326" t="s">
        <v>154</v>
      </c>
      <c r="F5" s="327">
        <v>4.8750000000000002E-2</v>
      </c>
      <c r="G5" s="326">
        <v>43191</v>
      </c>
      <c r="H5" s="326">
        <v>40634</v>
      </c>
      <c r="I5" s="332">
        <v>100</v>
      </c>
      <c r="J5" s="326"/>
      <c r="K5" s="329"/>
      <c r="L5" s="330">
        <v>101.309</v>
      </c>
      <c r="AD5" s="18" t="e">
        <f>#REF!*A5</f>
        <v>#REF!</v>
      </c>
    </row>
    <row r="6" spans="1:30" ht="15" customHeight="1" x14ac:dyDescent="0.25">
      <c r="A6" s="324">
        <v>200</v>
      </c>
      <c r="B6" s="325">
        <v>37196</v>
      </c>
      <c r="C6" s="326">
        <v>37211</v>
      </c>
      <c r="D6" s="326" t="s">
        <v>155</v>
      </c>
      <c r="E6" s="326" t="s">
        <v>156</v>
      </c>
      <c r="F6" s="327">
        <v>4.5999999999999999E-2</v>
      </c>
      <c r="G6" s="326">
        <v>43739</v>
      </c>
      <c r="H6" s="326">
        <v>40452</v>
      </c>
      <c r="I6" s="332">
        <v>100.5</v>
      </c>
      <c r="J6" s="326">
        <v>41183</v>
      </c>
      <c r="K6" s="329"/>
      <c r="L6" s="330">
        <v>99.266999999999996</v>
      </c>
      <c r="AD6" s="18" t="e">
        <f>#REF!*A6</f>
        <v>#REF!</v>
      </c>
    </row>
    <row r="7" spans="1:30" ht="15" customHeight="1" x14ac:dyDescent="0.25">
      <c r="A7" s="324">
        <v>200</v>
      </c>
      <c r="B7" s="325">
        <v>37210</v>
      </c>
      <c r="C7" s="326">
        <v>37215</v>
      </c>
      <c r="D7" s="326" t="s">
        <v>151</v>
      </c>
      <c r="E7" s="326" t="s">
        <v>160</v>
      </c>
      <c r="F7" s="327">
        <v>0.05</v>
      </c>
      <c r="G7" s="326">
        <v>43876</v>
      </c>
      <c r="H7" s="326">
        <v>40224</v>
      </c>
      <c r="I7" s="332">
        <v>100</v>
      </c>
      <c r="J7" s="326"/>
      <c r="K7" s="333"/>
      <c r="L7" s="336">
        <v>101.68</v>
      </c>
      <c r="AD7" s="18" t="e">
        <f>#REF!*A7</f>
        <v>#REF!</v>
      </c>
    </row>
    <row r="8" spans="1:30" ht="15" customHeight="1" x14ac:dyDescent="0.25">
      <c r="A8" s="324">
        <v>200</v>
      </c>
      <c r="B8" s="334">
        <v>36965</v>
      </c>
      <c r="C8" s="326">
        <v>37211</v>
      </c>
      <c r="D8" s="326" t="s">
        <v>151</v>
      </c>
      <c r="E8" s="326" t="s">
        <v>157</v>
      </c>
      <c r="F8" s="327">
        <v>0.05</v>
      </c>
      <c r="G8" s="326">
        <v>44242</v>
      </c>
      <c r="H8" s="326">
        <v>40224</v>
      </c>
      <c r="I8" s="332">
        <v>100</v>
      </c>
      <c r="J8" s="326"/>
      <c r="K8" s="335"/>
      <c r="L8" s="336">
        <v>101.002</v>
      </c>
      <c r="AD8" s="18" t="e">
        <f>#REF!*A8</f>
        <v>#REF!</v>
      </c>
    </row>
    <row r="9" spans="1:30" ht="15" customHeight="1" x14ac:dyDescent="0.25">
      <c r="A9" s="324">
        <v>200</v>
      </c>
      <c r="B9" s="334">
        <v>36144</v>
      </c>
      <c r="C9" s="326">
        <v>37211</v>
      </c>
      <c r="D9" s="326" t="s">
        <v>151</v>
      </c>
      <c r="E9" s="326" t="s">
        <v>158</v>
      </c>
      <c r="F9" s="327">
        <v>4.4999999999999998E-2</v>
      </c>
      <c r="G9" s="326">
        <v>45017</v>
      </c>
      <c r="H9" s="326">
        <v>39904</v>
      </c>
      <c r="I9" s="332">
        <v>100</v>
      </c>
      <c r="J9" s="326"/>
      <c r="K9" s="335"/>
      <c r="L9" s="330">
        <v>96.012</v>
      </c>
      <c r="AD9" s="18" t="e">
        <f>#REF!*A9</f>
        <v>#REF!</v>
      </c>
    </row>
    <row r="10" spans="1:30" ht="15" customHeight="1" x14ac:dyDescent="0.25">
      <c r="A10" s="324">
        <v>100</v>
      </c>
      <c r="B10" s="325">
        <v>35034</v>
      </c>
      <c r="C10" s="326">
        <v>37211</v>
      </c>
      <c r="D10" s="326" t="s">
        <v>151</v>
      </c>
      <c r="E10" s="326" t="s">
        <v>162</v>
      </c>
      <c r="F10" s="327">
        <v>0.05</v>
      </c>
      <c r="G10" s="326">
        <v>45658</v>
      </c>
      <c r="H10" s="326">
        <v>38718</v>
      </c>
      <c r="I10" s="332">
        <v>102</v>
      </c>
      <c r="J10" s="326">
        <v>39448</v>
      </c>
      <c r="K10" s="333"/>
      <c r="L10" s="330">
        <v>100.517</v>
      </c>
      <c r="AD10" s="18" t="e">
        <f>#REF!*A10</f>
        <v>#REF!</v>
      </c>
    </row>
    <row r="11" spans="1:30" ht="15" customHeight="1" x14ac:dyDescent="0.25">
      <c r="A11" s="324">
        <v>100</v>
      </c>
      <c r="B11" s="325">
        <v>37196</v>
      </c>
      <c r="C11" s="326">
        <v>37211</v>
      </c>
      <c r="D11" s="326" t="s">
        <v>151</v>
      </c>
      <c r="E11" s="326" t="s">
        <v>152</v>
      </c>
      <c r="F11" s="327">
        <v>0.05</v>
      </c>
      <c r="G11" s="326">
        <v>45762</v>
      </c>
      <c r="H11" s="326">
        <v>40648</v>
      </c>
      <c r="I11" s="332">
        <v>100</v>
      </c>
      <c r="J11" s="326"/>
      <c r="K11" s="329"/>
      <c r="L11" s="330">
        <v>101.111</v>
      </c>
      <c r="AD11" s="18" t="e">
        <f>#REF!*A11</f>
        <v>#REF!</v>
      </c>
    </row>
    <row r="12" spans="1:30" ht="15" customHeight="1" x14ac:dyDescent="0.25">
      <c r="A12" s="324">
        <v>200</v>
      </c>
      <c r="B12" s="334">
        <v>37196</v>
      </c>
      <c r="C12" s="326">
        <v>37215</v>
      </c>
      <c r="D12" s="326" t="s">
        <v>151</v>
      </c>
      <c r="E12" s="326" t="s">
        <v>159</v>
      </c>
      <c r="F12" s="327">
        <v>0.05</v>
      </c>
      <c r="G12" s="326">
        <v>46327</v>
      </c>
      <c r="H12" s="326">
        <v>40848</v>
      </c>
      <c r="I12" s="332">
        <v>100</v>
      </c>
      <c r="J12" s="326"/>
      <c r="K12" s="335"/>
      <c r="L12" s="330">
        <v>100.919</v>
      </c>
      <c r="AD12" s="18" t="e">
        <f>#REF!*A12</f>
        <v>#REF!</v>
      </c>
    </row>
    <row r="13" spans="1:30" ht="15" customHeight="1" x14ac:dyDescent="0.25">
      <c r="A13" s="324">
        <v>200</v>
      </c>
      <c r="B13" s="325">
        <v>35735</v>
      </c>
      <c r="C13" s="326">
        <v>37211</v>
      </c>
      <c r="D13" s="326" t="s">
        <v>151</v>
      </c>
      <c r="E13" s="326" t="s">
        <v>163</v>
      </c>
      <c r="F13" s="327">
        <v>0.05</v>
      </c>
      <c r="G13" s="326">
        <v>46614</v>
      </c>
      <c r="H13" s="326">
        <v>39675</v>
      </c>
      <c r="I13" s="332">
        <v>100</v>
      </c>
      <c r="J13" s="326"/>
      <c r="K13" s="333"/>
      <c r="L13" s="336">
        <v>100.56100000000001</v>
      </c>
      <c r="AD13" s="18" t="e">
        <f>#REF!*A13</f>
        <v>#REF!</v>
      </c>
    </row>
    <row r="14" spans="1:30" ht="15" customHeight="1" x14ac:dyDescent="0.25">
      <c r="A14" s="324"/>
      <c r="B14" s="325"/>
      <c r="C14" s="326"/>
      <c r="D14" s="326"/>
      <c r="E14" s="326"/>
      <c r="F14" s="327"/>
      <c r="G14" s="326"/>
      <c r="H14" s="326"/>
      <c r="I14" s="332"/>
      <c r="J14" s="326"/>
      <c r="K14" s="333"/>
      <c r="L14" s="336"/>
      <c r="AD14" s="18" t="e">
        <f>#REF!*A14</f>
        <v>#REF!</v>
      </c>
    </row>
    <row r="15" spans="1:30" ht="15" customHeight="1" x14ac:dyDescent="0.25">
      <c r="A15" s="324"/>
      <c r="B15" s="325"/>
      <c r="C15" s="326"/>
      <c r="D15" s="326"/>
      <c r="E15" s="326"/>
      <c r="F15" s="327"/>
      <c r="G15" s="326"/>
      <c r="H15" s="326"/>
      <c r="I15" s="332"/>
      <c r="J15" s="326"/>
      <c r="K15" s="333"/>
      <c r="L15" s="336"/>
      <c r="AD15" s="18" t="e">
        <f>#REF!*A15</f>
        <v>#REF!</v>
      </c>
    </row>
    <row r="16" spans="1:30" ht="15" customHeight="1" x14ac:dyDescent="0.25">
      <c r="A16" s="324"/>
      <c r="B16" s="325"/>
      <c r="C16" s="326"/>
      <c r="D16" s="326"/>
      <c r="E16" s="326"/>
      <c r="F16" s="327"/>
      <c r="G16" s="326"/>
      <c r="H16" s="326"/>
      <c r="I16" s="332"/>
      <c r="J16" s="326"/>
      <c r="K16" s="333"/>
      <c r="L16" s="336"/>
      <c r="AD16" s="18" t="e">
        <f>#REF!*A16</f>
        <v>#REF!</v>
      </c>
    </row>
    <row r="17" spans="1:30" ht="15" customHeight="1" x14ac:dyDescent="0.25">
      <c r="A17" s="331"/>
      <c r="B17" s="325"/>
      <c r="C17" s="326"/>
      <c r="D17" s="326"/>
      <c r="E17" s="326"/>
      <c r="F17" s="327"/>
      <c r="G17" s="326"/>
      <c r="H17" s="326"/>
      <c r="I17" s="332"/>
      <c r="J17" s="326"/>
      <c r="K17" s="333"/>
      <c r="L17" s="330"/>
      <c r="AD17" s="18" t="e">
        <f>#REF!*A17</f>
        <v>#REF!</v>
      </c>
    </row>
    <row r="18" spans="1:30" ht="15" customHeight="1" x14ac:dyDescent="0.25">
      <c r="A18" s="324"/>
      <c r="B18" s="334"/>
      <c r="C18" s="326"/>
      <c r="D18" s="326"/>
      <c r="E18" s="326"/>
      <c r="F18" s="327"/>
      <c r="G18" s="326"/>
      <c r="H18" s="326"/>
      <c r="I18" s="332"/>
      <c r="J18" s="326"/>
      <c r="K18" s="335"/>
      <c r="L18" s="330"/>
      <c r="AD18" s="18" t="e">
        <f>#REF!*A18</f>
        <v>#REF!</v>
      </c>
    </row>
    <row r="19" spans="1:30" ht="15" customHeight="1" x14ac:dyDescent="0.25">
      <c r="A19" s="324"/>
      <c r="B19" s="325"/>
      <c r="C19" s="326"/>
      <c r="D19" s="326"/>
      <c r="E19" s="326"/>
      <c r="F19" s="327"/>
      <c r="G19" s="326"/>
      <c r="H19" s="326"/>
      <c r="I19" s="332"/>
      <c r="J19" s="326"/>
      <c r="K19" s="329"/>
      <c r="L19" s="330"/>
      <c r="AD19" s="18" t="e">
        <f>#REF!*A19</f>
        <v>#REF!</v>
      </c>
    </row>
    <row r="20" spans="1:30" ht="15" customHeight="1" x14ac:dyDescent="0.25">
      <c r="A20" s="324"/>
      <c r="B20" s="325"/>
      <c r="C20" s="326"/>
      <c r="D20" s="326"/>
      <c r="E20" s="326"/>
      <c r="F20" s="327"/>
      <c r="G20" s="326"/>
      <c r="H20" s="326"/>
      <c r="I20" s="332"/>
      <c r="J20" s="326"/>
      <c r="K20" s="333"/>
      <c r="L20" s="336"/>
      <c r="AD20" s="18" t="e">
        <f>#REF!*A20</f>
        <v>#REF!</v>
      </c>
    </row>
    <row r="21" spans="1:30" ht="15" customHeight="1" x14ac:dyDescent="0.25">
      <c r="A21" s="324"/>
      <c r="B21" s="325"/>
      <c r="C21" s="326"/>
      <c r="D21" s="326"/>
      <c r="E21" s="326"/>
      <c r="F21" s="327"/>
      <c r="G21" s="326"/>
      <c r="H21" s="326"/>
      <c r="I21" s="332"/>
      <c r="J21" s="326"/>
      <c r="K21" s="329"/>
      <c r="L21" s="330"/>
      <c r="AD21" s="18" t="e">
        <f>#REF!*A21</f>
        <v>#REF!</v>
      </c>
    </row>
    <row r="22" spans="1:30" ht="15" customHeight="1" x14ac:dyDescent="0.25">
      <c r="A22" s="331"/>
      <c r="B22" s="325"/>
      <c r="C22" s="326"/>
      <c r="D22" s="326"/>
      <c r="E22" s="326"/>
      <c r="F22" s="327"/>
      <c r="G22" s="326"/>
      <c r="H22" s="326"/>
      <c r="I22" s="332"/>
      <c r="J22" s="326"/>
      <c r="K22" s="333"/>
      <c r="L22" s="336"/>
      <c r="AD22" s="18" t="e">
        <f>#REF!*A22</f>
        <v>#REF!</v>
      </c>
    </row>
    <row r="23" spans="1:30" ht="15" customHeight="1" x14ac:dyDescent="0.25">
      <c r="A23" s="337"/>
      <c r="B23" s="338"/>
      <c r="C23" s="326"/>
      <c r="D23" s="333"/>
      <c r="E23" s="339"/>
      <c r="F23" s="340"/>
      <c r="G23" s="339"/>
      <c r="H23" s="326"/>
      <c r="I23" s="332"/>
      <c r="J23" s="326"/>
      <c r="K23" s="333"/>
      <c r="L23" s="335"/>
      <c r="AD23" s="18" t="e">
        <f>#REF!*A23</f>
        <v>#REF!</v>
      </c>
    </row>
    <row r="24" spans="1:30" ht="15" customHeight="1" thickBot="1" x14ac:dyDescent="0.3">
      <c r="A24" s="341"/>
      <c r="B24" s="342"/>
      <c r="C24" s="343"/>
      <c r="D24" s="344"/>
      <c r="E24" s="343"/>
      <c r="F24" s="345"/>
      <c r="G24" s="343"/>
      <c r="H24" s="343"/>
      <c r="I24" s="346"/>
      <c r="J24" s="343"/>
      <c r="K24" s="344"/>
      <c r="L24" s="347"/>
      <c r="AD24" s="18" t="e">
        <f>#REF!*A24</f>
        <v>#REF!</v>
      </c>
    </row>
    <row r="25" spans="1:30" ht="15" customHeight="1" x14ac:dyDescent="0.3">
      <c r="A25" s="20">
        <f>SUM(A3:A24)</f>
        <v>2000</v>
      </c>
      <c r="B25" s="132"/>
      <c r="AD25" s="18"/>
    </row>
    <row r="26" spans="1:30" ht="17.25" customHeight="1" x14ac:dyDescent="0.3">
      <c r="B26" s="142"/>
      <c r="C26" s="310" t="s">
        <v>65</v>
      </c>
      <c r="E26" s="132" t="s">
        <v>104</v>
      </c>
      <c r="G26" s="132" t="s">
        <v>106</v>
      </c>
      <c r="AD26" s="18"/>
    </row>
    <row r="27" spans="1:30" ht="15" customHeight="1" x14ac:dyDescent="0.3">
      <c r="B27" s="142"/>
      <c r="C27" s="311">
        <v>37211</v>
      </c>
      <c r="D27" s="142"/>
      <c r="E27" s="229" t="s">
        <v>164</v>
      </c>
      <c r="G27" s="230">
        <v>1.6419999999999999</v>
      </c>
      <c r="L27" s="377"/>
    </row>
    <row r="28" spans="1:30" ht="15" customHeight="1" x14ac:dyDescent="0.25">
      <c r="B28" s="142"/>
      <c r="C28" s="252"/>
      <c r="E28" s="214"/>
      <c r="F28" s="231"/>
      <c r="G28" s="142"/>
    </row>
    <row r="29" spans="1:30" ht="15" customHeight="1" x14ac:dyDescent="0.25">
      <c r="B29" s="142"/>
      <c r="C29" s="142"/>
    </row>
    <row r="30" spans="1:30" ht="15" customHeight="1" x14ac:dyDescent="0.25">
      <c r="B30" s="142"/>
      <c r="C30" s="142"/>
      <c r="F30" s="20"/>
      <c r="G30" s="20"/>
    </row>
    <row r="31" spans="1:30" ht="15" customHeight="1" x14ac:dyDescent="0.25">
      <c r="B31" s="142"/>
      <c r="C31" s="142"/>
      <c r="G31" s="19"/>
    </row>
    <row r="32" spans="1:30" ht="15" customHeight="1" x14ac:dyDescent="0.25">
      <c r="B32" s="142"/>
      <c r="C32" s="142"/>
      <c r="F32" s="46"/>
      <c r="G32" s="19"/>
    </row>
    <row r="33" spans="2:9" ht="14.25" customHeight="1" x14ac:dyDescent="0.25">
      <c r="B33" s="18"/>
      <c r="C33" s="18"/>
      <c r="F33" s="46"/>
      <c r="G33" s="19"/>
      <c r="H33" s="156"/>
      <c r="I33" s="142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topLeftCell="A4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6"/>
      <c r="B2" s="17"/>
      <c r="C2" s="17"/>
      <c r="D2" s="17"/>
      <c r="E2" s="17"/>
      <c r="F2" s="137"/>
      <c r="G2" s="138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48" t="s">
        <v>0</v>
      </c>
      <c r="B4" s="349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0" t="str">
        <f>Enter!E27</f>
        <v>Scott Neal Muni Ladder</v>
      </c>
      <c r="B5" s="351">
        <f ca="1">NOW()</f>
        <v>41887.54949085648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7" t="s">
        <v>101</v>
      </c>
      <c r="B11" s="139">
        <f>SUM(Proposal!A7:A28)*1000</f>
        <v>2000000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7" t="s">
        <v>125</v>
      </c>
      <c r="B12" s="140">
        <f>Proposal!AY29</f>
        <v>4.8752100538083036E-2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7" t="s">
        <v>37</v>
      </c>
      <c r="B13" s="139">
        <f>Proposal!V29</f>
        <v>97450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7"/>
      <c r="B14" s="141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7" t="s">
        <v>38</v>
      </c>
      <c r="B15" s="139">
        <f>Proposal!AM29</f>
        <v>2015674</v>
      </c>
      <c r="C15" s="17"/>
      <c r="D15" s="142"/>
      <c r="E15" s="17"/>
      <c r="F15" s="20"/>
      <c r="G15" s="20"/>
      <c r="H15" s="20"/>
      <c r="I15" s="20"/>
    </row>
    <row r="16" spans="1:9" ht="16.5" customHeight="1" x14ac:dyDescent="0.25">
      <c r="A16" s="137" t="s">
        <v>39</v>
      </c>
      <c r="B16" s="139">
        <f>Proposal!AW29</f>
        <v>10042.361111111084</v>
      </c>
      <c r="C16" s="142"/>
      <c r="D16" s="142"/>
      <c r="E16" s="17"/>
      <c r="F16" s="20"/>
      <c r="G16" s="20"/>
      <c r="H16" s="20"/>
      <c r="I16" s="20"/>
    </row>
    <row r="17" spans="1:9" ht="16.5" customHeight="1" x14ac:dyDescent="0.25">
      <c r="A17" s="137" t="s">
        <v>96</v>
      </c>
      <c r="B17" s="139">
        <f>SUM(B15:B16)</f>
        <v>2025716.361111111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7" t="s">
        <v>111</v>
      </c>
      <c r="B19" s="143">
        <f>Proposal!AC29</f>
        <v>19.734757216031294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7" t="s">
        <v>112</v>
      </c>
      <c r="B20" s="143">
        <f>Volatility!H30</f>
        <v>8.0732870449453777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7" t="s">
        <v>113</v>
      </c>
      <c r="B21" s="144">
        <f>Volatility!AW$29</f>
        <v>4.8346111523986511E-2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7" t="s">
        <v>116</v>
      </c>
      <c r="B22" s="144">
        <f>Volatility!AV$29</f>
        <v>4.7351871089068236E-2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7" t="s">
        <v>9</v>
      </c>
      <c r="B23" s="139">
        <f>Proposal!AJ29</f>
        <v>100.7837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128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133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B7" sqref="B7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38" t="s">
        <v>137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3"/>
      <c r="B2" s="212"/>
      <c r="C2" s="314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5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2"/>
      <c r="D4" s="31"/>
      <c r="E4" s="32"/>
      <c r="F4" s="32"/>
      <c r="G4" s="33"/>
      <c r="H4" s="33"/>
      <c r="I4" s="33"/>
      <c r="J4" s="33"/>
      <c r="K4" s="33"/>
      <c r="L4" s="34"/>
      <c r="M4" s="312" t="s">
        <v>148</v>
      </c>
      <c r="N4" s="313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2" t="s">
        <v>114</v>
      </c>
      <c r="B5" s="353"/>
      <c r="C5" s="354"/>
      <c r="D5" s="355"/>
      <c r="E5" s="355"/>
      <c r="F5" s="355" t="s">
        <v>85</v>
      </c>
      <c r="G5" s="355" t="s">
        <v>86</v>
      </c>
      <c r="H5" s="355" t="s">
        <v>15</v>
      </c>
      <c r="I5" s="355" t="s">
        <v>91</v>
      </c>
      <c r="J5" s="356"/>
      <c r="K5" s="355"/>
      <c r="L5" s="355"/>
      <c r="M5" s="355"/>
      <c r="N5" s="355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5" t="s">
        <v>15</v>
      </c>
      <c r="B6" s="355" t="s">
        <v>16</v>
      </c>
      <c r="C6" s="355" t="s">
        <v>17</v>
      </c>
      <c r="D6" s="355" t="s">
        <v>18</v>
      </c>
      <c r="E6" s="355" t="s">
        <v>19</v>
      </c>
      <c r="F6" s="355" t="s">
        <v>2</v>
      </c>
      <c r="G6" s="355" t="s">
        <v>21</v>
      </c>
      <c r="H6" s="355" t="s">
        <v>2</v>
      </c>
      <c r="I6" s="355" t="s">
        <v>92</v>
      </c>
      <c r="J6" s="355" t="s">
        <v>21</v>
      </c>
      <c r="K6" s="357" t="s">
        <v>22</v>
      </c>
      <c r="L6" s="357" t="s">
        <v>13</v>
      </c>
      <c r="M6" s="358" t="s">
        <v>23</v>
      </c>
      <c r="N6" s="358" t="s">
        <v>120</v>
      </c>
      <c r="R6" s="129" t="s">
        <v>132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3">
        <f>Enter!A3</f>
        <v>200</v>
      </c>
      <c r="B7" s="234" t="str">
        <f>Enter!D3</f>
        <v>AAA/AAA</v>
      </c>
      <c r="C7" s="259" t="str">
        <f>Enter!E3</f>
        <v>SPRING TX ISD PSF</v>
      </c>
      <c r="D7" s="235">
        <f>Enter!F3</f>
        <v>0.05</v>
      </c>
      <c r="E7" s="236">
        <f>Enter!G3</f>
        <v>42597</v>
      </c>
      <c r="F7" s="236">
        <f>Enter!H3</f>
        <v>40770</v>
      </c>
      <c r="G7" s="217">
        <f>Enter!I3</f>
        <v>100</v>
      </c>
      <c r="H7" s="236">
        <f>Enter!J3</f>
        <v>0</v>
      </c>
      <c r="I7" s="237">
        <f>Enter!K3</f>
        <v>0</v>
      </c>
      <c r="J7" s="237">
        <f>Enter!L3</f>
        <v>104.70699999999999</v>
      </c>
      <c r="K7" s="161">
        <f>IF(J7=100,0,IF(BG7=BC7,0,BG7))</f>
        <v>4.4000789567477272E-2</v>
      </c>
      <c r="L7" s="161">
        <f>IF(A7=0,0,IF(R7=TRUE,0,BC7))</f>
        <v>4.5574833942321015E-2</v>
      </c>
      <c r="M7" s="162">
        <f>IF(AG7=0,0,AH7)</f>
        <v>4.7752299273210008E-2</v>
      </c>
      <c r="N7" s="161">
        <f>IF(A7=0,0,IF(K7=0,L7*Enter!G$27,K7*Enter!G$27))</f>
        <v>7.2249296469797678E-2</v>
      </c>
      <c r="R7" s="55" t="b">
        <f>IF(I7&gt;0,TRUE,FALSE)</f>
        <v>0</v>
      </c>
      <c r="S7" s="130">
        <f>IF(R7=TRUE,F7,E7)</f>
        <v>42597</v>
      </c>
      <c r="T7" s="69">
        <f>IF(R7=TRUE,G7*A7*10,100*A7)</f>
        <v>20000</v>
      </c>
      <c r="U7" s="53">
        <v>1</v>
      </c>
      <c r="V7" s="66">
        <f t="shared" ref="V7:V28" si="0">(A7*D7)*1000</f>
        <v>10000</v>
      </c>
      <c r="W7" s="61"/>
      <c r="X7" s="62">
        <f>Volatility!AS7/Volatility!AS$29</f>
        <v>0.10389279218762557</v>
      </c>
      <c r="Y7" s="67"/>
      <c r="Z7" s="84">
        <f>S7</f>
        <v>42597</v>
      </c>
      <c r="AA7" s="56">
        <f>DAYS360(Enter!C3,Z7)</f>
        <v>5309</v>
      </c>
      <c r="AB7" s="85">
        <f t="shared" ref="AB7:AB28" si="1">IF(A7=0,0,AA7)</f>
        <v>5309</v>
      </c>
      <c r="AC7" s="56">
        <f t="shared" ref="AC7:AC28" si="2">X7*AB7</f>
        <v>551.56683372410407</v>
      </c>
      <c r="AD7" s="62">
        <f t="shared" ref="AD7:AD28" si="3">IF(A7=0,0,AF7)</f>
        <v>4.5713648866253596E-3</v>
      </c>
      <c r="AE7" s="86">
        <f t="shared" ref="AE7:AE28" si="4">BG7</f>
        <v>4.4000789567477272E-2</v>
      </c>
      <c r="AF7" s="86">
        <f t="shared" ref="AF7:AF28" si="5">AE7*X7</f>
        <v>4.5713648866253596E-3</v>
      </c>
      <c r="AG7" s="55">
        <f t="shared" ref="AG7:AG28" si="6">IF(A7=0,0,D7)</f>
        <v>0.05</v>
      </c>
      <c r="AH7" s="87">
        <f t="shared" ref="AH7:AH28" si="7">D7/(J7/100)</f>
        <v>4.7752299273210008E-2</v>
      </c>
      <c r="AI7" s="62">
        <f t="shared" ref="AI7:AI28" si="8">A7*J7</f>
        <v>20941.399999999998</v>
      </c>
      <c r="AJ7" s="56"/>
      <c r="AK7" s="56"/>
      <c r="AL7" s="56"/>
      <c r="AM7" s="88">
        <f t="shared" ref="AM7:AM28" si="9">(J7*10)*A7</f>
        <v>209414</v>
      </c>
      <c r="AN7" s="56"/>
      <c r="AO7" s="56"/>
      <c r="AP7" s="88">
        <f t="shared" ref="AP7:AP28" si="10">((D7/360)*180)*1000</f>
        <v>25</v>
      </c>
      <c r="AQ7" s="89">
        <f>DAYS360(Enter!C3,E7)/180</f>
        <v>29.494444444444444</v>
      </c>
      <c r="AR7" s="89">
        <f t="shared" ref="AR7:AR28" si="11">AQ7-INT(AQ7)</f>
        <v>0.49444444444444358</v>
      </c>
      <c r="AS7" s="90">
        <f>IF(AR7=0,0,AP7-(AP7)*AR7)</f>
        <v>12.638888888888911</v>
      </c>
      <c r="AT7" s="91">
        <f>IF(DAYS360(Enter!B3,Enter!C3)&lt;180,0,AS7*A7)</f>
        <v>0</v>
      </c>
      <c r="AU7" s="69">
        <f>IF((DAYS360(Enter!B3,Enter!C3))&lt;180,(DAYS360(Enter!B3,Enter!C3))/180*AP7*A7,0)</f>
        <v>-416.66666666666663</v>
      </c>
      <c r="AV7" s="89"/>
      <c r="AW7" s="89"/>
      <c r="AX7" s="56"/>
      <c r="AY7" s="62">
        <f t="shared" ref="AY7:AY28" si="12">X7*D7</f>
        <v>5.194639609381279E-3</v>
      </c>
      <c r="AZ7" s="56"/>
      <c r="BA7" s="56"/>
      <c r="BB7" s="56"/>
      <c r="BC7" s="92">
        <f>IF(A7=0,0,IF(J7=100,D7,YIELD(Enter!C3,E7,D7,J7,100,2,0)))</f>
        <v>4.5574833942321015E-2</v>
      </c>
      <c r="BD7" s="94">
        <f>IF(A7=0,100,IF(F7=0,100,YIELD(Enter!C3,F7,D7,J7,G7,2,0)))</f>
        <v>4.4000789567477272E-2</v>
      </c>
      <c r="BE7" s="93">
        <f>IF(A7=0,1000,IF(H7=0,1000,YIELD(Enter!C3,H7,D7,J7,100,2,0)))</f>
        <v>1000</v>
      </c>
      <c r="BF7" s="93"/>
      <c r="BG7" s="131">
        <f>IF(R7=TRUE,BD7,MIN(BC7:BE7))</f>
        <v>4.4000789567477272E-2</v>
      </c>
      <c r="BH7" s="120">
        <f>IF(R7=TRUE,F7,IF(J7=100,E7,IF(MIN(BC7:BE7)=BC7,E7,IF(MIN(BC7:BE7)=BD7,F7,H7))))</f>
        <v>40770</v>
      </c>
      <c r="BI7" s="75"/>
    </row>
    <row r="8" spans="1:61" ht="15.75" x14ac:dyDescent="0.25">
      <c r="A8" s="222">
        <f>Enter!A4</f>
        <v>200</v>
      </c>
      <c r="B8" s="215" t="str">
        <f>Enter!D4</f>
        <v>AAA/AAA</v>
      </c>
      <c r="C8" s="260" t="str">
        <f>Enter!E4</f>
        <v>PORT HOUSTON</v>
      </c>
      <c r="D8" s="216">
        <f>Enter!F4</f>
        <v>4.7500000000000001E-2</v>
      </c>
      <c r="E8" s="214">
        <f>Enter!G4</f>
        <v>43009</v>
      </c>
      <c r="F8" s="214">
        <f>Enter!H4</f>
        <v>40817</v>
      </c>
      <c r="G8" s="220">
        <f>Enter!I4</f>
        <v>100</v>
      </c>
      <c r="H8" s="214">
        <f>Enter!J4</f>
        <v>0</v>
      </c>
      <c r="I8" s="221">
        <f>Enter!K4</f>
        <v>0</v>
      </c>
      <c r="J8" s="218">
        <f>Enter!L4</f>
        <v>101.566</v>
      </c>
      <c r="K8" s="161">
        <f t="shared" ref="K8:K28" si="13">IF(J8=100,0,IF(BG8=BC8,0,BG8))</f>
        <v>4.5500440824577805E-2</v>
      </c>
      <c r="L8" s="161">
        <f t="shared" ref="L8:L28" si="14">IF(A8=0,0,IF(R8=TRUE,0,BC8))</f>
        <v>4.6090725004782437E-2</v>
      </c>
      <c r="M8" s="161">
        <f t="shared" ref="M8:M28" si="15">IF(AG8=0,0,AH8)</f>
        <v>4.6767619085126916E-2</v>
      </c>
      <c r="N8" s="161">
        <f>IF(A8=0,0,IF(K8=0,L8*Enter!G$27,K8*Enter!G$27))</f>
        <v>7.4711723833956745E-2</v>
      </c>
      <c r="R8" s="55" t="b">
        <f>IF(I8&gt;0,TRUE,FALSE)</f>
        <v>0</v>
      </c>
      <c r="S8" s="68">
        <f t="shared" ref="S8:S28" si="16">IF(R8=TRUE,F8,E8)</f>
        <v>43009</v>
      </c>
      <c r="T8" s="69">
        <f t="shared" ref="T8:T28" si="17">IF(R8=TRUE,G8*A8*10,100*A8)</f>
        <v>20000</v>
      </c>
      <c r="U8" s="56">
        <v>2</v>
      </c>
      <c r="V8" s="66">
        <f t="shared" si="0"/>
        <v>9500</v>
      </c>
      <c r="W8" s="61"/>
      <c r="X8" s="62">
        <f>Volatility!AS8/Volatility!AS$29</f>
        <v>0.10077621678902442</v>
      </c>
      <c r="Y8" s="67"/>
      <c r="Z8" s="96">
        <f t="shared" ref="Z8:Z28" si="18">S8</f>
        <v>43009</v>
      </c>
      <c r="AA8" s="56">
        <f>DAYS360(Enter!C4,Z8)</f>
        <v>5702</v>
      </c>
      <c r="AB8" s="85">
        <f t="shared" si="1"/>
        <v>5702</v>
      </c>
      <c r="AC8" s="56">
        <f t="shared" si="2"/>
        <v>574.62598813101727</v>
      </c>
      <c r="AD8" s="62">
        <f t="shared" si="3"/>
        <v>4.5853622885338296E-3</v>
      </c>
      <c r="AE8" s="86">
        <f t="shared" si="4"/>
        <v>4.5500440824577805E-2</v>
      </c>
      <c r="AF8" s="86">
        <f t="shared" si="5"/>
        <v>4.5853622885338296E-3</v>
      </c>
      <c r="AG8" s="55">
        <f t="shared" si="6"/>
        <v>4.7500000000000001E-2</v>
      </c>
      <c r="AH8" s="87">
        <f t="shared" si="7"/>
        <v>4.6767619085126916E-2</v>
      </c>
      <c r="AI8" s="62">
        <f t="shared" si="8"/>
        <v>20313.2</v>
      </c>
      <c r="AJ8" s="56"/>
      <c r="AK8" s="56"/>
      <c r="AL8" s="56"/>
      <c r="AM8" s="88">
        <f t="shared" si="9"/>
        <v>203132.00000000003</v>
      </c>
      <c r="AN8" s="56"/>
      <c r="AO8" s="56"/>
      <c r="AP8" s="88">
        <f t="shared" si="10"/>
        <v>23.750000000000004</v>
      </c>
      <c r="AQ8" s="89">
        <f>DAYS360(Enter!C4,E8)/180</f>
        <v>31.677777777777777</v>
      </c>
      <c r="AR8" s="89">
        <f t="shared" si="11"/>
        <v>0.67777777777777715</v>
      </c>
      <c r="AS8" s="97">
        <f t="shared" ref="AS8:AS28" si="19">IF(AR8=0,0,AP8-(AP8)*AR8)</f>
        <v>7.6527777777777928</v>
      </c>
      <c r="AT8" s="91">
        <f>IF(DAYS360(Enter!B4,Enter!C4)&lt;180,0,AS8*A8)</f>
        <v>0</v>
      </c>
      <c r="AU8" s="69">
        <f>IF((DAYS360(Enter!B4,Enter!C4))&lt;180,(DAYS360(Enter!B4,Enter!C4))/180*AP8*A8,0)</f>
        <v>738.88888888888903</v>
      </c>
      <c r="AV8" s="89"/>
      <c r="AW8" s="89"/>
      <c r="AX8" s="56"/>
      <c r="AY8" s="62">
        <f t="shared" si="12"/>
        <v>4.7868702974786601E-3</v>
      </c>
      <c r="AZ8" s="56"/>
      <c r="BA8" s="56"/>
      <c r="BB8" s="56"/>
      <c r="BC8" s="92">
        <f>IF(A8=0,0,IF(J8=100,D8,YIELD(Enter!C4,E8,D8,J8,100,2,0)))</f>
        <v>4.6090725004782437E-2</v>
      </c>
      <c r="BD8" s="94">
        <f>IF(A8=0,100,IF(F8=0,100,YIELD(Enter!C4,F8,D8,J8,G8,2,0)))</f>
        <v>4.5500440824577805E-2</v>
      </c>
      <c r="BE8" s="94">
        <f>IF(A8=0,1000,IF(H8=0,1000,YIELD(Enter!C4,H8,D8,J8,100,2,0)))</f>
        <v>1000</v>
      </c>
      <c r="BF8" s="94"/>
      <c r="BG8" s="87">
        <f>IF(R8=TRUE,BD8,MIN(BC8:BE8))</f>
        <v>4.5500440824577805E-2</v>
      </c>
      <c r="BH8" s="95">
        <f>IF(R8=TRUE,F8,IF(J8=100,E8,IF(MIN(BC8:BE8)=BC8,E8,IF(MIN(BC8:BE8)=BD8,F8,H8))))</f>
        <v>40817</v>
      </c>
      <c r="BI8" s="75"/>
    </row>
    <row r="9" spans="1:61" ht="15.75" x14ac:dyDescent="0.25">
      <c r="A9" s="222">
        <f>Enter!A5</f>
        <v>200</v>
      </c>
      <c r="B9" s="215" t="str">
        <f>Enter!D5</f>
        <v>AAA/AAA</v>
      </c>
      <c r="C9" s="260" t="str">
        <f>Enter!E5</f>
        <v>MONROE WISC SCH</v>
      </c>
      <c r="D9" s="216">
        <f>Enter!F5</f>
        <v>4.8750000000000002E-2</v>
      </c>
      <c r="E9" s="214">
        <f>Enter!G5</f>
        <v>43191</v>
      </c>
      <c r="F9" s="214">
        <f>Enter!H5</f>
        <v>40634</v>
      </c>
      <c r="G9" s="220">
        <f>Enter!I5</f>
        <v>100</v>
      </c>
      <c r="H9" s="214">
        <f>Enter!J5</f>
        <v>0</v>
      </c>
      <c r="I9" s="221">
        <f>Enter!K5</f>
        <v>0</v>
      </c>
      <c r="J9" s="218">
        <f>Enter!L5</f>
        <v>101.309</v>
      </c>
      <c r="K9" s="161">
        <f t="shared" si="13"/>
        <v>4.7000461142918989E-2</v>
      </c>
      <c r="L9" s="161">
        <f t="shared" si="14"/>
        <v>4.7585356373638601E-2</v>
      </c>
      <c r="M9" s="161">
        <f t="shared" si="15"/>
        <v>4.8120107789041446E-2</v>
      </c>
      <c r="N9" s="161">
        <f>IF(A9=0,0,IF(K9=0,L9*Enter!G$27,K9*Enter!G$27))</f>
        <v>7.717475719667298E-2</v>
      </c>
      <c r="R9" s="55" t="b">
        <f t="shared" ref="R9:R28" si="20">IF(I9&gt;0,TRUE,FALSE)</f>
        <v>0</v>
      </c>
      <c r="S9" s="68">
        <f t="shared" si="16"/>
        <v>43191</v>
      </c>
      <c r="T9" s="69">
        <f t="shared" si="17"/>
        <v>20000</v>
      </c>
      <c r="U9" s="56">
        <v>3</v>
      </c>
      <c r="V9" s="66">
        <f t="shared" si="0"/>
        <v>9750</v>
      </c>
      <c r="W9" s="61"/>
      <c r="X9" s="62">
        <f>Volatility!AS9/Volatility!AS$29</f>
        <v>0.10052121523619395</v>
      </c>
      <c r="Y9" s="67"/>
      <c r="Z9" s="96">
        <f t="shared" si="18"/>
        <v>43191</v>
      </c>
      <c r="AA9" s="56">
        <f>DAYS360(Enter!C5,Z9)</f>
        <v>5895</v>
      </c>
      <c r="AB9" s="85">
        <f t="shared" si="1"/>
        <v>5895</v>
      </c>
      <c r="AC9" s="56">
        <f t="shared" si="2"/>
        <v>592.57256381736329</v>
      </c>
      <c r="AD9" s="62">
        <f t="shared" si="3"/>
        <v>4.7245434707477302E-3</v>
      </c>
      <c r="AE9" s="86">
        <f t="shared" si="4"/>
        <v>4.7000461142918989E-2</v>
      </c>
      <c r="AF9" s="86">
        <f t="shared" si="5"/>
        <v>4.7245434707477302E-3</v>
      </c>
      <c r="AG9" s="55">
        <f t="shared" si="6"/>
        <v>4.8750000000000002E-2</v>
      </c>
      <c r="AH9" s="87">
        <f t="shared" si="7"/>
        <v>4.8120107789041446E-2</v>
      </c>
      <c r="AI9" s="62">
        <f t="shared" si="8"/>
        <v>20261.8</v>
      </c>
      <c r="AJ9" s="56"/>
      <c r="AK9" s="56"/>
      <c r="AL9" s="56"/>
      <c r="AM9" s="88">
        <f t="shared" si="9"/>
        <v>202617.99999999997</v>
      </c>
      <c r="AN9" s="56"/>
      <c r="AO9" s="56"/>
      <c r="AP9" s="88">
        <f t="shared" si="10"/>
        <v>24.374999999999996</v>
      </c>
      <c r="AQ9" s="89">
        <f>DAYS360(Enter!C5,E9)/180</f>
        <v>32.75</v>
      </c>
      <c r="AR9" s="89">
        <f t="shared" si="11"/>
        <v>0.75</v>
      </c>
      <c r="AS9" s="97">
        <f t="shared" si="19"/>
        <v>6.09375</v>
      </c>
      <c r="AT9" s="91">
        <f>IF(DAYS360(Enter!B5,Enter!C5)&lt;180,0,AS9*A9)</f>
        <v>0</v>
      </c>
      <c r="AU9" s="69">
        <f>IF((DAYS360(Enter!B5,Enter!C5))&lt;180,(DAYS360(Enter!B5,Enter!C5))/180*AP9*A9,0)</f>
        <v>406.24999999999989</v>
      </c>
      <c r="AV9" s="89"/>
      <c r="AW9" s="89"/>
      <c r="AX9" s="56"/>
      <c r="AY9" s="62">
        <f t="shared" si="12"/>
        <v>4.9004092427644549E-3</v>
      </c>
      <c r="AZ9" s="56"/>
      <c r="BA9" s="56"/>
      <c r="BB9" s="56"/>
      <c r="BC9" s="92">
        <f>IF(A9=0,0,IF(J9=100,D9,YIELD(Enter!C5,E9,D9,J9,100,2,0)))</f>
        <v>4.7585356373638601E-2</v>
      </c>
      <c r="BD9" s="94">
        <f>IF(A9=0,100,IF(F9=0,100,YIELD(Enter!C5,F9,D9,J9,G9,2,0)))</f>
        <v>4.7000461142918989E-2</v>
      </c>
      <c r="BE9" s="94">
        <f>IF(A9=0,1000,IF(H9=0,1000,YIELD(Enter!C5,H9,D9,J9,100,2,0)))</f>
        <v>1000</v>
      </c>
      <c r="BF9" s="94"/>
      <c r="BG9" s="87">
        <f>IF(R9=TRUE,BD9,MIN(BC9:BE9))</f>
        <v>4.7000461142918989E-2</v>
      </c>
      <c r="BH9" s="95">
        <f>IF(R9=TRUE,F9,IF(J9=100,E9,IF(MIN(BC9:BE9)=BC9,E9,IF(MIN(BC9:BE9)=BD9,F9,H9))))</f>
        <v>40634</v>
      </c>
      <c r="BI9" s="75"/>
    </row>
    <row r="10" spans="1:61" ht="15.75" x14ac:dyDescent="0.25">
      <c r="A10" s="222">
        <f>Enter!A6</f>
        <v>200</v>
      </c>
      <c r="B10" s="215" t="str">
        <f>Enter!D6</f>
        <v>AAA/AA+</v>
      </c>
      <c r="C10" s="260" t="str">
        <f>Enter!E6</f>
        <v>TROY MICH</v>
      </c>
      <c r="D10" s="216">
        <f>Enter!F6</f>
        <v>4.5999999999999999E-2</v>
      </c>
      <c r="E10" s="214">
        <f>Enter!G6</f>
        <v>43739</v>
      </c>
      <c r="F10" s="214">
        <f>Enter!H6</f>
        <v>40452</v>
      </c>
      <c r="G10" s="220">
        <f>Enter!I6</f>
        <v>100.5</v>
      </c>
      <c r="H10" s="214">
        <f>Enter!J6</f>
        <v>41183</v>
      </c>
      <c r="I10" s="221">
        <f>Enter!K6</f>
        <v>0</v>
      </c>
      <c r="J10" s="218">
        <f>Enter!L6</f>
        <v>99.266999999999996</v>
      </c>
      <c r="K10" s="161">
        <f t="shared" si="13"/>
        <v>0</v>
      </c>
      <c r="L10" s="161">
        <f t="shared" si="14"/>
        <v>4.6604700544822679E-2</v>
      </c>
      <c r="M10" s="161">
        <f t="shared" si="15"/>
        <v>4.6339669779483617E-2</v>
      </c>
      <c r="N10" s="161">
        <f>IF(A10=0,0,IF(K10=0,L10*Enter!G$27,K10*Enter!G$27))</f>
        <v>7.6524918294598829E-2</v>
      </c>
      <c r="R10" s="55" t="b">
        <f t="shared" si="20"/>
        <v>0</v>
      </c>
      <c r="S10" s="68">
        <f t="shared" si="16"/>
        <v>43739</v>
      </c>
      <c r="T10" s="69">
        <f t="shared" si="17"/>
        <v>20000</v>
      </c>
      <c r="U10" s="56">
        <v>4</v>
      </c>
      <c r="V10" s="66">
        <f t="shared" si="0"/>
        <v>9200</v>
      </c>
      <c r="W10" s="61"/>
      <c r="X10" s="62">
        <f>Volatility!AS10/Volatility!AS$29</f>
        <v>9.8495093948723841E-2</v>
      </c>
      <c r="Y10" s="67"/>
      <c r="Z10" s="96">
        <f t="shared" si="18"/>
        <v>43739</v>
      </c>
      <c r="AA10" s="56">
        <f>DAYS360(Enter!C6,Z10)</f>
        <v>6435</v>
      </c>
      <c r="AB10" s="85">
        <f t="shared" si="1"/>
        <v>6435</v>
      </c>
      <c r="AC10" s="56">
        <f t="shared" si="2"/>
        <v>633.81592956003794</v>
      </c>
      <c r="AD10" s="62">
        <f t="shared" si="3"/>
        <v>4.5903343586144512E-3</v>
      </c>
      <c r="AE10" s="86">
        <f t="shared" si="4"/>
        <v>4.6604700544822679E-2</v>
      </c>
      <c r="AF10" s="86">
        <f t="shared" si="5"/>
        <v>4.5903343586144512E-3</v>
      </c>
      <c r="AG10" s="55">
        <f t="shared" si="6"/>
        <v>4.5999999999999999E-2</v>
      </c>
      <c r="AH10" s="87">
        <f t="shared" si="7"/>
        <v>4.6339669779483617E-2</v>
      </c>
      <c r="AI10" s="62">
        <f t="shared" si="8"/>
        <v>19853.399999999998</v>
      </c>
      <c r="AJ10" s="56"/>
      <c r="AK10" s="56"/>
      <c r="AL10" s="56"/>
      <c r="AM10" s="88">
        <f t="shared" si="9"/>
        <v>198534</v>
      </c>
      <c r="AN10" s="56"/>
      <c r="AO10" s="56"/>
      <c r="AP10" s="88">
        <f t="shared" si="10"/>
        <v>22.999999999999996</v>
      </c>
      <c r="AQ10" s="89">
        <f>DAYS360(Enter!C6,E10)/180</f>
        <v>35.75</v>
      </c>
      <c r="AR10" s="89">
        <f t="shared" si="11"/>
        <v>0.75</v>
      </c>
      <c r="AS10" s="97">
        <f t="shared" si="19"/>
        <v>5.75</v>
      </c>
      <c r="AT10" s="91">
        <f>IF(DAYS360(Enter!B6,Enter!C6)&lt;180,0,AS10*A10)</f>
        <v>0</v>
      </c>
      <c r="AU10" s="69">
        <f>IF((DAYS360(Enter!B6,Enter!C6))&lt;180,(DAYS360(Enter!B6,Enter!C6))/180*AP10*A10,0)</f>
        <v>383.33333333333326</v>
      </c>
      <c r="AV10" s="89"/>
      <c r="AW10" s="89"/>
      <c r="AX10" s="56"/>
      <c r="AY10" s="62">
        <f t="shared" si="12"/>
        <v>4.5307743216412965E-3</v>
      </c>
      <c r="AZ10" s="56"/>
      <c r="BA10" s="56"/>
      <c r="BB10" s="56"/>
      <c r="BC10" s="92">
        <f>IF(A10=0,0,IF(J10=100,D10,YIELD(Enter!C6,E10,D10,J10,100,2,0)))</f>
        <v>4.6604700544822679E-2</v>
      </c>
      <c r="BD10" s="94">
        <f>IF(A10=0,100,IF(F10=0,100,YIELD(Enter!C6,F10,D10,J10,G10,2,0)))</f>
        <v>4.747424460525513E-2</v>
      </c>
      <c r="BE10" s="94">
        <f>IF(A10=0,1000,IF(H10=0,1000,YIELD(Enter!C6,H10,D10,J10,100,2,0)))</f>
        <v>4.6862095371505187E-2</v>
      </c>
      <c r="BF10" s="94"/>
      <c r="BG10" s="87">
        <f>IF(R10=TRUE,BD10,MIN(BC10:BE10))</f>
        <v>4.6604700544822679E-2</v>
      </c>
      <c r="BH10" s="95">
        <f>IF(R10=TRUE,F10,IF(J10=100,E10,IF(MIN(BC10:BE10)=BC10,E10,IF(MIN(BC10:BE10)=BD10,F10,H10))))</f>
        <v>43739</v>
      </c>
      <c r="BI10" s="75"/>
    </row>
    <row r="11" spans="1:61" ht="15.75" x14ac:dyDescent="0.25">
      <c r="A11" s="222">
        <f>Enter!A7</f>
        <v>200</v>
      </c>
      <c r="B11" s="215" t="str">
        <f>Enter!D7</f>
        <v>AAA/AAA</v>
      </c>
      <c r="C11" s="260" t="str">
        <f>Enter!E7</f>
        <v>PASADENA TX COMB</v>
      </c>
      <c r="D11" s="216">
        <f>Enter!F7</f>
        <v>0.05</v>
      </c>
      <c r="E11" s="214">
        <f>Enter!G7</f>
        <v>43876</v>
      </c>
      <c r="F11" s="214">
        <f>Enter!H7</f>
        <v>40224</v>
      </c>
      <c r="G11" s="220">
        <f>Enter!I7</f>
        <v>100</v>
      </c>
      <c r="H11" s="214">
        <f>Enter!J7</f>
        <v>0</v>
      </c>
      <c r="I11" s="221">
        <f>Enter!K7</f>
        <v>0</v>
      </c>
      <c r="J11" s="218">
        <f>Enter!L7</f>
        <v>101.68</v>
      </c>
      <c r="K11" s="161">
        <f t="shared" si="13"/>
        <v>4.7500586515454503E-2</v>
      </c>
      <c r="L11" s="161">
        <f t="shared" si="14"/>
        <v>4.8594360187443369E-2</v>
      </c>
      <c r="M11" s="161">
        <f t="shared" si="15"/>
        <v>4.9173878835562547E-2</v>
      </c>
      <c r="N11" s="161">
        <f>IF(A11=0,0,IF(K11=0,L11*Enter!G$27,K11*Enter!G$27))</f>
        <v>7.7995963058376291E-2</v>
      </c>
      <c r="R11" s="55" t="b">
        <f t="shared" si="20"/>
        <v>0</v>
      </c>
      <c r="S11" s="68">
        <f t="shared" si="16"/>
        <v>43876</v>
      </c>
      <c r="T11" s="69">
        <f t="shared" si="17"/>
        <v>20000</v>
      </c>
      <c r="U11" s="56">
        <v>5</v>
      </c>
      <c r="V11" s="66">
        <f t="shared" si="0"/>
        <v>10000</v>
      </c>
      <c r="W11" s="61"/>
      <c r="X11" s="62">
        <f>Volatility!AS11/Volatility!AS$29</f>
        <v>0.10088933031829551</v>
      </c>
      <c r="Y11" s="67"/>
      <c r="Z11" s="96">
        <f t="shared" si="18"/>
        <v>43876</v>
      </c>
      <c r="AA11" s="56">
        <f>DAYS360(Enter!C7,Z11)</f>
        <v>6565</v>
      </c>
      <c r="AB11" s="85">
        <f t="shared" si="1"/>
        <v>6565</v>
      </c>
      <c r="AC11" s="56">
        <f t="shared" si="2"/>
        <v>662.3384535396101</v>
      </c>
      <c r="AD11" s="62">
        <f t="shared" si="3"/>
        <v>4.7923023632704632E-3</v>
      </c>
      <c r="AE11" s="86">
        <f t="shared" si="4"/>
        <v>4.7500586515454503E-2</v>
      </c>
      <c r="AF11" s="86">
        <f t="shared" si="5"/>
        <v>4.7923023632704632E-3</v>
      </c>
      <c r="AG11" s="55">
        <f t="shared" si="6"/>
        <v>0.05</v>
      </c>
      <c r="AH11" s="87">
        <f t="shared" si="7"/>
        <v>4.9173878835562547E-2</v>
      </c>
      <c r="AI11" s="62">
        <f t="shared" si="8"/>
        <v>20336</v>
      </c>
      <c r="AJ11" s="56"/>
      <c r="AK11" s="56"/>
      <c r="AL11" s="56"/>
      <c r="AM11" s="88">
        <f t="shared" si="9"/>
        <v>203360</v>
      </c>
      <c r="AN11" s="56"/>
      <c r="AO11" s="56"/>
      <c r="AP11" s="88">
        <f t="shared" si="10"/>
        <v>25</v>
      </c>
      <c r="AQ11" s="89">
        <f>DAYS360(Enter!C7,E11)/180</f>
        <v>36.472222222222221</v>
      </c>
      <c r="AR11" s="89">
        <f t="shared" si="11"/>
        <v>0.47222222222222143</v>
      </c>
      <c r="AS11" s="97">
        <f t="shared" si="19"/>
        <v>13.194444444444464</v>
      </c>
      <c r="AT11" s="91">
        <f>IF(DAYS360(Enter!B7,Enter!C7)&lt;180,0,AS11*A11)</f>
        <v>0</v>
      </c>
      <c r="AU11" s="69">
        <f>IF((DAYS360(Enter!B7,Enter!C7))&lt;180,(DAYS360(Enter!B7,Enter!C7))/180*AP11*A11,0)</f>
        <v>138.88888888888889</v>
      </c>
      <c r="AV11" s="89"/>
      <c r="AW11" s="89"/>
      <c r="AX11" s="56"/>
      <c r="AY11" s="62">
        <f t="shared" si="12"/>
        <v>5.0444665159147762E-3</v>
      </c>
      <c r="AZ11" s="56"/>
      <c r="BA11" s="56"/>
      <c r="BB11" s="56"/>
      <c r="BC11" s="92">
        <f>IF(A11=0,0,IF(J11=100,D11,YIELD(Enter!C7,E11,D11,J11,100,2,0)))</f>
        <v>4.8594360187443369E-2</v>
      </c>
      <c r="BD11" s="94">
        <f>IF(A11=0,100,IF(F11=0,100,YIELD(Enter!C7,F11,D11,J11,G11,2,0)))</f>
        <v>4.7500586515454503E-2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4.7500586515454503E-2</v>
      </c>
      <c r="BH11" s="95">
        <f t="shared" ref="BH11:BH28" si="22">IF(R11=TRUE,F11,IF(J11=100,E11,IF(MIN(BC11:BE11)=BC11,E11,IF(MIN(BC11:BE11)=BD11,F11,H11))))</f>
        <v>40224</v>
      </c>
      <c r="BI11" s="75"/>
    </row>
    <row r="12" spans="1:61" ht="15.75" x14ac:dyDescent="0.25">
      <c r="A12" s="222">
        <f>Enter!A8</f>
        <v>200</v>
      </c>
      <c r="B12" s="215" t="str">
        <f>Enter!D8</f>
        <v>AAA/AAA</v>
      </c>
      <c r="C12" s="260" t="str">
        <f>Enter!E8</f>
        <v>N.HARRIS MONT CCD</v>
      </c>
      <c r="D12" s="216">
        <f>Enter!F8</f>
        <v>0.05</v>
      </c>
      <c r="E12" s="214">
        <f>Enter!G8</f>
        <v>44242</v>
      </c>
      <c r="F12" s="214">
        <f>Enter!H8</f>
        <v>40224</v>
      </c>
      <c r="G12" s="220">
        <f>Enter!I8</f>
        <v>100</v>
      </c>
      <c r="H12" s="214">
        <f>Enter!J8</f>
        <v>0</v>
      </c>
      <c r="I12" s="221">
        <f>Enter!K8</f>
        <v>0</v>
      </c>
      <c r="J12" s="218">
        <f>Enter!L8</f>
        <v>101.002</v>
      </c>
      <c r="K12" s="161">
        <f t="shared" si="13"/>
        <v>4.8500299553935262E-2</v>
      </c>
      <c r="L12" s="161">
        <f t="shared" si="14"/>
        <v>4.9182622476135932E-2</v>
      </c>
      <c r="M12" s="161">
        <f t="shared" si="15"/>
        <v>4.9503970218411526E-2</v>
      </c>
      <c r="N12" s="161">
        <f>IF(A12=0,0,IF(K12=0,L12*Enter!G$27,K12*Enter!G$27))</f>
        <v>7.9637491867561694E-2</v>
      </c>
      <c r="R12" s="55" t="b">
        <f t="shared" si="20"/>
        <v>0</v>
      </c>
      <c r="S12" s="68">
        <f t="shared" si="16"/>
        <v>44242</v>
      </c>
      <c r="T12" s="69">
        <f t="shared" si="17"/>
        <v>20000</v>
      </c>
      <c r="U12" s="56">
        <v>6</v>
      </c>
      <c r="V12" s="66">
        <f t="shared" si="0"/>
        <v>10000</v>
      </c>
      <c r="W12" s="61"/>
      <c r="X12" s="62">
        <f>Volatility!AS12/Volatility!AS$29</f>
        <v>0.10021660248631474</v>
      </c>
      <c r="Y12" s="67"/>
      <c r="Z12" s="96">
        <f t="shared" si="18"/>
        <v>44242</v>
      </c>
      <c r="AA12" s="56">
        <f>DAYS360(Enter!C8,Z12)</f>
        <v>6929</v>
      </c>
      <c r="AB12" s="85">
        <f t="shared" si="1"/>
        <v>6929</v>
      </c>
      <c r="AC12" s="56">
        <f t="shared" si="2"/>
        <v>694.40083862767483</v>
      </c>
      <c r="AD12" s="62">
        <f t="shared" si="3"/>
        <v>4.8605352408639182E-3</v>
      </c>
      <c r="AE12" s="86">
        <f t="shared" si="4"/>
        <v>4.8500299553935262E-2</v>
      </c>
      <c r="AF12" s="86">
        <f t="shared" si="5"/>
        <v>4.8605352408639182E-3</v>
      </c>
      <c r="AG12" s="55">
        <f t="shared" si="6"/>
        <v>0.05</v>
      </c>
      <c r="AH12" s="87">
        <f t="shared" si="7"/>
        <v>4.9503970218411526E-2</v>
      </c>
      <c r="AI12" s="62">
        <f t="shared" si="8"/>
        <v>20200.399999999998</v>
      </c>
      <c r="AJ12" s="56"/>
      <c r="AK12" s="56"/>
      <c r="AL12" s="56"/>
      <c r="AM12" s="88">
        <f t="shared" si="9"/>
        <v>202004</v>
      </c>
      <c r="AN12" s="56"/>
      <c r="AO12" s="56"/>
      <c r="AP12" s="88">
        <f t="shared" si="10"/>
        <v>25</v>
      </c>
      <c r="AQ12" s="89">
        <f>DAYS360(Enter!C8,E12)/180</f>
        <v>38.494444444444447</v>
      </c>
      <c r="AR12" s="89">
        <f t="shared" si="11"/>
        <v>0.49444444444444713</v>
      </c>
      <c r="AS12" s="97">
        <f t="shared" si="19"/>
        <v>12.638888888888822</v>
      </c>
      <c r="AT12" s="91">
        <f>IF(DAYS360(Enter!B8,Enter!C8)&lt;180,0,AS12*A12)</f>
        <v>2527.7777777777642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5.0108301243157374E-3</v>
      </c>
      <c r="AZ12" s="56"/>
      <c r="BA12" s="56"/>
      <c r="BB12" s="56"/>
      <c r="BC12" s="92">
        <f>IF(A12=0,0,IF(J12=100,D12,YIELD(Enter!C8,E12,D12,J12,100,2,0)))</f>
        <v>4.9182622476135932E-2</v>
      </c>
      <c r="BD12" s="94">
        <f>IF(A12=0,100,IF(F12=0,100,YIELD(Enter!C8,F12,D12,J12,G12,2,0)))</f>
        <v>4.8500299553935262E-2</v>
      </c>
      <c r="BE12" s="94">
        <f>IF(A12=0,1000,IF(H12=0,1000,YIELD(Enter!C8,H12,D12,J12,100,2,0)))</f>
        <v>1000</v>
      </c>
      <c r="BF12" s="94"/>
      <c r="BG12" s="87">
        <f t="shared" si="21"/>
        <v>4.8500299553935262E-2</v>
      </c>
      <c r="BH12" s="95">
        <f t="shared" si="22"/>
        <v>40224</v>
      </c>
      <c r="BI12" s="75"/>
    </row>
    <row r="13" spans="1:61" ht="15.75" x14ac:dyDescent="0.25">
      <c r="A13" s="222">
        <f>Enter!A9</f>
        <v>200</v>
      </c>
      <c r="B13" s="215" t="str">
        <f>Enter!D9</f>
        <v>AAA/AAA</v>
      </c>
      <c r="C13" s="260" t="str">
        <f>Enter!E9</f>
        <v>PHILADELPHIA PA SCH</v>
      </c>
      <c r="D13" s="216">
        <f>Enter!F9</f>
        <v>4.4999999999999998E-2</v>
      </c>
      <c r="E13" s="214">
        <f>Enter!G9</f>
        <v>45017</v>
      </c>
      <c r="F13" s="214">
        <f>Enter!H9</f>
        <v>39904</v>
      </c>
      <c r="G13" s="220">
        <f>Enter!I9</f>
        <v>100</v>
      </c>
      <c r="H13" s="214">
        <f>Enter!J9</f>
        <v>0</v>
      </c>
      <c r="I13" s="221">
        <f>Enter!K9</f>
        <v>0</v>
      </c>
      <c r="J13" s="218">
        <f>Enter!L9</f>
        <v>96.012</v>
      </c>
      <c r="K13" s="161">
        <f t="shared" si="13"/>
        <v>0</v>
      </c>
      <c r="L13" s="161">
        <f t="shared" si="14"/>
        <v>4.800043130257959E-2</v>
      </c>
      <c r="M13" s="161">
        <f t="shared" si="15"/>
        <v>4.6869141357330335E-2</v>
      </c>
      <c r="N13" s="161">
        <f>IF(A13=0,0,IF(K13=0,L13*Enter!G$27,K13*Enter!G$27))</f>
        <v>7.8816708198835683E-2</v>
      </c>
      <c r="R13" s="55" t="b">
        <f t="shared" si="20"/>
        <v>0</v>
      </c>
      <c r="S13" s="68">
        <f t="shared" si="16"/>
        <v>45017</v>
      </c>
      <c r="T13" s="69">
        <f t="shared" si="17"/>
        <v>20000</v>
      </c>
      <c r="U13" s="56">
        <v>7</v>
      </c>
      <c r="V13" s="66">
        <f t="shared" si="0"/>
        <v>9000</v>
      </c>
      <c r="W13" s="61"/>
      <c r="X13" s="62">
        <f>Volatility!AS13/Volatility!AS$29</f>
        <v>9.5265405020851582E-2</v>
      </c>
      <c r="Y13" s="67"/>
      <c r="Z13" s="96">
        <f t="shared" si="18"/>
        <v>45017</v>
      </c>
      <c r="AA13" s="56">
        <f>DAYS360(Enter!C9,Z13)</f>
        <v>7695</v>
      </c>
      <c r="AB13" s="85">
        <f t="shared" si="1"/>
        <v>7695</v>
      </c>
      <c r="AC13" s="56">
        <f t="shared" si="2"/>
        <v>733.06729163545288</v>
      </c>
      <c r="AD13" s="62">
        <f t="shared" si="3"/>
        <v>4.5727805292158068E-3</v>
      </c>
      <c r="AE13" s="86">
        <f t="shared" si="4"/>
        <v>4.800043130257959E-2</v>
      </c>
      <c r="AF13" s="86">
        <f t="shared" si="5"/>
        <v>4.5727805292158068E-3</v>
      </c>
      <c r="AG13" s="55">
        <f t="shared" si="6"/>
        <v>4.4999999999999998E-2</v>
      </c>
      <c r="AH13" s="87">
        <f t="shared" si="7"/>
        <v>4.6869141357330335E-2</v>
      </c>
      <c r="AI13" s="62">
        <f t="shared" si="8"/>
        <v>19202.400000000001</v>
      </c>
      <c r="AJ13" s="56"/>
      <c r="AK13" s="56"/>
      <c r="AL13" s="56"/>
      <c r="AM13" s="88">
        <f t="shared" si="9"/>
        <v>192024</v>
      </c>
      <c r="AN13" s="56"/>
      <c r="AO13" s="56"/>
      <c r="AP13" s="88">
        <f t="shared" si="10"/>
        <v>22.5</v>
      </c>
      <c r="AQ13" s="89">
        <f>DAYS360(Enter!C9,E13)/180</f>
        <v>42.75</v>
      </c>
      <c r="AR13" s="89">
        <f t="shared" si="11"/>
        <v>0.75</v>
      </c>
      <c r="AS13" s="97">
        <f t="shared" si="19"/>
        <v>5.625</v>
      </c>
      <c r="AT13" s="91">
        <f>IF(DAYS360(Enter!B9,Enter!C9)&lt;180,0,AS13*A13)</f>
        <v>1125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4.2869432259383207E-3</v>
      </c>
      <c r="AZ13" s="56"/>
      <c r="BA13" s="56"/>
      <c r="BB13" s="56"/>
      <c r="BC13" s="92">
        <f>IF(A13=0,0,IF(J13=100,D13,YIELD(Enter!C9,E13,D13,J13,100,2,0)))</f>
        <v>4.800043130257959E-2</v>
      </c>
      <c r="BD13" s="94">
        <f>IF(A13=0,100,IF(F13=0,100,YIELD(Enter!C9,F13,D13,J13,G13,2,0)))</f>
        <v>5.1560333875848061E-2</v>
      </c>
      <c r="BE13" s="94">
        <f>IF(A13=0,1000,IF(H13=0,1000,YIELD(Enter!C9,H13,D13,J13,100,2,0)))</f>
        <v>1000</v>
      </c>
      <c r="BF13" s="94"/>
      <c r="BG13" s="87">
        <f t="shared" si="21"/>
        <v>4.800043130257959E-2</v>
      </c>
      <c r="BH13" s="95">
        <f t="shared" si="22"/>
        <v>45017</v>
      </c>
      <c r="BI13" s="75"/>
    </row>
    <row r="14" spans="1:61" ht="15.75" x14ac:dyDescent="0.25">
      <c r="A14" s="222">
        <f>Enter!A10</f>
        <v>100</v>
      </c>
      <c r="B14" s="215" t="str">
        <f>Enter!D10</f>
        <v>AAA/AAA</v>
      </c>
      <c r="C14" s="260" t="str">
        <f>Enter!E10</f>
        <v>TEXAS TURNPIKE</v>
      </c>
      <c r="D14" s="216">
        <f>Enter!F10</f>
        <v>0.05</v>
      </c>
      <c r="E14" s="214">
        <f>Enter!G10</f>
        <v>45658</v>
      </c>
      <c r="F14" s="214">
        <f>Enter!H10</f>
        <v>38718</v>
      </c>
      <c r="G14" s="220">
        <f>Enter!I10</f>
        <v>102</v>
      </c>
      <c r="H14" s="214">
        <f>Enter!J10</f>
        <v>39448</v>
      </c>
      <c r="I14" s="221">
        <f>Enter!K10</f>
        <v>0</v>
      </c>
      <c r="J14" s="218">
        <f>Enter!L10</f>
        <v>100.517</v>
      </c>
      <c r="K14" s="161">
        <f t="shared" si="13"/>
        <v>4.9001843414157857E-2</v>
      </c>
      <c r="L14" s="161">
        <f t="shared" si="14"/>
        <v>4.961747272547868E-2</v>
      </c>
      <c r="M14" s="161">
        <f t="shared" si="15"/>
        <v>4.9742829571117329E-2</v>
      </c>
      <c r="N14" s="161">
        <f>IF(A14=0,0,IF(K14=0,L14*Enter!G$27,K14*Enter!G$27))</f>
        <v>8.0461026886047199E-2</v>
      </c>
      <c r="R14" s="55" t="b">
        <f t="shared" si="20"/>
        <v>0</v>
      </c>
      <c r="S14" s="68">
        <f t="shared" si="16"/>
        <v>45658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4.9867686937471033E-2</v>
      </c>
      <c r="Y14" s="67"/>
      <c r="Z14" s="96">
        <f t="shared" si="18"/>
        <v>45658</v>
      </c>
      <c r="AA14" s="56">
        <f>DAYS360(Enter!C10,Z14)</f>
        <v>8325</v>
      </c>
      <c r="AB14" s="85">
        <f t="shared" si="1"/>
        <v>8325</v>
      </c>
      <c r="AC14" s="56">
        <f t="shared" si="2"/>
        <v>415.14849375444635</v>
      </c>
      <c r="AD14" s="62">
        <f t="shared" si="3"/>
        <v>2.4436085867362007E-3</v>
      </c>
      <c r="AE14" s="86">
        <f t="shared" si="4"/>
        <v>4.9001843414157857E-2</v>
      </c>
      <c r="AF14" s="86">
        <f t="shared" si="5"/>
        <v>2.4436085867362007E-3</v>
      </c>
      <c r="AG14" s="55">
        <f t="shared" si="6"/>
        <v>0.05</v>
      </c>
      <c r="AH14" s="87">
        <f t="shared" si="7"/>
        <v>4.9742829571117329E-2</v>
      </c>
      <c r="AI14" s="62">
        <f t="shared" si="8"/>
        <v>10051.699999999999</v>
      </c>
      <c r="AJ14" s="56"/>
      <c r="AK14" s="56"/>
      <c r="AL14" s="56"/>
      <c r="AM14" s="88">
        <f t="shared" si="9"/>
        <v>100517</v>
      </c>
      <c r="AN14" s="56"/>
      <c r="AO14" s="56"/>
      <c r="AP14" s="88">
        <f t="shared" si="10"/>
        <v>25</v>
      </c>
      <c r="AQ14" s="89">
        <f>DAYS360(Enter!C10,E14)/180</f>
        <v>46.25</v>
      </c>
      <c r="AR14" s="89">
        <f t="shared" si="11"/>
        <v>0.25</v>
      </c>
      <c r="AS14" s="97">
        <f t="shared" si="19"/>
        <v>18.75</v>
      </c>
      <c r="AT14" s="91">
        <f>IF(DAYS360(Enter!B10,Enter!C10)&lt;180,0,AS14*A14)</f>
        <v>1875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2.493384346873552E-3</v>
      </c>
      <c r="AZ14" s="56"/>
      <c r="BA14" s="56"/>
      <c r="BB14" s="56"/>
      <c r="BC14" s="92">
        <f>IF(A14=0,0,IF(J14=100,D14,YIELD(Enter!C10,E14,D14,J14,100,2,0)))</f>
        <v>4.961747272547868E-2</v>
      </c>
      <c r="BD14" s="94">
        <f>IF(A14=0,100,IF(F14=0,100,YIELD(Enter!C10,F14,D14,J14,G14,2,0)))</f>
        <v>5.2973229263801283E-2</v>
      </c>
      <c r="BE14" s="94">
        <f>IF(A14=0,1000,IF(H14=0,1000,YIELD(Enter!C10,H14,D14,J14,100,2,0)))</f>
        <v>4.9001843414157857E-2</v>
      </c>
      <c r="BF14" s="94"/>
      <c r="BG14" s="87">
        <f t="shared" si="21"/>
        <v>4.9001843414157857E-2</v>
      </c>
      <c r="BH14" s="95">
        <f t="shared" si="22"/>
        <v>39448</v>
      </c>
      <c r="BI14" s="75"/>
    </row>
    <row r="15" spans="1:61" ht="15.75" x14ac:dyDescent="0.25">
      <c r="A15" s="222">
        <f>Enter!A11</f>
        <v>100</v>
      </c>
      <c r="B15" s="215" t="str">
        <f>Enter!D11</f>
        <v>AAA/AAA</v>
      </c>
      <c r="C15" s="260" t="str">
        <f>Enter!E11</f>
        <v>HOUSTON TX CCD</v>
      </c>
      <c r="D15" s="216">
        <f>Enter!F11</f>
        <v>0.05</v>
      </c>
      <c r="E15" s="214">
        <f>Enter!G11</f>
        <v>45762</v>
      </c>
      <c r="F15" s="214">
        <f>Enter!H11</f>
        <v>40648</v>
      </c>
      <c r="G15" s="220">
        <f>Enter!I11</f>
        <v>100</v>
      </c>
      <c r="H15" s="214">
        <f>Enter!J11</f>
        <v>0</v>
      </c>
      <c r="I15" s="221">
        <f>Enter!K11</f>
        <v>0</v>
      </c>
      <c r="J15" s="218">
        <f>Enter!L11</f>
        <v>101.111</v>
      </c>
      <c r="K15" s="161">
        <f t="shared" si="13"/>
        <v>4.8510212358435521E-2</v>
      </c>
      <c r="L15" s="161">
        <f t="shared" si="14"/>
        <v>4.9192554722216585E-2</v>
      </c>
      <c r="M15" s="161">
        <f t="shared" si="15"/>
        <v>4.9450603791872307E-2</v>
      </c>
      <c r="N15" s="161">
        <f>IF(A15=0,0,IF(K15=0,L15*Enter!G$27,K15*Enter!G$27))</f>
        <v>7.9653768692551127E-2</v>
      </c>
      <c r="R15" s="55" t="b">
        <f t="shared" si="20"/>
        <v>0</v>
      </c>
      <c r="S15" s="68">
        <f t="shared" si="16"/>
        <v>45762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5.0162377447940491E-2</v>
      </c>
      <c r="Y15" s="67"/>
      <c r="Z15" s="96">
        <f t="shared" si="18"/>
        <v>45762</v>
      </c>
      <c r="AA15" s="56">
        <f>DAYS360(Enter!C11,Z15)</f>
        <v>8429</v>
      </c>
      <c r="AB15" s="85">
        <f t="shared" si="1"/>
        <v>8429</v>
      </c>
      <c r="AC15" s="56">
        <f t="shared" si="2"/>
        <v>422.81867950869042</v>
      </c>
      <c r="AD15" s="62">
        <f t="shared" si="3"/>
        <v>2.4333875824035902E-3</v>
      </c>
      <c r="AE15" s="86">
        <f t="shared" si="4"/>
        <v>4.8510212358435521E-2</v>
      </c>
      <c r="AF15" s="86">
        <f t="shared" si="5"/>
        <v>2.4333875824035902E-3</v>
      </c>
      <c r="AG15" s="55">
        <f t="shared" si="6"/>
        <v>0.05</v>
      </c>
      <c r="AH15" s="87">
        <f t="shared" si="7"/>
        <v>4.9450603791872307E-2</v>
      </c>
      <c r="AI15" s="62">
        <f t="shared" si="8"/>
        <v>10111.1</v>
      </c>
      <c r="AJ15" s="56"/>
      <c r="AK15" s="56"/>
      <c r="AL15" s="56"/>
      <c r="AM15" s="88">
        <f t="shared" si="9"/>
        <v>101111</v>
      </c>
      <c r="AN15" s="56"/>
      <c r="AO15" s="56"/>
      <c r="AP15" s="88">
        <f t="shared" si="10"/>
        <v>25</v>
      </c>
      <c r="AQ15" s="89">
        <f>DAYS360(Enter!C11,E15)/180</f>
        <v>46.827777777777776</v>
      </c>
      <c r="AR15" s="89">
        <f t="shared" si="11"/>
        <v>0.82777777777777573</v>
      </c>
      <c r="AS15" s="97">
        <f t="shared" si="19"/>
        <v>4.3055555555556069</v>
      </c>
      <c r="AT15" s="91">
        <f>IF(DAYS360(Enter!B11,Enter!C11)&lt;180,0,AS15*A15)</f>
        <v>0</v>
      </c>
      <c r="AU15" s="69">
        <f>IF((DAYS360(Enter!B11,Enter!C11))&lt;180,(DAYS360(Enter!B11,Enter!C11))/180*AP15*A15,0)</f>
        <v>208.33333333333331</v>
      </c>
      <c r="AV15" s="89"/>
      <c r="AW15" s="89"/>
      <c r="AX15" s="56"/>
      <c r="AY15" s="62">
        <f t="shared" si="12"/>
        <v>2.5081188723970246E-3</v>
      </c>
      <c r="AZ15" s="56"/>
      <c r="BA15" s="56"/>
      <c r="BB15" s="56"/>
      <c r="BC15" s="92">
        <f>IF(A15=0,0,IF(J15=100,D15,YIELD(Enter!C11,E15,D15,J15,100,2,0)))</f>
        <v>4.9192554722216585E-2</v>
      </c>
      <c r="BD15" s="94">
        <f>IF(A15=0,100,IF(F15=0,100,YIELD(Enter!C11,F15,D15,J15,G15,2,0)))</f>
        <v>4.8510212358435521E-2</v>
      </c>
      <c r="BE15" s="94">
        <f>IF(A15=0,1000,IF(H15=0,1000,YIELD(Enter!C11,H15,D15,J15,100,2,0)))</f>
        <v>1000</v>
      </c>
      <c r="BF15" s="94"/>
      <c r="BG15" s="87">
        <f t="shared" si="21"/>
        <v>4.8510212358435521E-2</v>
      </c>
      <c r="BH15" s="95">
        <f t="shared" si="22"/>
        <v>40648</v>
      </c>
      <c r="BI15" s="75"/>
    </row>
    <row r="16" spans="1:61" ht="15.75" x14ac:dyDescent="0.25">
      <c r="A16" s="222">
        <f>Enter!A12</f>
        <v>200</v>
      </c>
      <c r="B16" s="215" t="str">
        <f>Enter!D12</f>
        <v>AAA/AAA</v>
      </c>
      <c r="C16" s="260" t="str">
        <f>Enter!E12</f>
        <v>SEATTLE WASH WTR</v>
      </c>
      <c r="D16" s="216">
        <f>Enter!F12</f>
        <v>0.05</v>
      </c>
      <c r="E16" s="214">
        <f>Enter!G12</f>
        <v>46327</v>
      </c>
      <c r="F16" s="214">
        <f>Enter!H12</f>
        <v>40848</v>
      </c>
      <c r="G16" s="220">
        <f>Enter!I12</f>
        <v>100</v>
      </c>
      <c r="H16" s="214">
        <f>Enter!J12</f>
        <v>0</v>
      </c>
      <c r="I16" s="221">
        <f>Enter!K12</f>
        <v>0</v>
      </c>
      <c r="J16" s="218">
        <f>Enter!L12</f>
        <v>100.919</v>
      </c>
      <c r="K16" s="161">
        <f t="shared" si="13"/>
        <v>4.8819066195941202E-2</v>
      </c>
      <c r="L16" s="161">
        <f t="shared" si="14"/>
        <v>4.9353428932541007E-2</v>
      </c>
      <c r="M16" s="161">
        <f t="shared" si="15"/>
        <v>4.9544684350816E-2</v>
      </c>
      <c r="N16" s="161">
        <f>IF(A16=0,0,IF(K16=0,L16*Enter!G$27,K16*Enter!G$27))</f>
        <v>8.0160906693735448E-2</v>
      </c>
      <c r="R16" s="55" t="b">
        <f t="shared" si="20"/>
        <v>0</v>
      </c>
      <c r="S16" s="68">
        <f t="shared" si="16"/>
        <v>46327</v>
      </c>
      <c r="T16" s="69">
        <f t="shared" si="17"/>
        <v>20000</v>
      </c>
      <c r="U16" s="56">
        <v>10</v>
      </c>
      <c r="V16" s="66">
        <f t="shared" si="0"/>
        <v>10000</v>
      </c>
      <c r="W16" s="61"/>
      <c r="X16" s="62">
        <f>Volatility!AS16/Volatility!AS$29</f>
        <v>0.10013424789921387</v>
      </c>
      <c r="Y16" s="67"/>
      <c r="Z16" s="96">
        <f t="shared" si="18"/>
        <v>46327</v>
      </c>
      <c r="AA16" s="56">
        <f>DAYS360(Enter!C12,Z16)</f>
        <v>8981</v>
      </c>
      <c r="AB16" s="85">
        <f t="shared" si="1"/>
        <v>8981</v>
      </c>
      <c r="AC16" s="56">
        <f t="shared" si="2"/>
        <v>899.30568038283968</v>
      </c>
      <c r="AD16" s="62">
        <f t="shared" si="3"/>
        <v>4.8884604766725077E-3</v>
      </c>
      <c r="AE16" s="86">
        <f t="shared" si="4"/>
        <v>4.8819066195941202E-2</v>
      </c>
      <c r="AF16" s="86">
        <f t="shared" si="5"/>
        <v>4.8884604766725077E-3</v>
      </c>
      <c r="AG16" s="55">
        <f t="shared" si="6"/>
        <v>0.05</v>
      </c>
      <c r="AH16" s="87">
        <f t="shared" si="7"/>
        <v>4.9544684350816E-2</v>
      </c>
      <c r="AI16" s="62">
        <f t="shared" si="8"/>
        <v>20183.8</v>
      </c>
      <c r="AJ16" s="56"/>
      <c r="AK16" s="56"/>
      <c r="AL16" s="56"/>
      <c r="AM16" s="88">
        <f t="shared" si="9"/>
        <v>201838</v>
      </c>
      <c r="AN16" s="56"/>
      <c r="AO16" s="56"/>
      <c r="AP16" s="88">
        <f t="shared" si="10"/>
        <v>25</v>
      </c>
      <c r="AQ16" s="89">
        <f>DAYS360(Enter!C12,E16)/180</f>
        <v>49.894444444444446</v>
      </c>
      <c r="AR16" s="89">
        <f t="shared" si="11"/>
        <v>0.89444444444444571</v>
      </c>
      <c r="AS16" s="97">
        <f t="shared" si="19"/>
        <v>2.6388888888888573</v>
      </c>
      <c r="AT16" s="91">
        <f>IF(DAYS360(Enter!B12,Enter!C12)&lt;180,0,AS16*A16)</f>
        <v>0</v>
      </c>
      <c r="AU16" s="69">
        <f>IF((DAYS360(Enter!B12,Enter!C12))&lt;180,(DAYS360(Enter!B12,Enter!C12))/180*AP16*A16,0)</f>
        <v>527.77777777777771</v>
      </c>
      <c r="AV16" s="89"/>
      <c r="AW16" s="89"/>
      <c r="AX16" s="56"/>
      <c r="AY16" s="62">
        <f t="shared" si="12"/>
        <v>5.0067123949606935E-3</v>
      </c>
      <c r="AZ16" s="56"/>
      <c r="BA16" s="56"/>
      <c r="BB16" s="56"/>
      <c r="BC16" s="92">
        <f>IF(A16=0,0,IF(J16=100,D16,YIELD(Enter!C12,E16,D16,J16,100,2,0)))</f>
        <v>4.9353428932541007E-2</v>
      </c>
      <c r="BD16" s="94">
        <f>IF(A16=0,100,IF(F16=0,100,YIELD(Enter!C12,F16,D16,J16,G16,2,0)))</f>
        <v>4.8819066195941202E-2</v>
      </c>
      <c r="BE16" s="94">
        <f>IF(A16=0,1000,IF(H16=0,1000,YIELD(Enter!C12,H16,D16,J16,100,2,0)))</f>
        <v>1000</v>
      </c>
      <c r="BF16" s="94"/>
      <c r="BG16" s="87">
        <f t="shared" si="21"/>
        <v>4.8819066195941202E-2</v>
      </c>
      <c r="BH16" s="95">
        <f t="shared" si="22"/>
        <v>40848</v>
      </c>
      <c r="BI16" s="75"/>
    </row>
    <row r="17" spans="1:61" ht="15.75" x14ac:dyDescent="0.25">
      <c r="A17" s="222">
        <f>Enter!A13</f>
        <v>200</v>
      </c>
      <c r="B17" s="215" t="str">
        <f>Enter!D13</f>
        <v>AAA/AAA</v>
      </c>
      <c r="C17" s="260" t="str">
        <f>Enter!E13</f>
        <v>SAN ANTONIO ISD</v>
      </c>
      <c r="D17" s="216">
        <f>Enter!F13</f>
        <v>0.05</v>
      </c>
      <c r="E17" s="214">
        <f>Enter!G13</f>
        <v>46614</v>
      </c>
      <c r="F17" s="214">
        <f>Enter!H13</f>
        <v>39675</v>
      </c>
      <c r="G17" s="220">
        <f>Enter!I13</f>
        <v>100</v>
      </c>
      <c r="H17" s="214">
        <f>Enter!J13</f>
        <v>0</v>
      </c>
      <c r="I17" s="221">
        <f>Enter!K13</f>
        <v>0</v>
      </c>
      <c r="J17" s="218">
        <f>Enter!L13</f>
        <v>100.56100000000001</v>
      </c>
      <c r="K17" s="161">
        <f t="shared" si="13"/>
        <v>4.9000187922203224E-2</v>
      </c>
      <c r="L17" s="161">
        <f t="shared" si="14"/>
        <v>4.9606466107895895E-2</v>
      </c>
      <c r="M17" s="161">
        <f t="shared" si="15"/>
        <v>4.9721064826324317E-2</v>
      </c>
      <c r="N17" s="161">
        <f>IF(A17=0,0,IF(K17=0,L17*Enter!G$27,K17*Enter!G$27))</f>
        <v>8.0458308568257683E-2</v>
      </c>
      <c r="R17" s="55" t="b">
        <f t="shared" si="20"/>
        <v>0</v>
      </c>
      <c r="S17" s="68">
        <f t="shared" si="16"/>
        <v>46614</v>
      </c>
      <c r="T17" s="69">
        <f t="shared" si="17"/>
        <v>20000</v>
      </c>
      <c r="U17" s="56">
        <v>11</v>
      </c>
      <c r="V17" s="66">
        <f t="shared" si="0"/>
        <v>10000</v>
      </c>
      <c r="W17" s="61"/>
      <c r="X17" s="62">
        <f>Volatility!AS17/Volatility!AS$29</f>
        <v>9.9779031728344958E-2</v>
      </c>
      <c r="Y17" s="67"/>
      <c r="Z17" s="96">
        <f t="shared" si="18"/>
        <v>46614</v>
      </c>
      <c r="AA17" s="56">
        <f>DAYS360(Enter!C13,Z17)</f>
        <v>9269</v>
      </c>
      <c r="AB17" s="85">
        <f t="shared" si="1"/>
        <v>9269</v>
      </c>
      <c r="AC17" s="56">
        <f t="shared" si="2"/>
        <v>924.85184509002943</v>
      </c>
      <c r="AD17" s="62">
        <f t="shared" si="3"/>
        <v>4.8891913053843812E-3</v>
      </c>
      <c r="AE17" s="86">
        <f t="shared" si="4"/>
        <v>4.9000187922203224E-2</v>
      </c>
      <c r="AF17" s="86">
        <f t="shared" si="5"/>
        <v>4.8891913053843812E-3</v>
      </c>
      <c r="AG17" s="55">
        <f t="shared" si="6"/>
        <v>0.05</v>
      </c>
      <c r="AH17" s="87">
        <f t="shared" si="7"/>
        <v>4.9721064826324317E-2</v>
      </c>
      <c r="AI17" s="62">
        <f t="shared" si="8"/>
        <v>20112.2</v>
      </c>
      <c r="AJ17" s="56"/>
      <c r="AK17" s="56"/>
      <c r="AL17" s="56"/>
      <c r="AM17" s="88">
        <f t="shared" si="9"/>
        <v>201122.00000000003</v>
      </c>
      <c r="AN17" s="56"/>
      <c r="AO17" s="56"/>
      <c r="AP17" s="88">
        <f t="shared" si="10"/>
        <v>25</v>
      </c>
      <c r="AQ17" s="89">
        <f>DAYS360(Enter!C13,E17)/180</f>
        <v>51.494444444444447</v>
      </c>
      <c r="AR17" s="89">
        <f t="shared" si="11"/>
        <v>0.49444444444444713</v>
      </c>
      <c r="AS17" s="97">
        <f t="shared" si="19"/>
        <v>12.638888888888822</v>
      </c>
      <c r="AT17" s="91">
        <f>IF(DAYS360(Enter!B13,Enter!C13)&lt;180,0,AS17*A17)</f>
        <v>2527.7777777777642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4.9889515864172482E-3</v>
      </c>
      <c r="AZ17" s="56"/>
      <c r="BA17" s="56"/>
      <c r="BB17" s="56"/>
      <c r="BC17" s="92">
        <f>IF(A17=0,0,IF(J17=100,D17,YIELD(Enter!C13,E17,D17,J17,100,2,0)))</f>
        <v>4.9606466107895895E-2</v>
      </c>
      <c r="BD17" s="94">
        <f>IF(A17=0,100,IF(F17=0,100,YIELD(Enter!C13,F17,D17,J17,G17,2,0)))</f>
        <v>4.9000187922203224E-2</v>
      </c>
      <c r="BE17" s="94">
        <f>IF(A17=0,1000,IF(H17=0,1000,YIELD(Enter!C13,H17,D17,J17,100,2,0)))</f>
        <v>1000</v>
      </c>
      <c r="BF17" s="94"/>
      <c r="BG17" s="87">
        <f t="shared" si="21"/>
        <v>4.9000187922203224E-2</v>
      </c>
      <c r="BH17" s="95">
        <f t="shared" si="22"/>
        <v>39675</v>
      </c>
      <c r="BI17" s="75"/>
    </row>
    <row r="18" spans="1:61" ht="15.75" x14ac:dyDescent="0.25">
      <c r="A18" s="222">
        <f>Enter!A14</f>
        <v>0</v>
      </c>
      <c r="B18" s="215">
        <f>Enter!D14</f>
        <v>0</v>
      </c>
      <c r="C18" s="260">
        <f>Enter!E14</f>
        <v>0</v>
      </c>
      <c r="D18" s="216">
        <f>Enter!F14</f>
        <v>0</v>
      </c>
      <c r="E18" s="214">
        <f>Enter!G14</f>
        <v>0</v>
      </c>
      <c r="F18" s="214">
        <f>Enter!H14</f>
        <v>0</v>
      </c>
      <c r="G18" s="220">
        <f>Enter!I14</f>
        <v>0</v>
      </c>
      <c r="H18" s="214">
        <f>Enter!J14</f>
        <v>0</v>
      </c>
      <c r="I18" s="221">
        <f>Enter!K14</f>
        <v>0</v>
      </c>
      <c r="J18" s="218">
        <f>Enter!L14</f>
        <v>0</v>
      </c>
      <c r="K18" s="161">
        <f t="shared" si="13"/>
        <v>0</v>
      </c>
      <c r="L18" s="161">
        <f t="shared" si="14"/>
        <v>0</v>
      </c>
      <c r="M18" s="161">
        <f t="shared" si="15"/>
        <v>0</v>
      </c>
      <c r="N18" s="161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2">
        <f>Enter!A15</f>
        <v>0</v>
      </c>
      <c r="B19" s="215">
        <f>Enter!D15</f>
        <v>0</v>
      </c>
      <c r="C19" s="260">
        <f>Enter!E15</f>
        <v>0</v>
      </c>
      <c r="D19" s="216">
        <f>Enter!F15</f>
        <v>0</v>
      </c>
      <c r="E19" s="214">
        <f>Enter!G15</f>
        <v>0</v>
      </c>
      <c r="F19" s="214">
        <f>Enter!H15</f>
        <v>0</v>
      </c>
      <c r="G19" s="220">
        <f>Enter!I15</f>
        <v>0</v>
      </c>
      <c r="H19" s="214">
        <f>Enter!J15</f>
        <v>0</v>
      </c>
      <c r="I19" s="221">
        <f>Enter!K15</f>
        <v>0</v>
      </c>
      <c r="J19" s="218">
        <f>Enter!L15</f>
        <v>0</v>
      </c>
      <c r="K19" s="161">
        <f t="shared" si="13"/>
        <v>0</v>
      </c>
      <c r="L19" s="161">
        <f t="shared" si="14"/>
        <v>0</v>
      </c>
      <c r="M19" s="161">
        <f t="shared" si="15"/>
        <v>0</v>
      </c>
      <c r="N19" s="161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2">
        <f>Enter!A16</f>
        <v>0</v>
      </c>
      <c r="B20" s="215">
        <f>Enter!D16</f>
        <v>0</v>
      </c>
      <c r="C20" s="260">
        <f>Enter!E16</f>
        <v>0</v>
      </c>
      <c r="D20" s="216">
        <f>Enter!F16</f>
        <v>0</v>
      </c>
      <c r="E20" s="214">
        <f>Enter!G16</f>
        <v>0</v>
      </c>
      <c r="F20" s="214">
        <f>Enter!H16</f>
        <v>0</v>
      </c>
      <c r="G20" s="220">
        <f>Enter!I16</f>
        <v>0</v>
      </c>
      <c r="H20" s="214">
        <f>Enter!J16</f>
        <v>0</v>
      </c>
      <c r="I20" s="221">
        <f>Enter!K16</f>
        <v>0</v>
      </c>
      <c r="J20" s="218">
        <f>Enter!L16</f>
        <v>0</v>
      </c>
      <c r="K20" s="161">
        <f t="shared" si="13"/>
        <v>0</v>
      </c>
      <c r="L20" s="161">
        <f t="shared" si="14"/>
        <v>0</v>
      </c>
      <c r="M20" s="161">
        <f t="shared" si="15"/>
        <v>0</v>
      </c>
      <c r="N20" s="161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2">
        <f>Enter!A17</f>
        <v>0</v>
      </c>
      <c r="B21" s="215">
        <f>Enter!D17</f>
        <v>0</v>
      </c>
      <c r="C21" s="260">
        <f>Enter!E17</f>
        <v>0</v>
      </c>
      <c r="D21" s="216">
        <f>Enter!F17</f>
        <v>0</v>
      </c>
      <c r="E21" s="214">
        <f>Enter!G17</f>
        <v>0</v>
      </c>
      <c r="F21" s="214">
        <f>Enter!H17</f>
        <v>0</v>
      </c>
      <c r="G21" s="220">
        <f>Enter!I17</f>
        <v>0</v>
      </c>
      <c r="H21" s="214">
        <f>Enter!J17</f>
        <v>0</v>
      </c>
      <c r="I21" s="221">
        <f>Enter!K17</f>
        <v>0</v>
      </c>
      <c r="J21" s="218">
        <f>Enter!L17</f>
        <v>0</v>
      </c>
      <c r="K21" s="161">
        <f t="shared" si="13"/>
        <v>0</v>
      </c>
      <c r="L21" s="161">
        <f t="shared" si="14"/>
        <v>0</v>
      </c>
      <c r="M21" s="161">
        <f t="shared" si="15"/>
        <v>0</v>
      </c>
      <c r="N21" s="161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2">
        <f>Enter!A18</f>
        <v>0</v>
      </c>
      <c r="B22" s="215">
        <f>Enter!D18</f>
        <v>0</v>
      </c>
      <c r="C22" s="260">
        <f>Enter!E18</f>
        <v>0</v>
      </c>
      <c r="D22" s="216">
        <f>Enter!F18</f>
        <v>0</v>
      </c>
      <c r="E22" s="214">
        <f>Enter!G18</f>
        <v>0</v>
      </c>
      <c r="F22" s="214">
        <f>Enter!H18</f>
        <v>0</v>
      </c>
      <c r="G22" s="220">
        <f>Enter!I18</f>
        <v>0</v>
      </c>
      <c r="H22" s="214">
        <f>Enter!J18</f>
        <v>0</v>
      </c>
      <c r="I22" s="221">
        <f>Enter!K18</f>
        <v>0</v>
      </c>
      <c r="J22" s="218">
        <f>Enter!L18</f>
        <v>0</v>
      </c>
      <c r="K22" s="161">
        <f t="shared" si="13"/>
        <v>0</v>
      </c>
      <c r="L22" s="161">
        <f t="shared" si="14"/>
        <v>0</v>
      </c>
      <c r="M22" s="161">
        <f t="shared" si="15"/>
        <v>0</v>
      </c>
      <c r="N22" s="161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2">
        <f>Enter!A19</f>
        <v>0</v>
      </c>
      <c r="B23" s="215">
        <f>Enter!D19</f>
        <v>0</v>
      </c>
      <c r="C23" s="260">
        <f>Enter!E19</f>
        <v>0</v>
      </c>
      <c r="D23" s="216">
        <f>Enter!F19</f>
        <v>0</v>
      </c>
      <c r="E23" s="214">
        <f>Enter!G19</f>
        <v>0</v>
      </c>
      <c r="F23" s="214">
        <f>Enter!H19</f>
        <v>0</v>
      </c>
      <c r="G23" s="220">
        <f>Enter!I19</f>
        <v>0</v>
      </c>
      <c r="H23" s="214">
        <f>Enter!J19</f>
        <v>0</v>
      </c>
      <c r="I23" s="221">
        <f>Enter!K19</f>
        <v>0</v>
      </c>
      <c r="J23" s="218">
        <f>Enter!L19</f>
        <v>0</v>
      </c>
      <c r="K23" s="161">
        <f t="shared" si="13"/>
        <v>0</v>
      </c>
      <c r="L23" s="161">
        <f t="shared" si="14"/>
        <v>0</v>
      </c>
      <c r="M23" s="161">
        <f t="shared" si="15"/>
        <v>0</v>
      </c>
      <c r="N23" s="161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2">
        <f>Enter!A20</f>
        <v>0</v>
      </c>
      <c r="B24" s="215">
        <f>Enter!D20</f>
        <v>0</v>
      </c>
      <c r="C24" s="260">
        <f>Enter!E20</f>
        <v>0</v>
      </c>
      <c r="D24" s="216">
        <f>Enter!F20</f>
        <v>0</v>
      </c>
      <c r="E24" s="214">
        <f>Enter!G20</f>
        <v>0</v>
      </c>
      <c r="F24" s="214">
        <f>Enter!H20</f>
        <v>0</v>
      </c>
      <c r="G24" s="220">
        <f>Enter!I20</f>
        <v>0</v>
      </c>
      <c r="H24" s="214">
        <f>Enter!J20</f>
        <v>0</v>
      </c>
      <c r="I24" s="221">
        <f>Enter!K20</f>
        <v>0</v>
      </c>
      <c r="J24" s="218">
        <f>Enter!L20</f>
        <v>0</v>
      </c>
      <c r="K24" s="161">
        <f t="shared" si="13"/>
        <v>0</v>
      </c>
      <c r="L24" s="161">
        <f t="shared" si="14"/>
        <v>0</v>
      </c>
      <c r="M24" s="161">
        <f t="shared" si="15"/>
        <v>0</v>
      </c>
      <c r="N24" s="161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2">
        <f>Enter!A21</f>
        <v>0</v>
      </c>
      <c r="B25" s="215">
        <f>Enter!D21</f>
        <v>0</v>
      </c>
      <c r="C25" s="260">
        <f>Enter!E21</f>
        <v>0</v>
      </c>
      <c r="D25" s="216">
        <f>Enter!F21</f>
        <v>0</v>
      </c>
      <c r="E25" s="214">
        <f>Enter!G21</f>
        <v>0</v>
      </c>
      <c r="F25" s="214">
        <f>Enter!H21</f>
        <v>0</v>
      </c>
      <c r="G25" s="220">
        <f>Enter!I21</f>
        <v>0</v>
      </c>
      <c r="H25" s="214">
        <f>Enter!J21</f>
        <v>0</v>
      </c>
      <c r="I25" s="221">
        <f>Enter!K21</f>
        <v>0</v>
      </c>
      <c r="J25" s="218">
        <f>Enter!L21</f>
        <v>0</v>
      </c>
      <c r="K25" s="161">
        <f t="shared" si="13"/>
        <v>0</v>
      </c>
      <c r="L25" s="161">
        <f t="shared" si="14"/>
        <v>0</v>
      </c>
      <c r="M25" s="161">
        <f t="shared" si="15"/>
        <v>0</v>
      </c>
      <c r="N25" s="161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2">
        <f>Enter!A22</f>
        <v>0</v>
      </c>
      <c r="B26" s="215">
        <f>Enter!D22</f>
        <v>0</v>
      </c>
      <c r="C26" s="260">
        <f>Enter!E22</f>
        <v>0</v>
      </c>
      <c r="D26" s="216">
        <f>Enter!F22</f>
        <v>0</v>
      </c>
      <c r="E26" s="214">
        <f>Enter!G22</f>
        <v>0</v>
      </c>
      <c r="F26" s="214">
        <f>Enter!H22</f>
        <v>0</v>
      </c>
      <c r="G26" s="220">
        <f>Enter!I22</f>
        <v>0</v>
      </c>
      <c r="H26" s="214">
        <f>Enter!J22</f>
        <v>0</v>
      </c>
      <c r="I26" s="221">
        <f>Enter!K22</f>
        <v>0</v>
      </c>
      <c r="J26" s="218">
        <f>Enter!L22</f>
        <v>0</v>
      </c>
      <c r="K26" s="161">
        <f t="shared" si="13"/>
        <v>0</v>
      </c>
      <c r="L26" s="161">
        <f t="shared" si="14"/>
        <v>0</v>
      </c>
      <c r="M26" s="161">
        <f t="shared" si="15"/>
        <v>0</v>
      </c>
      <c r="N26" s="161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2">
        <f>Enter!A23</f>
        <v>0</v>
      </c>
      <c r="B27" s="215">
        <f>Enter!D23</f>
        <v>0</v>
      </c>
      <c r="C27" s="260">
        <f>Enter!E23</f>
        <v>0</v>
      </c>
      <c r="D27" s="216">
        <f>Enter!F23</f>
        <v>0</v>
      </c>
      <c r="E27" s="214">
        <f>Enter!G23</f>
        <v>0</v>
      </c>
      <c r="F27" s="214">
        <f>Enter!H23</f>
        <v>0</v>
      </c>
      <c r="G27" s="220">
        <f>Enter!I23</f>
        <v>0</v>
      </c>
      <c r="H27" s="214">
        <f>Enter!J23</f>
        <v>0</v>
      </c>
      <c r="I27" s="221">
        <f>Enter!K23</f>
        <v>0</v>
      </c>
      <c r="J27" s="218">
        <f>Enter!L23</f>
        <v>0</v>
      </c>
      <c r="K27" s="161">
        <f t="shared" si="13"/>
        <v>0</v>
      </c>
      <c r="L27" s="161">
        <f t="shared" si="14"/>
        <v>0</v>
      </c>
      <c r="M27" s="161">
        <f t="shared" si="15"/>
        <v>0</v>
      </c>
      <c r="N27" s="161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38">
        <f>Enter!A24</f>
        <v>0</v>
      </c>
      <c r="B28" s="239">
        <f>Enter!D24</f>
        <v>0</v>
      </c>
      <c r="C28" s="224">
        <f>Enter!E24</f>
        <v>0</v>
      </c>
      <c r="D28" s="225">
        <f>Enter!F24</f>
        <v>0</v>
      </c>
      <c r="E28" s="223">
        <f>Enter!G24</f>
        <v>0</v>
      </c>
      <c r="F28" s="223">
        <f>Enter!H24</f>
        <v>0</v>
      </c>
      <c r="G28" s="226">
        <f>Enter!I24</f>
        <v>0</v>
      </c>
      <c r="H28" s="223">
        <f>Enter!J24</f>
        <v>0</v>
      </c>
      <c r="I28" s="227">
        <f>Enter!K24</f>
        <v>0</v>
      </c>
      <c r="J28" s="228">
        <f>Enter!L24</f>
        <v>0</v>
      </c>
      <c r="K28" s="163">
        <f t="shared" si="13"/>
        <v>0</v>
      </c>
      <c r="L28" s="163">
        <f t="shared" si="14"/>
        <v>0</v>
      </c>
      <c r="M28" s="163">
        <f t="shared" si="15"/>
        <v>0</v>
      </c>
      <c r="N28" s="163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2000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97450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19.734757216031294</v>
      </c>
      <c r="AD29" s="56">
        <f>SUM(AD7:AD28)</f>
        <v>4.7351871089068236E-2</v>
      </c>
      <c r="AE29" s="56"/>
      <c r="AF29" s="56"/>
      <c r="AG29" s="56"/>
      <c r="AH29" s="56"/>
      <c r="AI29" s="56">
        <f>SUM(AI7:AI28)</f>
        <v>201567.4</v>
      </c>
      <c r="AJ29" s="56">
        <f>AI29/$A$29</f>
        <v>100.7837</v>
      </c>
      <c r="AK29" s="56"/>
      <c r="AL29" s="56"/>
      <c r="AM29" s="91">
        <f>SUM(AM7:AM28)</f>
        <v>2015674</v>
      </c>
      <c r="AN29" s="56"/>
      <c r="AO29" s="56"/>
      <c r="AP29" s="56"/>
      <c r="AQ29" s="56"/>
      <c r="AR29" s="56"/>
      <c r="AS29" s="56"/>
      <c r="AT29" s="91">
        <f>SUM(AT7:AT28)</f>
        <v>8055.5555555555293</v>
      </c>
      <c r="AU29" s="69">
        <f>SUM(AU7:AU28)</f>
        <v>1986.8055555555557</v>
      </c>
      <c r="AV29" s="113" t="s">
        <v>109</v>
      </c>
      <c r="AW29" s="91">
        <f>SUM(AT29:AV29)</f>
        <v>10042.361111111084</v>
      </c>
      <c r="AX29" s="56"/>
      <c r="AY29" s="94">
        <f>SUM(AY7:AY28)</f>
        <v>4.8752100538083036E-2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134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130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129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68" t="s">
        <v>138</v>
      </c>
      <c r="U1" s="36"/>
    </row>
    <row r="2" spans="1:23" ht="15.75" customHeight="1" x14ac:dyDescent="0.25">
      <c r="A2" s="136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7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59" t="s">
        <v>114</v>
      </c>
      <c r="B4" s="360"/>
      <c r="C4" s="353"/>
      <c r="D4" s="353" t="s">
        <v>19</v>
      </c>
      <c r="E4" s="353">
        <v>1</v>
      </c>
      <c r="F4" s="353">
        <v>2</v>
      </c>
      <c r="G4" s="353">
        <v>3</v>
      </c>
      <c r="H4" s="353">
        <v>4</v>
      </c>
      <c r="I4" s="353">
        <v>5</v>
      </c>
      <c r="J4" s="353">
        <v>6</v>
      </c>
      <c r="K4" s="353">
        <v>7</v>
      </c>
      <c r="L4" s="353">
        <v>8</v>
      </c>
      <c r="M4" s="353">
        <v>9</v>
      </c>
      <c r="N4" s="353">
        <v>10</v>
      </c>
      <c r="O4" s="353">
        <v>11</v>
      </c>
      <c r="P4" s="353">
        <v>12</v>
      </c>
      <c r="Q4" s="353"/>
      <c r="U4" s="62" t="s">
        <v>19</v>
      </c>
      <c r="V4" s="56"/>
      <c r="W4" s="67"/>
    </row>
    <row r="5" spans="1:23" s="5" customFormat="1" ht="15.75" x14ac:dyDescent="0.25">
      <c r="A5" s="361" t="s">
        <v>15</v>
      </c>
      <c r="B5" s="361" t="s">
        <v>17</v>
      </c>
      <c r="C5" s="361" t="s">
        <v>18</v>
      </c>
      <c r="D5" s="361" t="s">
        <v>20</v>
      </c>
      <c r="E5" s="361" t="s">
        <v>40</v>
      </c>
      <c r="F5" s="361" t="s">
        <v>41</v>
      </c>
      <c r="G5" s="361" t="s">
        <v>42</v>
      </c>
      <c r="H5" s="361" t="s">
        <v>43</v>
      </c>
      <c r="I5" s="361" t="s">
        <v>44</v>
      </c>
      <c r="J5" s="361" t="s">
        <v>45</v>
      </c>
      <c r="K5" s="361" t="s">
        <v>46</v>
      </c>
      <c r="L5" s="361" t="s">
        <v>47</v>
      </c>
      <c r="M5" s="361" t="s">
        <v>48</v>
      </c>
      <c r="N5" s="361" t="s">
        <v>49</v>
      </c>
      <c r="O5" s="361" t="s">
        <v>50</v>
      </c>
      <c r="P5" s="361" t="s">
        <v>51</v>
      </c>
      <c r="Q5" s="361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5">
        <f>Proposal!A7</f>
        <v>200</v>
      </c>
      <c r="B6" s="146" t="str">
        <f>Proposal!C7</f>
        <v>SPRING TX ISD PSF</v>
      </c>
      <c r="C6" s="253">
        <f>Proposal!D7</f>
        <v>0.05</v>
      </c>
      <c r="D6" s="256">
        <f>IF(Proposal!R7=TRUE,Proposal!F7,Proposal!E7)</f>
        <v>42597</v>
      </c>
      <c r="E6" s="147">
        <f t="shared" ref="E6:J15" si="0">IF(E$4=MONTH($D6),$A6*1000*$C6*0.5,0)+(IF(E$4+6=MONTH($D6),$A6*1000*$C6*0.5,0))</f>
        <v>0</v>
      </c>
      <c r="F6" s="147">
        <f t="shared" si="0"/>
        <v>5000</v>
      </c>
      <c r="G6" s="147">
        <f t="shared" si="0"/>
        <v>0</v>
      </c>
      <c r="H6" s="147">
        <f t="shared" si="0"/>
        <v>0</v>
      </c>
      <c r="I6" s="147">
        <f t="shared" si="0"/>
        <v>0</v>
      </c>
      <c r="J6" s="147">
        <f t="shared" si="0"/>
        <v>0</v>
      </c>
      <c r="K6" s="147">
        <f t="shared" ref="K6:P15" si="1">IF(K$4=MONTH($D6),$A6*1000*$C6*0.5,0)+(IF(K$4-6=MONTH($D6),$A6*1000*$C6*0.5,0))</f>
        <v>0</v>
      </c>
      <c r="L6" s="147">
        <f t="shared" si="1"/>
        <v>5000</v>
      </c>
      <c r="M6" s="147">
        <f t="shared" si="1"/>
        <v>0</v>
      </c>
      <c r="N6" s="147">
        <f t="shared" si="1"/>
        <v>0</v>
      </c>
      <c r="O6" s="147">
        <f t="shared" si="1"/>
        <v>0</v>
      </c>
      <c r="P6" s="147">
        <f t="shared" si="1"/>
        <v>0</v>
      </c>
      <c r="Q6" s="148">
        <f t="shared" ref="Q6:Q18" si="2">SUM(E6:P6)</f>
        <v>10000</v>
      </c>
      <c r="U6" s="62">
        <f t="shared" ref="U6:U27" si="3">YEAR(D6)</f>
        <v>2016</v>
      </c>
      <c r="V6" s="56" t="s">
        <v>40</v>
      </c>
      <c r="W6" s="116">
        <f>Income!E$28</f>
        <v>2500</v>
      </c>
    </row>
    <row r="7" spans="1:23" s="5" customFormat="1" ht="15.75" x14ac:dyDescent="0.25">
      <c r="A7" s="145">
        <f>Proposal!A8</f>
        <v>200</v>
      </c>
      <c r="B7" s="149" t="str">
        <f>Proposal!C8</f>
        <v>PORT HOUSTON</v>
      </c>
      <c r="C7" s="254">
        <f>Proposal!D8</f>
        <v>4.7500000000000001E-2</v>
      </c>
      <c r="D7" s="257">
        <f>IF(Proposal!R8=TRUE,Proposal!F8,Proposal!E8)</f>
        <v>43009</v>
      </c>
      <c r="E7" s="150">
        <f t="shared" si="0"/>
        <v>0</v>
      </c>
      <c r="F7" s="150">
        <f t="shared" si="0"/>
        <v>0</v>
      </c>
      <c r="G7" s="150">
        <f t="shared" si="0"/>
        <v>0</v>
      </c>
      <c r="H7" s="150">
        <f t="shared" si="0"/>
        <v>4750</v>
      </c>
      <c r="I7" s="150">
        <f t="shared" si="0"/>
        <v>0</v>
      </c>
      <c r="J7" s="150">
        <f t="shared" si="0"/>
        <v>0</v>
      </c>
      <c r="K7" s="150">
        <f t="shared" si="1"/>
        <v>0</v>
      </c>
      <c r="L7" s="150">
        <f t="shared" si="1"/>
        <v>0</v>
      </c>
      <c r="M7" s="150">
        <f t="shared" si="1"/>
        <v>0</v>
      </c>
      <c r="N7" s="150">
        <f t="shared" si="1"/>
        <v>4750</v>
      </c>
      <c r="O7" s="150">
        <f t="shared" si="1"/>
        <v>0</v>
      </c>
      <c r="P7" s="150">
        <f t="shared" si="1"/>
        <v>0</v>
      </c>
      <c r="Q7" s="151">
        <f t="shared" si="2"/>
        <v>9500</v>
      </c>
      <c r="U7" s="62">
        <f t="shared" si="3"/>
        <v>2017</v>
      </c>
      <c r="V7" s="56" t="s">
        <v>41</v>
      </c>
      <c r="W7" s="116">
        <f>Income!F$28</f>
        <v>20000</v>
      </c>
    </row>
    <row r="8" spans="1:23" s="5" customFormat="1" ht="15.75" x14ac:dyDescent="0.25">
      <c r="A8" s="145">
        <f>Proposal!A9</f>
        <v>200</v>
      </c>
      <c r="B8" s="149" t="str">
        <f>Proposal!C9</f>
        <v>MONROE WISC SCH</v>
      </c>
      <c r="C8" s="254">
        <f>Proposal!D9</f>
        <v>4.8750000000000002E-2</v>
      </c>
      <c r="D8" s="257">
        <f>IF(Proposal!R9=TRUE,Proposal!F9,Proposal!E9)</f>
        <v>43191</v>
      </c>
      <c r="E8" s="150">
        <f t="shared" si="0"/>
        <v>0</v>
      </c>
      <c r="F8" s="150">
        <f t="shared" si="0"/>
        <v>0</v>
      </c>
      <c r="G8" s="150">
        <f t="shared" si="0"/>
        <v>0</v>
      </c>
      <c r="H8" s="150">
        <f t="shared" si="0"/>
        <v>4875</v>
      </c>
      <c r="I8" s="150">
        <f t="shared" si="0"/>
        <v>0</v>
      </c>
      <c r="J8" s="150">
        <f t="shared" si="0"/>
        <v>0</v>
      </c>
      <c r="K8" s="150">
        <f t="shared" si="1"/>
        <v>0</v>
      </c>
      <c r="L8" s="150">
        <f t="shared" si="1"/>
        <v>0</v>
      </c>
      <c r="M8" s="150">
        <f t="shared" si="1"/>
        <v>0</v>
      </c>
      <c r="N8" s="150">
        <f t="shared" si="1"/>
        <v>4875</v>
      </c>
      <c r="O8" s="150">
        <f t="shared" si="1"/>
        <v>0</v>
      </c>
      <c r="P8" s="150">
        <f t="shared" si="1"/>
        <v>0</v>
      </c>
      <c r="Q8" s="151">
        <f t="shared" si="2"/>
        <v>9750</v>
      </c>
      <c r="U8" s="62">
        <f t="shared" si="3"/>
        <v>2018</v>
      </c>
      <c r="V8" s="56" t="s">
        <v>42</v>
      </c>
      <c r="W8" s="116">
        <f>Income!G$28</f>
        <v>0</v>
      </c>
    </row>
    <row r="9" spans="1:23" s="5" customFormat="1" ht="15.75" x14ac:dyDescent="0.25">
      <c r="A9" s="145">
        <f>Proposal!A10</f>
        <v>200</v>
      </c>
      <c r="B9" s="149" t="str">
        <f>Proposal!C10</f>
        <v>TROY MICH</v>
      </c>
      <c r="C9" s="254">
        <f>Proposal!D10</f>
        <v>4.5999999999999999E-2</v>
      </c>
      <c r="D9" s="257">
        <f>IF(Proposal!R10=TRUE,Proposal!F10,Proposal!E10)</f>
        <v>43739</v>
      </c>
      <c r="E9" s="150">
        <f t="shared" si="0"/>
        <v>0</v>
      </c>
      <c r="F9" s="150">
        <f t="shared" si="0"/>
        <v>0</v>
      </c>
      <c r="G9" s="150">
        <f t="shared" si="0"/>
        <v>0</v>
      </c>
      <c r="H9" s="150">
        <f t="shared" si="0"/>
        <v>4600</v>
      </c>
      <c r="I9" s="150">
        <f t="shared" si="0"/>
        <v>0</v>
      </c>
      <c r="J9" s="150">
        <f t="shared" si="0"/>
        <v>0</v>
      </c>
      <c r="K9" s="150">
        <f t="shared" si="1"/>
        <v>0</v>
      </c>
      <c r="L9" s="150">
        <f t="shared" si="1"/>
        <v>0</v>
      </c>
      <c r="M9" s="150">
        <f t="shared" si="1"/>
        <v>0</v>
      </c>
      <c r="N9" s="150">
        <f t="shared" si="1"/>
        <v>4600</v>
      </c>
      <c r="O9" s="150">
        <f t="shared" si="1"/>
        <v>0</v>
      </c>
      <c r="P9" s="150">
        <f t="shared" si="1"/>
        <v>0</v>
      </c>
      <c r="Q9" s="151">
        <f t="shared" si="2"/>
        <v>9200</v>
      </c>
      <c r="U9" s="62">
        <f t="shared" si="3"/>
        <v>2019</v>
      </c>
      <c r="V9" s="56" t="s">
        <v>43</v>
      </c>
      <c r="W9" s="116">
        <f>Income!H$28</f>
        <v>21225</v>
      </c>
    </row>
    <row r="10" spans="1:23" s="5" customFormat="1" ht="15.75" x14ac:dyDescent="0.25">
      <c r="A10" s="145">
        <f>Proposal!A11</f>
        <v>200</v>
      </c>
      <c r="B10" s="149" t="str">
        <f>Proposal!C11</f>
        <v>PASADENA TX COMB</v>
      </c>
      <c r="C10" s="254">
        <f>Proposal!D11</f>
        <v>0.05</v>
      </c>
      <c r="D10" s="257">
        <f>IF(Proposal!R11=TRUE,Proposal!F11,Proposal!E11)</f>
        <v>43876</v>
      </c>
      <c r="E10" s="150">
        <f t="shared" si="0"/>
        <v>0</v>
      </c>
      <c r="F10" s="150">
        <f t="shared" si="0"/>
        <v>5000</v>
      </c>
      <c r="G10" s="150">
        <f t="shared" si="0"/>
        <v>0</v>
      </c>
      <c r="H10" s="150">
        <f t="shared" si="0"/>
        <v>0</v>
      </c>
      <c r="I10" s="150">
        <f t="shared" si="0"/>
        <v>0</v>
      </c>
      <c r="J10" s="150">
        <f t="shared" si="0"/>
        <v>0</v>
      </c>
      <c r="K10" s="150">
        <f t="shared" si="1"/>
        <v>0</v>
      </c>
      <c r="L10" s="150">
        <f t="shared" si="1"/>
        <v>5000</v>
      </c>
      <c r="M10" s="150">
        <f t="shared" si="1"/>
        <v>0</v>
      </c>
      <c r="N10" s="150">
        <f t="shared" si="1"/>
        <v>0</v>
      </c>
      <c r="O10" s="150">
        <f t="shared" si="1"/>
        <v>0</v>
      </c>
      <c r="P10" s="150">
        <f t="shared" si="1"/>
        <v>0</v>
      </c>
      <c r="Q10" s="151">
        <f t="shared" si="2"/>
        <v>10000</v>
      </c>
      <c r="U10" s="62">
        <f t="shared" si="3"/>
        <v>2020</v>
      </c>
      <c r="V10" s="56" t="s">
        <v>44</v>
      </c>
      <c r="W10" s="116">
        <f>Income!I$28</f>
        <v>5000</v>
      </c>
    </row>
    <row r="11" spans="1:23" s="5" customFormat="1" ht="15.75" x14ac:dyDescent="0.25">
      <c r="A11" s="145">
        <f>Proposal!A12</f>
        <v>200</v>
      </c>
      <c r="B11" s="149" t="str">
        <f>Proposal!C12</f>
        <v>N.HARRIS MONT CCD</v>
      </c>
      <c r="C11" s="254">
        <f>Proposal!D12</f>
        <v>0.05</v>
      </c>
      <c r="D11" s="257">
        <f>IF(Proposal!R12=TRUE,Proposal!F12,Proposal!E12)</f>
        <v>44242</v>
      </c>
      <c r="E11" s="150">
        <f t="shared" si="0"/>
        <v>0</v>
      </c>
      <c r="F11" s="150">
        <f t="shared" si="0"/>
        <v>5000</v>
      </c>
      <c r="G11" s="150">
        <f t="shared" si="0"/>
        <v>0</v>
      </c>
      <c r="H11" s="150">
        <f t="shared" si="0"/>
        <v>0</v>
      </c>
      <c r="I11" s="150">
        <f t="shared" si="0"/>
        <v>0</v>
      </c>
      <c r="J11" s="150">
        <f t="shared" si="0"/>
        <v>0</v>
      </c>
      <c r="K11" s="150">
        <f t="shared" si="1"/>
        <v>0</v>
      </c>
      <c r="L11" s="150">
        <f t="shared" si="1"/>
        <v>5000</v>
      </c>
      <c r="M11" s="150">
        <f t="shared" si="1"/>
        <v>0</v>
      </c>
      <c r="N11" s="150">
        <f t="shared" si="1"/>
        <v>0</v>
      </c>
      <c r="O11" s="150">
        <f t="shared" si="1"/>
        <v>0</v>
      </c>
      <c r="P11" s="150">
        <f t="shared" si="1"/>
        <v>0</v>
      </c>
      <c r="Q11" s="151">
        <f t="shared" si="2"/>
        <v>10000</v>
      </c>
      <c r="U11" s="62">
        <f t="shared" si="3"/>
        <v>2021</v>
      </c>
      <c r="V11" s="56" t="s">
        <v>45</v>
      </c>
      <c r="W11" s="116">
        <f>Income!J$28</f>
        <v>0</v>
      </c>
    </row>
    <row r="12" spans="1:23" s="5" customFormat="1" ht="15.75" x14ac:dyDescent="0.25">
      <c r="A12" s="145">
        <f>Proposal!A13</f>
        <v>200</v>
      </c>
      <c r="B12" s="149" t="str">
        <f>Proposal!C13</f>
        <v>PHILADELPHIA PA SCH</v>
      </c>
      <c r="C12" s="254">
        <f>Proposal!D13</f>
        <v>4.4999999999999998E-2</v>
      </c>
      <c r="D12" s="257">
        <f>IF(Proposal!R13=TRUE,Proposal!F13,Proposal!E13)</f>
        <v>45017</v>
      </c>
      <c r="E12" s="150">
        <f t="shared" si="0"/>
        <v>0</v>
      </c>
      <c r="F12" s="150">
        <f t="shared" si="0"/>
        <v>0</v>
      </c>
      <c r="G12" s="150">
        <f t="shared" si="0"/>
        <v>0</v>
      </c>
      <c r="H12" s="150">
        <f t="shared" si="0"/>
        <v>4500</v>
      </c>
      <c r="I12" s="150">
        <f t="shared" si="0"/>
        <v>0</v>
      </c>
      <c r="J12" s="150">
        <f t="shared" si="0"/>
        <v>0</v>
      </c>
      <c r="K12" s="150">
        <f t="shared" si="1"/>
        <v>0</v>
      </c>
      <c r="L12" s="150">
        <f t="shared" si="1"/>
        <v>0</v>
      </c>
      <c r="M12" s="150">
        <f t="shared" si="1"/>
        <v>0</v>
      </c>
      <c r="N12" s="150">
        <f t="shared" si="1"/>
        <v>4500</v>
      </c>
      <c r="O12" s="150">
        <f t="shared" si="1"/>
        <v>0</v>
      </c>
      <c r="P12" s="150">
        <f t="shared" si="1"/>
        <v>0</v>
      </c>
      <c r="Q12" s="151">
        <f t="shared" si="2"/>
        <v>9000</v>
      </c>
      <c r="U12" s="62">
        <f t="shared" si="3"/>
        <v>2023</v>
      </c>
      <c r="V12" s="56" t="s">
        <v>46</v>
      </c>
      <c r="W12" s="116">
        <f>Income!K$28</f>
        <v>2500</v>
      </c>
    </row>
    <row r="13" spans="1:23" s="5" customFormat="1" ht="15.75" x14ac:dyDescent="0.25">
      <c r="A13" s="145">
        <f>Proposal!A14</f>
        <v>100</v>
      </c>
      <c r="B13" s="149" t="str">
        <f>Proposal!C14</f>
        <v>TEXAS TURNPIKE</v>
      </c>
      <c r="C13" s="254">
        <f>Proposal!D14</f>
        <v>0.05</v>
      </c>
      <c r="D13" s="257">
        <f>IF(Proposal!R14=TRUE,Proposal!F14,Proposal!E14)</f>
        <v>45658</v>
      </c>
      <c r="E13" s="150">
        <f t="shared" si="0"/>
        <v>2500</v>
      </c>
      <c r="F13" s="150">
        <f t="shared" si="0"/>
        <v>0</v>
      </c>
      <c r="G13" s="150">
        <f t="shared" si="0"/>
        <v>0</v>
      </c>
      <c r="H13" s="150">
        <f t="shared" si="0"/>
        <v>0</v>
      </c>
      <c r="I13" s="150">
        <f t="shared" si="0"/>
        <v>0</v>
      </c>
      <c r="J13" s="150">
        <f t="shared" si="0"/>
        <v>0</v>
      </c>
      <c r="K13" s="150">
        <f t="shared" si="1"/>
        <v>2500</v>
      </c>
      <c r="L13" s="150">
        <f t="shared" si="1"/>
        <v>0</v>
      </c>
      <c r="M13" s="150">
        <f t="shared" si="1"/>
        <v>0</v>
      </c>
      <c r="N13" s="150">
        <f t="shared" si="1"/>
        <v>0</v>
      </c>
      <c r="O13" s="150">
        <f t="shared" si="1"/>
        <v>0</v>
      </c>
      <c r="P13" s="150">
        <f t="shared" si="1"/>
        <v>0</v>
      </c>
      <c r="Q13" s="151">
        <f t="shared" si="2"/>
        <v>5000</v>
      </c>
      <c r="U13" s="62">
        <f t="shared" si="3"/>
        <v>2025</v>
      </c>
      <c r="V13" s="56" t="s">
        <v>47</v>
      </c>
      <c r="W13" s="116">
        <f>Income!L$28</f>
        <v>20000</v>
      </c>
    </row>
    <row r="14" spans="1:23" s="5" customFormat="1" ht="15.75" x14ac:dyDescent="0.25">
      <c r="A14" s="145">
        <f>Proposal!A15</f>
        <v>100</v>
      </c>
      <c r="B14" s="149" t="str">
        <f>Proposal!C15</f>
        <v>HOUSTON TX CCD</v>
      </c>
      <c r="C14" s="254">
        <f>Proposal!D15</f>
        <v>0.05</v>
      </c>
      <c r="D14" s="257">
        <f>IF(Proposal!R15=TRUE,Proposal!F15,Proposal!E15)</f>
        <v>45762</v>
      </c>
      <c r="E14" s="150">
        <f t="shared" si="0"/>
        <v>0</v>
      </c>
      <c r="F14" s="150">
        <f t="shared" si="0"/>
        <v>0</v>
      </c>
      <c r="G14" s="150">
        <f t="shared" si="0"/>
        <v>0</v>
      </c>
      <c r="H14" s="150">
        <f t="shared" si="0"/>
        <v>2500</v>
      </c>
      <c r="I14" s="150">
        <f t="shared" si="0"/>
        <v>0</v>
      </c>
      <c r="J14" s="150">
        <f t="shared" si="0"/>
        <v>0</v>
      </c>
      <c r="K14" s="150">
        <f t="shared" si="1"/>
        <v>0</v>
      </c>
      <c r="L14" s="150">
        <f t="shared" si="1"/>
        <v>0</v>
      </c>
      <c r="M14" s="150">
        <f t="shared" si="1"/>
        <v>0</v>
      </c>
      <c r="N14" s="150">
        <f t="shared" si="1"/>
        <v>2500</v>
      </c>
      <c r="O14" s="150">
        <f t="shared" si="1"/>
        <v>0</v>
      </c>
      <c r="P14" s="150">
        <f t="shared" si="1"/>
        <v>0</v>
      </c>
      <c r="Q14" s="151">
        <f t="shared" si="2"/>
        <v>5000</v>
      </c>
      <c r="U14" s="62">
        <f t="shared" si="3"/>
        <v>2025</v>
      </c>
      <c r="V14" s="56" t="s">
        <v>48</v>
      </c>
      <c r="W14" s="116">
        <f>Income!M$28</f>
        <v>0</v>
      </c>
    </row>
    <row r="15" spans="1:23" s="5" customFormat="1" ht="15.75" x14ac:dyDescent="0.25">
      <c r="A15" s="145">
        <f>Proposal!A16</f>
        <v>200</v>
      </c>
      <c r="B15" s="149" t="str">
        <f>Proposal!C16</f>
        <v>SEATTLE WASH WTR</v>
      </c>
      <c r="C15" s="254">
        <f>Proposal!D16</f>
        <v>0.05</v>
      </c>
      <c r="D15" s="257">
        <f>IF(Proposal!R16=TRUE,Proposal!F16,Proposal!E16)</f>
        <v>46327</v>
      </c>
      <c r="E15" s="150">
        <f t="shared" si="0"/>
        <v>0</v>
      </c>
      <c r="F15" s="150">
        <f t="shared" si="0"/>
        <v>0</v>
      </c>
      <c r="G15" s="150">
        <f t="shared" si="0"/>
        <v>0</v>
      </c>
      <c r="H15" s="150">
        <f t="shared" si="0"/>
        <v>0</v>
      </c>
      <c r="I15" s="150">
        <f t="shared" si="0"/>
        <v>5000</v>
      </c>
      <c r="J15" s="150">
        <f t="shared" si="0"/>
        <v>0</v>
      </c>
      <c r="K15" s="150">
        <f t="shared" si="1"/>
        <v>0</v>
      </c>
      <c r="L15" s="150">
        <f t="shared" si="1"/>
        <v>0</v>
      </c>
      <c r="M15" s="150">
        <f t="shared" si="1"/>
        <v>0</v>
      </c>
      <c r="N15" s="150">
        <f t="shared" si="1"/>
        <v>0</v>
      </c>
      <c r="O15" s="150">
        <f t="shared" si="1"/>
        <v>5000</v>
      </c>
      <c r="P15" s="150">
        <f t="shared" si="1"/>
        <v>0</v>
      </c>
      <c r="Q15" s="151">
        <f t="shared" si="2"/>
        <v>10000</v>
      </c>
      <c r="U15" s="62">
        <f t="shared" si="3"/>
        <v>2026</v>
      </c>
      <c r="V15" s="56" t="s">
        <v>49</v>
      </c>
      <c r="W15" s="116">
        <f>Income!N$28</f>
        <v>21225</v>
      </c>
    </row>
    <row r="16" spans="1:23" s="5" customFormat="1" ht="15.75" x14ac:dyDescent="0.25">
      <c r="A16" s="145">
        <f>Proposal!A17</f>
        <v>200</v>
      </c>
      <c r="B16" s="149" t="str">
        <f>Proposal!C17</f>
        <v>SAN ANTONIO ISD</v>
      </c>
      <c r="C16" s="254">
        <f>Proposal!D17</f>
        <v>0.05</v>
      </c>
      <c r="D16" s="257">
        <f>IF(Proposal!R17=TRUE,Proposal!F17,Proposal!E17)</f>
        <v>46614</v>
      </c>
      <c r="E16" s="150">
        <f t="shared" ref="E16:J23" si="4">IF(E$4=MONTH($D16),$A16*1000*$C16*0.5,0)+(IF(E$4+6=MONTH($D16),$A16*1000*$C16*0.5,0))</f>
        <v>0</v>
      </c>
      <c r="F16" s="150">
        <f t="shared" si="4"/>
        <v>5000</v>
      </c>
      <c r="G16" s="150">
        <f t="shared" si="4"/>
        <v>0</v>
      </c>
      <c r="H16" s="150">
        <f t="shared" si="4"/>
        <v>0</v>
      </c>
      <c r="I16" s="150">
        <f t="shared" si="4"/>
        <v>0</v>
      </c>
      <c r="J16" s="150">
        <f t="shared" si="4"/>
        <v>0</v>
      </c>
      <c r="K16" s="150">
        <f t="shared" ref="K16:P23" si="5">IF(K$4=MONTH($D16),$A16*1000*$C16*0.5,0)+(IF(K$4-6=MONTH($D16),$A16*1000*$C16*0.5,0))</f>
        <v>0</v>
      </c>
      <c r="L16" s="150">
        <f t="shared" si="5"/>
        <v>5000</v>
      </c>
      <c r="M16" s="150">
        <f t="shared" si="5"/>
        <v>0</v>
      </c>
      <c r="N16" s="150">
        <f t="shared" si="5"/>
        <v>0</v>
      </c>
      <c r="O16" s="150">
        <f t="shared" si="5"/>
        <v>0</v>
      </c>
      <c r="P16" s="150">
        <f t="shared" si="5"/>
        <v>0</v>
      </c>
      <c r="Q16" s="151">
        <f t="shared" si="2"/>
        <v>10000</v>
      </c>
      <c r="U16" s="62">
        <f t="shared" si="3"/>
        <v>2027</v>
      </c>
      <c r="V16" s="56" t="s">
        <v>50</v>
      </c>
      <c r="W16" s="116">
        <f>Income!O$28</f>
        <v>5000</v>
      </c>
    </row>
    <row r="17" spans="1:23" s="5" customFormat="1" ht="15.75" x14ac:dyDescent="0.25">
      <c r="A17" s="145">
        <f>Proposal!A18</f>
        <v>0</v>
      </c>
      <c r="B17" s="149">
        <f>Proposal!C18</f>
        <v>0</v>
      </c>
      <c r="C17" s="254">
        <f>Proposal!D18</f>
        <v>0</v>
      </c>
      <c r="D17" s="257">
        <f>IF(Proposal!R18=TRUE,Proposal!F18,Proposal!E18)</f>
        <v>0</v>
      </c>
      <c r="E17" s="150">
        <f t="shared" si="4"/>
        <v>0</v>
      </c>
      <c r="F17" s="150">
        <f t="shared" si="4"/>
        <v>0</v>
      </c>
      <c r="G17" s="150">
        <f t="shared" si="4"/>
        <v>0</v>
      </c>
      <c r="H17" s="150">
        <f t="shared" si="4"/>
        <v>0</v>
      </c>
      <c r="I17" s="150">
        <f t="shared" si="4"/>
        <v>0</v>
      </c>
      <c r="J17" s="150">
        <f t="shared" si="4"/>
        <v>0</v>
      </c>
      <c r="K17" s="150">
        <f t="shared" si="5"/>
        <v>0</v>
      </c>
      <c r="L17" s="150">
        <f t="shared" si="5"/>
        <v>0</v>
      </c>
      <c r="M17" s="150">
        <f t="shared" si="5"/>
        <v>0</v>
      </c>
      <c r="N17" s="150">
        <f t="shared" si="5"/>
        <v>0</v>
      </c>
      <c r="O17" s="150">
        <f t="shared" si="5"/>
        <v>0</v>
      </c>
      <c r="P17" s="150">
        <f t="shared" si="5"/>
        <v>0</v>
      </c>
      <c r="Q17" s="151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75" x14ac:dyDescent="0.25">
      <c r="A18" s="145">
        <f>Proposal!A19</f>
        <v>0</v>
      </c>
      <c r="B18" s="149">
        <f>Proposal!C19</f>
        <v>0</v>
      </c>
      <c r="C18" s="254">
        <f>Proposal!D19</f>
        <v>0</v>
      </c>
      <c r="D18" s="257">
        <f>IF(Proposal!R19=TRUE,Proposal!F19,Proposal!E19)</f>
        <v>0</v>
      </c>
      <c r="E18" s="150">
        <f t="shared" si="4"/>
        <v>0</v>
      </c>
      <c r="F18" s="150">
        <f t="shared" si="4"/>
        <v>0</v>
      </c>
      <c r="G18" s="150">
        <f t="shared" si="4"/>
        <v>0</v>
      </c>
      <c r="H18" s="150">
        <f t="shared" si="4"/>
        <v>0</v>
      </c>
      <c r="I18" s="150">
        <f t="shared" si="4"/>
        <v>0</v>
      </c>
      <c r="J18" s="150">
        <f t="shared" si="4"/>
        <v>0</v>
      </c>
      <c r="K18" s="150">
        <f t="shared" si="5"/>
        <v>0</v>
      </c>
      <c r="L18" s="150">
        <f t="shared" si="5"/>
        <v>0</v>
      </c>
      <c r="M18" s="150">
        <f t="shared" si="5"/>
        <v>0</v>
      </c>
      <c r="N18" s="150">
        <f t="shared" si="5"/>
        <v>0</v>
      </c>
      <c r="O18" s="150">
        <f t="shared" si="5"/>
        <v>0</v>
      </c>
      <c r="P18" s="150">
        <f t="shared" si="5"/>
        <v>0</v>
      </c>
      <c r="Q18" s="151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5">
        <f>Proposal!A20</f>
        <v>0</v>
      </c>
      <c r="B19" s="149">
        <f>Proposal!C20</f>
        <v>0</v>
      </c>
      <c r="C19" s="254">
        <f>Proposal!D20</f>
        <v>0</v>
      </c>
      <c r="D19" s="257">
        <f>IF(Proposal!R20=TRUE,Proposal!F20,Proposal!E20)</f>
        <v>0</v>
      </c>
      <c r="E19" s="150">
        <f t="shared" si="4"/>
        <v>0</v>
      </c>
      <c r="F19" s="150">
        <f t="shared" si="4"/>
        <v>0</v>
      </c>
      <c r="G19" s="150">
        <f t="shared" si="4"/>
        <v>0</v>
      </c>
      <c r="H19" s="150">
        <f t="shared" si="4"/>
        <v>0</v>
      </c>
      <c r="I19" s="150">
        <f t="shared" si="4"/>
        <v>0</v>
      </c>
      <c r="J19" s="150">
        <f t="shared" si="4"/>
        <v>0</v>
      </c>
      <c r="K19" s="150">
        <f t="shared" si="5"/>
        <v>0</v>
      </c>
      <c r="L19" s="150">
        <f t="shared" si="5"/>
        <v>0</v>
      </c>
      <c r="M19" s="150">
        <f t="shared" si="5"/>
        <v>0</v>
      </c>
      <c r="N19" s="150">
        <f t="shared" si="5"/>
        <v>0</v>
      </c>
      <c r="O19" s="150">
        <f t="shared" si="5"/>
        <v>0</v>
      </c>
      <c r="P19" s="150">
        <f t="shared" si="5"/>
        <v>0</v>
      </c>
      <c r="Q19" s="151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5">
        <f>Proposal!A21</f>
        <v>0</v>
      </c>
      <c r="B20" s="149">
        <f>Proposal!C21</f>
        <v>0</v>
      </c>
      <c r="C20" s="254">
        <f>Proposal!D21</f>
        <v>0</v>
      </c>
      <c r="D20" s="257">
        <f>IF(Proposal!R21=TRUE,Proposal!F21,Proposal!E21)</f>
        <v>0</v>
      </c>
      <c r="E20" s="150">
        <f t="shared" si="4"/>
        <v>0</v>
      </c>
      <c r="F20" s="150">
        <f t="shared" si="4"/>
        <v>0</v>
      </c>
      <c r="G20" s="150">
        <f t="shared" si="4"/>
        <v>0</v>
      </c>
      <c r="H20" s="150">
        <f t="shared" si="4"/>
        <v>0</v>
      </c>
      <c r="I20" s="150">
        <f t="shared" si="4"/>
        <v>0</v>
      </c>
      <c r="J20" s="150">
        <f t="shared" si="4"/>
        <v>0</v>
      </c>
      <c r="K20" s="150">
        <f t="shared" si="5"/>
        <v>0</v>
      </c>
      <c r="L20" s="150">
        <f t="shared" si="5"/>
        <v>0</v>
      </c>
      <c r="M20" s="150">
        <f t="shared" si="5"/>
        <v>0</v>
      </c>
      <c r="N20" s="150">
        <f t="shared" si="5"/>
        <v>0</v>
      </c>
      <c r="O20" s="150">
        <f t="shared" si="5"/>
        <v>0</v>
      </c>
      <c r="P20" s="150">
        <f t="shared" si="5"/>
        <v>0</v>
      </c>
      <c r="Q20" s="151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5">
        <f>Proposal!A22</f>
        <v>0</v>
      </c>
      <c r="B21" s="149">
        <f>Proposal!C22</f>
        <v>0</v>
      </c>
      <c r="C21" s="254">
        <f>Proposal!D22</f>
        <v>0</v>
      </c>
      <c r="D21" s="257">
        <f>IF(Proposal!R22=TRUE,Proposal!F22,Proposal!E22)</f>
        <v>0</v>
      </c>
      <c r="E21" s="150">
        <f t="shared" si="4"/>
        <v>0</v>
      </c>
      <c r="F21" s="150">
        <f t="shared" si="4"/>
        <v>0</v>
      </c>
      <c r="G21" s="150">
        <f t="shared" si="4"/>
        <v>0</v>
      </c>
      <c r="H21" s="150">
        <f t="shared" si="4"/>
        <v>0</v>
      </c>
      <c r="I21" s="150">
        <f t="shared" si="4"/>
        <v>0</v>
      </c>
      <c r="J21" s="150">
        <f t="shared" si="4"/>
        <v>0</v>
      </c>
      <c r="K21" s="150">
        <f t="shared" si="5"/>
        <v>0</v>
      </c>
      <c r="L21" s="150">
        <f t="shared" si="5"/>
        <v>0</v>
      </c>
      <c r="M21" s="150">
        <f t="shared" si="5"/>
        <v>0</v>
      </c>
      <c r="N21" s="150">
        <f t="shared" si="5"/>
        <v>0</v>
      </c>
      <c r="O21" s="150">
        <f t="shared" si="5"/>
        <v>0</v>
      </c>
      <c r="P21" s="150">
        <f t="shared" si="5"/>
        <v>0</v>
      </c>
      <c r="Q21" s="151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5">
        <f>Proposal!A23</f>
        <v>0</v>
      </c>
      <c r="B22" s="149">
        <f>Proposal!C23</f>
        <v>0</v>
      </c>
      <c r="C22" s="254">
        <f>Proposal!D23</f>
        <v>0</v>
      </c>
      <c r="D22" s="257">
        <f>IF(Proposal!R23=TRUE,Proposal!F23,Proposal!E23)</f>
        <v>0</v>
      </c>
      <c r="E22" s="150">
        <f t="shared" si="4"/>
        <v>0</v>
      </c>
      <c r="F22" s="150">
        <f t="shared" si="4"/>
        <v>0</v>
      </c>
      <c r="G22" s="150">
        <f t="shared" si="4"/>
        <v>0</v>
      </c>
      <c r="H22" s="150">
        <f t="shared" si="4"/>
        <v>0</v>
      </c>
      <c r="I22" s="150">
        <f t="shared" si="4"/>
        <v>0</v>
      </c>
      <c r="J22" s="150">
        <f t="shared" si="4"/>
        <v>0</v>
      </c>
      <c r="K22" s="150">
        <f t="shared" si="5"/>
        <v>0</v>
      </c>
      <c r="L22" s="150">
        <f t="shared" si="5"/>
        <v>0</v>
      </c>
      <c r="M22" s="150">
        <f t="shared" si="5"/>
        <v>0</v>
      </c>
      <c r="N22" s="150">
        <f t="shared" si="5"/>
        <v>0</v>
      </c>
      <c r="O22" s="150">
        <f t="shared" si="5"/>
        <v>0</v>
      </c>
      <c r="P22" s="150">
        <f t="shared" si="5"/>
        <v>0</v>
      </c>
      <c r="Q22" s="151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5">
        <f>Proposal!A24</f>
        <v>0</v>
      </c>
      <c r="B23" s="149">
        <f>Proposal!C24</f>
        <v>0</v>
      </c>
      <c r="C23" s="254">
        <f>Proposal!D24</f>
        <v>0</v>
      </c>
      <c r="D23" s="257">
        <f>IF(Proposal!R24=TRUE,Proposal!F24,Proposal!E24)</f>
        <v>0</v>
      </c>
      <c r="E23" s="150">
        <f t="shared" si="4"/>
        <v>0</v>
      </c>
      <c r="F23" s="150">
        <f t="shared" si="4"/>
        <v>0</v>
      </c>
      <c r="G23" s="150">
        <f t="shared" si="4"/>
        <v>0</v>
      </c>
      <c r="H23" s="150">
        <f t="shared" si="4"/>
        <v>0</v>
      </c>
      <c r="I23" s="150">
        <f t="shared" si="4"/>
        <v>0</v>
      </c>
      <c r="J23" s="150">
        <f t="shared" si="4"/>
        <v>0</v>
      </c>
      <c r="K23" s="150">
        <f t="shared" si="5"/>
        <v>0</v>
      </c>
      <c r="L23" s="150">
        <f t="shared" si="5"/>
        <v>0</v>
      </c>
      <c r="M23" s="150">
        <f t="shared" si="5"/>
        <v>0</v>
      </c>
      <c r="N23" s="150">
        <f t="shared" si="5"/>
        <v>0</v>
      </c>
      <c r="O23" s="150">
        <f t="shared" si="5"/>
        <v>0</v>
      </c>
      <c r="P23" s="150">
        <f t="shared" si="5"/>
        <v>0</v>
      </c>
      <c r="Q23" s="151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5">
        <f>Proposal!A25</f>
        <v>0</v>
      </c>
      <c r="B24" s="149">
        <f>Proposal!C25</f>
        <v>0</v>
      </c>
      <c r="C24" s="254">
        <f>Proposal!D25</f>
        <v>0</v>
      </c>
      <c r="D24" s="257">
        <f>IF(Proposal!R25=TRUE,Proposal!F25,Proposal!E25)</f>
        <v>0</v>
      </c>
      <c r="E24" s="150">
        <f t="shared" ref="E24:J27" si="7">IF(E$4=MONTH($D24),$A24*1000*$C24*0.5,0)+(IF(E$4+6=MONTH($D24),$A24*1000*$C24*0.5,0))</f>
        <v>0</v>
      </c>
      <c r="F24" s="150">
        <f t="shared" si="7"/>
        <v>0</v>
      </c>
      <c r="G24" s="150">
        <f t="shared" si="7"/>
        <v>0</v>
      </c>
      <c r="H24" s="150">
        <f t="shared" si="7"/>
        <v>0</v>
      </c>
      <c r="I24" s="150">
        <f t="shared" si="7"/>
        <v>0</v>
      </c>
      <c r="J24" s="150">
        <f t="shared" si="7"/>
        <v>0</v>
      </c>
      <c r="K24" s="150">
        <f t="shared" ref="K24:P27" si="8">IF(K$4=MONTH($D24),$A24*1000*$C24*0.5,0)+(IF(K$4-6=MONTH($D24),$A24*1000*$C24*0.5,0))</f>
        <v>0</v>
      </c>
      <c r="L24" s="150">
        <f t="shared" si="8"/>
        <v>0</v>
      </c>
      <c r="M24" s="150">
        <f t="shared" si="8"/>
        <v>0</v>
      </c>
      <c r="N24" s="150">
        <f t="shared" si="8"/>
        <v>0</v>
      </c>
      <c r="O24" s="150">
        <f t="shared" si="8"/>
        <v>0</v>
      </c>
      <c r="P24" s="150">
        <f t="shared" si="8"/>
        <v>0</v>
      </c>
      <c r="Q24" s="151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5">
        <f>Proposal!A26</f>
        <v>0</v>
      </c>
      <c r="B25" s="149">
        <f>Proposal!C26</f>
        <v>0</v>
      </c>
      <c r="C25" s="254">
        <f>Proposal!D26</f>
        <v>0</v>
      </c>
      <c r="D25" s="257">
        <f>IF(Proposal!R26=TRUE,Proposal!F26,Proposal!E26)</f>
        <v>0</v>
      </c>
      <c r="E25" s="150">
        <f t="shared" si="7"/>
        <v>0</v>
      </c>
      <c r="F25" s="150">
        <f t="shared" si="7"/>
        <v>0</v>
      </c>
      <c r="G25" s="150">
        <f t="shared" si="7"/>
        <v>0</v>
      </c>
      <c r="H25" s="150">
        <f t="shared" si="7"/>
        <v>0</v>
      </c>
      <c r="I25" s="150">
        <f t="shared" si="7"/>
        <v>0</v>
      </c>
      <c r="J25" s="150">
        <f t="shared" si="7"/>
        <v>0</v>
      </c>
      <c r="K25" s="150">
        <f t="shared" si="8"/>
        <v>0</v>
      </c>
      <c r="L25" s="150">
        <f t="shared" si="8"/>
        <v>0</v>
      </c>
      <c r="M25" s="150">
        <f t="shared" si="8"/>
        <v>0</v>
      </c>
      <c r="N25" s="150">
        <f t="shared" si="8"/>
        <v>0</v>
      </c>
      <c r="O25" s="150">
        <f t="shared" si="8"/>
        <v>0</v>
      </c>
      <c r="P25" s="150">
        <f t="shared" si="8"/>
        <v>0</v>
      </c>
      <c r="Q25" s="151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5">
        <f>Proposal!A27</f>
        <v>0</v>
      </c>
      <c r="B26" s="149">
        <f>Proposal!C27</f>
        <v>0</v>
      </c>
      <c r="C26" s="254">
        <f>Proposal!D27</f>
        <v>0</v>
      </c>
      <c r="D26" s="257">
        <f>IF(Proposal!R27=TRUE,Proposal!F27,Proposal!E27)</f>
        <v>0</v>
      </c>
      <c r="E26" s="150">
        <f t="shared" si="7"/>
        <v>0</v>
      </c>
      <c r="F26" s="150">
        <f t="shared" si="7"/>
        <v>0</v>
      </c>
      <c r="G26" s="150">
        <f t="shared" si="7"/>
        <v>0</v>
      </c>
      <c r="H26" s="150">
        <f t="shared" si="7"/>
        <v>0</v>
      </c>
      <c r="I26" s="150">
        <f t="shared" si="7"/>
        <v>0</v>
      </c>
      <c r="J26" s="150">
        <f t="shared" si="7"/>
        <v>0</v>
      </c>
      <c r="K26" s="150">
        <f t="shared" si="8"/>
        <v>0</v>
      </c>
      <c r="L26" s="150">
        <f t="shared" si="8"/>
        <v>0</v>
      </c>
      <c r="M26" s="150">
        <f t="shared" si="8"/>
        <v>0</v>
      </c>
      <c r="N26" s="150">
        <f t="shared" si="8"/>
        <v>0</v>
      </c>
      <c r="O26" s="150">
        <f t="shared" si="8"/>
        <v>0</v>
      </c>
      <c r="P26" s="150">
        <f t="shared" si="8"/>
        <v>0</v>
      </c>
      <c r="Q26" s="151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2">
        <f>Proposal!A28</f>
        <v>0</v>
      </c>
      <c r="B27" s="153">
        <f>Proposal!C28</f>
        <v>0</v>
      </c>
      <c r="C27" s="255">
        <f>Proposal!D28</f>
        <v>0</v>
      </c>
      <c r="D27" s="258">
        <f>IF(Proposal!R28=TRUE,Proposal!F28,Proposal!E28)</f>
        <v>0</v>
      </c>
      <c r="E27" s="154">
        <f t="shared" si="7"/>
        <v>0</v>
      </c>
      <c r="F27" s="154">
        <f t="shared" si="7"/>
        <v>0</v>
      </c>
      <c r="G27" s="154">
        <f t="shared" si="7"/>
        <v>0</v>
      </c>
      <c r="H27" s="154">
        <f t="shared" si="7"/>
        <v>0</v>
      </c>
      <c r="I27" s="154">
        <f t="shared" si="7"/>
        <v>0</v>
      </c>
      <c r="J27" s="154">
        <f t="shared" si="7"/>
        <v>0</v>
      </c>
      <c r="K27" s="154">
        <f t="shared" si="8"/>
        <v>0</v>
      </c>
      <c r="L27" s="154">
        <f t="shared" si="8"/>
        <v>0</v>
      </c>
      <c r="M27" s="154">
        <f t="shared" si="8"/>
        <v>0</v>
      </c>
      <c r="N27" s="154">
        <f t="shared" si="8"/>
        <v>0</v>
      </c>
      <c r="O27" s="154">
        <f t="shared" si="8"/>
        <v>0</v>
      </c>
      <c r="P27" s="154">
        <f t="shared" si="8"/>
        <v>0</v>
      </c>
      <c r="Q27" s="155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6">
        <f>SUM(A6:A27)</f>
        <v>2000</v>
      </c>
      <c r="B28" s="18" t="s">
        <v>52</v>
      </c>
      <c r="C28" s="157"/>
      <c r="D28" s="142"/>
      <c r="E28" s="158">
        <f t="shared" ref="E28:P28" si="9">SUM(E6:E27)</f>
        <v>2500</v>
      </c>
      <c r="F28" s="158">
        <f t="shared" si="9"/>
        <v>20000</v>
      </c>
      <c r="G28" s="158">
        <f t="shared" si="9"/>
        <v>0</v>
      </c>
      <c r="H28" s="158">
        <f t="shared" si="9"/>
        <v>21225</v>
      </c>
      <c r="I28" s="158">
        <f t="shared" si="9"/>
        <v>5000</v>
      </c>
      <c r="J28" s="158">
        <f t="shared" si="9"/>
        <v>0</v>
      </c>
      <c r="K28" s="158">
        <f t="shared" si="9"/>
        <v>2500</v>
      </c>
      <c r="L28" s="158">
        <f t="shared" si="9"/>
        <v>20000</v>
      </c>
      <c r="M28" s="158">
        <f t="shared" si="9"/>
        <v>0</v>
      </c>
      <c r="N28" s="158">
        <f t="shared" si="9"/>
        <v>21225</v>
      </c>
      <c r="O28" s="158">
        <f t="shared" si="9"/>
        <v>5000</v>
      </c>
      <c r="P28" s="158">
        <f t="shared" si="9"/>
        <v>0</v>
      </c>
      <c r="Q28" s="158">
        <f>SUM(E28:P28)</f>
        <v>97450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7"/>
      <c r="D29" s="159"/>
      <c r="E29" s="160">
        <f>E28/$Q$28</f>
        <v>2.5654181631605953E-2</v>
      </c>
      <c r="F29" s="160">
        <f t="shared" ref="F29:P29" si="10">F28/$Q$28</f>
        <v>0.20523345305284763</v>
      </c>
      <c r="G29" s="160">
        <f t="shared" si="10"/>
        <v>0</v>
      </c>
      <c r="H29" s="160">
        <f t="shared" si="10"/>
        <v>0.21780400205233452</v>
      </c>
      <c r="I29" s="160">
        <f t="shared" si="10"/>
        <v>5.1308363263211906E-2</v>
      </c>
      <c r="J29" s="160">
        <f t="shared" si="10"/>
        <v>0</v>
      </c>
      <c r="K29" s="160">
        <f t="shared" si="10"/>
        <v>2.5654181631605953E-2</v>
      </c>
      <c r="L29" s="160">
        <f t="shared" si="10"/>
        <v>0.20523345305284763</v>
      </c>
      <c r="M29" s="160">
        <f t="shared" si="10"/>
        <v>0</v>
      </c>
      <c r="N29" s="160">
        <f t="shared" si="10"/>
        <v>0.21780400205233452</v>
      </c>
      <c r="O29" s="160">
        <f t="shared" si="10"/>
        <v>5.1308363263211906E-2</v>
      </c>
      <c r="P29" s="160">
        <f t="shared" si="10"/>
        <v>0</v>
      </c>
      <c r="Q29" s="158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2019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2020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2021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0.05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0.05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0.1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1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4"/>
      <c r="D1" s="21"/>
      <c r="E1" s="21"/>
      <c r="F1" s="21"/>
      <c r="G1" s="21"/>
      <c r="H1" s="21"/>
      <c r="I1" s="165"/>
      <c r="J1" s="165"/>
      <c r="K1" s="165"/>
      <c r="L1" s="21"/>
      <c r="M1" s="238" t="s">
        <v>140</v>
      </c>
      <c r="S1" s="166"/>
      <c r="T1" s="167"/>
      <c r="U1" s="167"/>
      <c r="V1" s="167"/>
      <c r="W1" s="167"/>
      <c r="X1" s="167"/>
      <c r="Y1" s="117"/>
      <c r="Z1" s="167"/>
      <c r="AA1" s="167"/>
      <c r="AB1" s="167"/>
      <c r="AC1" s="167"/>
      <c r="AD1" s="168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9"/>
      <c r="BF1" s="169"/>
      <c r="BG1" s="170"/>
    </row>
    <row r="2" spans="1:67" ht="18" customHeight="1" x14ac:dyDescent="0.25">
      <c r="A2" s="171"/>
      <c r="B2" s="171"/>
      <c r="C2" s="172"/>
      <c r="D2" s="16"/>
      <c r="E2" s="17"/>
      <c r="F2" s="17"/>
      <c r="G2" s="17"/>
      <c r="H2" s="17"/>
      <c r="I2" s="173"/>
      <c r="J2" s="173"/>
      <c r="K2" s="173"/>
      <c r="L2" s="17"/>
      <c r="M2" s="20"/>
      <c r="S2" s="166"/>
      <c r="T2" s="167"/>
      <c r="U2" s="174"/>
      <c r="V2" s="174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75"/>
      <c r="BF2" s="169"/>
      <c r="BG2" s="170"/>
    </row>
    <row r="3" spans="1:67" ht="15.75" customHeight="1" x14ac:dyDescent="0.25">
      <c r="A3" s="142"/>
      <c r="B3" s="142"/>
      <c r="C3" s="17"/>
      <c r="D3" s="16"/>
      <c r="E3" s="17"/>
      <c r="F3" s="17"/>
      <c r="G3" s="17"/>
      <c r="H3" s="173"/>
      <c r="I3" s="173"/>
      <c r="J3" s="173"/>
      <c r="K3" s="173"/>
      <c r="L3" s="17"/>
      <c r="M3" s="20"/>
      <c r="S3" s="118" t="s">
        <v>97</v>
      </c>
      <c r="T3" s="167"/>
      <c r="U3" s="176"/>
      <c r="V3" s="176"/>
      <c r="W3" s="117" t="s">
        <v>98</v>
      </c>
      <c r="X3" s="11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17" t="s">
        <v>115</v>
      </c>
      <c r="AT3" s="17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9"/>
      <c r="BG3" s="170"/>
    </row>
    <row r="4" spans="1:67" ht="15.75" customHeight="1" x14ac:dyDescent="0.25">
      <c r="A4" s="178"/>
      <c r="B4" s="178"/>
      <c r="C4" s="178"/>
      <c r="D4" s="179"/>
      <c r="E4" s="180"/>
      <c r="F4" s="178"/>
      <c r="G4" s="178"/>
      <c r="H4" s="178"/>
      <c r="I4" s="180"/>
      <c r="J4" s="180"/>
      <c r="K4" s="180"/>
      <c r="L4" s="180"/>
      <c r="M4" s="180"/>
      <c r="S4" s="166"/>
      <c r="T4" s="167"/>
      <c r="U4" s="181"/>
      <c r="V4" s="181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7"/>
      <c r="AR4" s="167"/>
      <c r="AS4" s="167"/>
      <c r="AT4" s="169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9"/>
      <c r="BF4" s="169"/>
      <c r="BG4" s="170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5" t="s">
        <v>114</v>
      </c>
      <c r="B5" s="355"/>
      <c r="C5" s="355"/>
      <c r="D5" s="355"/>
      <c r="E5" s="355"/>
      <c r="F5" s="355"/>
      <c r="G5" s="355"/>
      <c r="H5" s="355" t="s">
        <v>135</v>
      </c>
      <c r="I5" s="355">
        <v>-100</v>
      </c>
      <c r="J5" s="355">
        <v>-50</v>
      </c>
      <c r="K5" s="355" t="s">
        <v>67</v>
      </c>
      <c r="L5" s="365" t="s">
        <v>71</v>
      </c>
      <c r="M5" s="365" t="s">
        <v>70</v>
      </c>
      <c r="R5" s="142"/>
      <c r="S5" s="166"/>
      <c r="T5" s="167"/>
      <c r="U5" s="167" t="s">
        <v>72</v>
      </c>
      <c r="V5" s="167"/>
      <c r="W5" s="167" t="s">
        <v>74</v>
      </c>
      <c r="X5" s="167"/>
      <c r="Y5" s="167"/>
      <c r="Z5" s="167" t="s">
        <v>75</v>
      </c>
      <c r="AA5" s="167" t="s">
        <v>74</v>
      </c>
      <c r="AB5" s="167"/>
      <c r="AC5" s="167"/>
      <c r="AD5" s="167" t="s">
        <v>75</v>
      </c>
      <c r="AE5" s="167" t="s">
        <v>74</v>
      </c>
      <c r="AF5" s="167"/>
      <c r="AG5" s="167"/>
      <c r="AH5" s="167" t="s">
        <v>75</v>
      </c>
      <c r="AI5" s="167" t="s">
        <v>74</v>
      </c>
      <c r="AJ5" s="167"/>
      <c r="AK5" s="167"/>
      <c r="AL5" s="167" t="s">
        <v>75</v>
      </c>
      <c r="AM5" s="167" t="s">
        <v>74</v>
      </c>
      <c r="AN5" s="167"/>
      <c r="AO5" s="167"/>
      <c r="AP5" s="167" t="s">
        <v>75</v>
      </c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82"/>
      <c r="BF5" s="182"/>
      <c r="BG5" s="170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1" t="s">
        <v>15</v>
      </c>
      <c r="B6" s="361" t="s">
        <v>16</v>
      </c>
      <c r="C6" s="361" t="s">
        <v>17</v>
      </c>
      <c r="D6" s="361" t="s">
        <v>18</v>
      </c>
      <c r="E6" s="361" t="s">
        <v>19</v>
      </c>
      <c r="F6" s="361" t="s">
        <v>29</v>
      </c>
      <c r="G6" s="361" t="s">
        <v>21</v>
      </c>
      <c r="H6" s="361" t="s">
        <v>136</v>
      </c>
      <c r="I6" s="366" t="s">
        <v>69</v>
      </c>
      <c r="J6" s="366" t="s">
        <v>69</v>
      </c>
      <c r="K6" s="366" t="s">
        <v>68</v>
      </c>
      <c r="L6" s="366" t="s">
        <v>69</v>
      </c>
      <c r="M6" s="366" t="s">
        <v>69</v>
      </c>
      <c r="R6" s="142"/>
      <c r="S6" s="183" t="s">
        <v>66</v>
      </c>
      <c r="T6" s="119"/>
      <c r="U6" s="119" t="s">
        <v>73</v>
      </c>
      <c r="V6" s="167"/>
      <c r="W6" s="167" t="s">
        <v>105</v>
      </c>
      <c r="X6" s="167" t="s">
        <v>15</v>
      </c>
      <c r="Y6" s="167" t="s">
        <v>19</v>
      </c>
      <c r="Z6" s="167" t="s">
        <v>76</v>
      </c>
      <c r="AA6" s="167" t="s">
        <v>90</v>
      </c>
      <c r="AB6" s="167" t="s">
        <v>15</v>
      </c>
      <c r="AC6" s="167" t="s">
        <v>19</v>
      </c>
      <c r="AD6" s="167" t="s">
        <v>76</v>
      </c>
      <c r="AE6" s="167" t="s">
        <v>90</v>
      </c>
      <c r="AF6" s="167" t="s">
        <v>15</v>
      </c>
      <c r="AG6" s="167" t="s">
        <v>19</v>
      </c>
      <c r="AH6" s="167" t="s">
        <v>76</v>
      </c>
      <c r="AI6" s="167" t="s">
        <v>90</v>
      </c>
      <c r="AJ6" s="167" t="s">
        <v>15</v>
      </c>
      <c r="AK6" s="167" t="s">
        <v>19</v>
      </c>
      <c r="AL6" s="167" t="s">
        <v>76</v>
      </c>
      <c r="AM6" s="167" t="s">
        <v>90</v>
      </c>
      <c r="AN6" s="167" t="s">
        <v>15</v>
      </c>
      <c r="AO6" s="167" t="s">
        <v>19</v>
      </c>
      <c r="AP6" s="167" t="s">
        <v>76</v>
      </c>
      <c r="AQ6" s="167"/>
      <c r="AR6" s="169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4" t="s">
        <v>82</v>
      </c>
      <c r="BA6" s="184" t="s">
        <v>83</v>
      </c>
      <c r="BB6" s="184" t="s">
        <v>71</v>
      </c>
      <c r="BC6" s="119">
        <v>100</v>
      </c>
      <c r="BD6" s="167"/>
      <c r="BE6" s="185" t="s">
        <v>62</v>
      </c>
      <c r="BF6" s="185" t="s">
        <v>65</v>
      </c>
      <c r="BG6" s="170"/>
      <c r="BI6" s="20"/>
      <c r="BJ6" s="20"/>
      <c r="BK6" s="20"/>
      <c r="BL6" s="20"/>
      <c r="BM6" s="20"/>
      <c r="BN6" s="20"/>
      <c r="BO6" s="20"/>
    </row>
    <row r="7" spans="1:67" x14ac:dyDescent="0.25">
      <c r="A7" s="156">
        <f>Proposal!A7</f>
        <v>200</v>
      </c>
      <c r="B7" s="18" t="str">
        <f>Proposal!B7</f>
        <v>AAA/AAA</v>
      </c>
      <c r="C7" s="42" t="str">
        <f>Proposal!C7</f>
        <v>SPRING TX ISD PSF</v>
      </c>
      <c r="D7" s="160">
        <f>Proposal!D7</f>
        <v>0.05</v>
      </c>
      <c r="E7" s="247">
        <f>Income!D6</f>
        <v>42597</v>
      </c>
      <c r="F7" s="246">
        <f>Proposal!BG7</f>
        <v>4.4000789567477272E-2</v>
      </c>
      <c r="G7" s="219">
        <f>Proposal!J7</f>
        <v>104.70699999999999</v>
      </c>
      <c r="H7" s="124">
        <f t="shared" ref="H7:H28" si="0">IF($T7=TRUE,0,S7)</f>
        <v>7.6241780177656384</v>
      </c>
      <c r="I7" s="125">
        <f t="shared" ref="I7:I28" ca="1" si="1">IF($T7=TRUE,0,AD7)</f>
        <v>0.16956959944168015</v>
      </c>
      <c r="J7" s="125">
        <f t="shared" ref="J7:J28" ca="1" si="2">IF($T7=TRUE,0,AH7)</f>
        <v>0.11379097155268658</v>
      </c>
      <c r="K7" s="125">
        <f t="shared" ref="K7:K28" ca="1" si="3">IF($T7=TRUE,0,Z7)</f>
        <v>6.1408416872913874E-2</v>
      </c>
      <c r="L7" s="125">
        <f t="shared" ref="L7:L28" ca="1" si="4">IF($T7=TRUE,0,AL7)</f>
        <v>1.2197524579564245E-2</v>
      </c>
      <c r="M7" s="125">
        <f t="shared" ref="M7:M28" ca="1" si="5">IF($T7=TRUE,0,AP7)</f>
        <v>-3.4050495911969625E-2</v>
      </c>
      <c r="N7" s="18"/>
      <c r="O7" s="18"/>
      <c r="P7" s="18"/>
      <c r="Q7" s="18"/>
      <c r="R7" s="17"/>
      <c r="S7" s="186">
        <f>MDURATION(BF7,Proposal!BH7,D7,F7,2,0)</f>
        <v>7.6241780177656384</v>
      </c>
      <c r="T7" s="167" t="b">
        <f t="shared" ref="T7:T28" si="6">ISERR(S7)</f>
        <v>0</v>
      </c>
      <c r="U7" s="187">
        <f t="shared" ref="U7:U28" si="7">D7*A7*1000</f>
        <v>10000</v>
      </c>
      <c r="V7" s="188"/>
      <c r="W7" s="197">
        <f ca="1">IF(Proposal!$F7=0,1000,IF(DAYS360(Summary!$B$5,Proposal!$F7)&lt;360,1000,PRICE($BF7+360,Proposal!$F7,$D7,$F7,Proposal!$G7,2,0)))</f>
        <v>1000</v>
      </c>
      <c r="X7" s="193">
        <f>IF(Proposal!$H7=0,1000,IF(DAYS360(Summary!$B$5,Proposal!$H7)&lt;360,1000,PRICE($BF7+360,Proposal!$H7,$D7,$F7,100,2,0)))</f>
        <v>1000</v>
      </c>
      <c r="Y7" s="190">
        <f ca="1">IF($E7=0,1000,IF(DAYS360(Summary!$B$5,$E7)&lt;360,1000,PRICE($BF7+360,$E7,$D7,$F7,100,2,0)))</f>
        <v>106.13689110551219</v>
      </c>
      <c r="Z7" s="196">
        <f t="shared" ref="Z7:Z28" ca="1" si="8">IF(MIN(W7:Y7)=1000,0,(MIN(W7:Y7)*$A7*10+$U7)/($G7*$A7*10)-1)</f>
        <v>6.1408416872913874E-2</v>
      </c>
      <c r="AA7" s="197">
        <f ca="1">IF(Proposal!$F7=0,1000,IF(DAYS360(Summary!$B$5,Proposal!$F7)&lt;360,1000,PRICE($BF7+360,Proposal!$F7,$D7,$F7+AA$4,Proposal!$G7,2,0)))</f>
        <v>1000</v>
      </c>
      <c r="AB7" s="193">
        <f>IF(Proposal!$H7=0,1000,IF(DAYS360(Summary!$B$5,Proposal!$H7)&lt;360,1000,PRICE($BF7+360,Proposal!$H7,$D7,$F7+AA$4,100,2,0)))</f>
        <v>1000</v>
      </c>
      <c r="AC7" s="190">
        <f ca="1">IF($E7=0,1000,IF(DAYS360(Summary!$B$5,$E7)&lt;360,1000,PRICE($BF7+360,$E7,$D7,$F7+AA$4,100,2,0)))</f>
        <v>117.46212404873998</v>
      </c>
      <c r="AD7" s="168">
        <f t="shared" ref="AD7:AD28" ca="1" si="9">IF(MIN(AA7:AC7)=1000,0,(MIN(AA7:AC7)*$A7*10+$U7)/($G7*$A7*10)-1)</f>
        <v>0.16956959944168015</v>
      </c>
      <c r="AE7" s="197">
        <f ca="1">IF(Proposal!$F7=0,1000,IF(DAYS360(Summary!$B$5,Proposal!$F7)&lt;360,1000,PRICE($BF7+360,Proposal!$F7,$D7,$F7+AE$4,Proposal!$G7,2,0)))</f>
        <v>1000</v>
      </c>
      <c r="AF7" s="193">
        <f>IF(Proposal!$H7=0,1000,IF(DAYS360(Summary!$B$5,Proposal!$H7)&lt;360,1000,PRICE($BF7+360,Proposal!$H7,$D7,$F7+AE$4,100,2,0)))</f>
        <v>1000</v>
      </c>
      <c r="AG7" s="190">
        <f ca="1">IF($E7=0,1000,IF(DAYS360(Summary!$B$5,$E7)&lt;360,1000,PRICE($BF7+360,$E7,$D7,$F7+AE$4,100,2,0)))</f>
        <v>111.62171125836714</v>
      </c>
      <c r="AH7" s="168">
        <f t="shared" ref="AH7:AH28" ca="1" si="10">IF(MIN(AE7:AG7)=1000,0,(MIN(AE7:AG7)*$A7*10+$U7)/($G7*$A7*10)-1)</f>
        <v>0.11379097155268658</v>
      </c>
      <c r="AI7" s="197">
        <f ca="1">IF(Proposal!$F7=0,1000,IF(DAYS360(Summary!$B$5,Proposal!$F7)&lt;360,1000,PRICE($BF7+360,Proposal!$F7,$D7,$F7+AI$4,Proposal!$G7,2,0)))</f>
        <v>1000</v>
      </c>
      <c r="AJ7" s="193">
        <f>IF(Proposal!$H7=0,1000,IF(DAYS360(Summary!$B$5,Proposal!$H7)&lt;360,1000,PRICE($BF7+360,Proposal!$H7,$D7,$F7+AI$4,100,2,0)))</f>
        <v>1000</v>
      </c>
      <c r="AK7" s="190">
        <f ca="1">IF($E7=0,1000,IF(DAYS360(Summary!$B$5,$E7)&lt;360,1000,PRICE($BF7+360,$E7,$D7,$F7+AI$4,100,2,0)))</f>
        <v>100.98416620615241</v>
      </c>
      <c r="AL7" s="168">
        <f t="shared" ref="AL7:AL28" ca="1" si="11">IF(MIN(AI7:AK7)=1000,0,(MIN(AI7:AK7)*$A7*10+$U7)/($G7*$A7*10)-1)</f>
        <v>1.2197524579564245E-2</v>
      </c>
      <c r="AM7" s="197">
        <f ca="1">IF(Proposal!$F7=0,1000,IF(DAYS360(Summary!$B$5,Proposal!$F7)&lt;360,1000,PRICE($BF7+360,Proposal!$F7,$D7,$F7+AM$4,Proposal!$G7,2,0)))</f>
        <v>1000</v>
      </c>
      <c r="AN7" s="193">
        <f>IF(Proposal!$H7=0,1000,IF(DAYS360(Summary!$B$5,Proposal!$H7)&lt;360,1000,PRICE($BF7+360,Proposal!$H7,$D7,$F7+AM$4,100,2,0)))</f>
        <v>1000</v>
      </c>
      <c r="AO7" s="190">
        <f ca="1">IF($E7=0,1000,IF(DAYS360(Summary!$B$5,$E7)&lt;360,1000,PRICE($BF7+360,$E7,$D7,$F7+AM$4,100,2,0)))</f>
        <v>96.141674724545396</v>
      </c>
      <c r="AP7" s="168">
        <f t="shared" ref="AP7:AP28" ca="1" si="12">IF(MIN(AM7:AO7)=1000,0,(MIN(AM7:AO7)*$A7*10+$U7)/($G7*$A7*10)-1)</f>
        <v>-3.4050495911969625E-2</v>
      </c>
      <c r="AQ7" s="167"/>
      <c r="AR7" s="169"/>
      <c r="AS7" s="188">
        <f t="shared" ref="AS7:AS28" si="13">A7*G7*10</f>
        <v>209413.99999999997</v>
      </c>
      <c r="AT7" s="191">
        <f t="shared" ref="AT7:AT28" si="14">AS7*D7/AS$29</f>
        <v>5.1946396093812781E-3</v>
      </c>
      <c r="AU7" s="192">
        <f t="shared" ref="AU7:AU28" si="15">AS7*E7/AS$29</f>
        <v>4425.5212688162856</v>
      </c>
      <c r="AV7" s="192">
        <f>AS7*F7/AS$29</f>
        <v>4.5713648866253587E-3</v>
      </c>
      <c r="AW7" s="189">
        <f>AS7*Proposal!M7/AS$29</f>
        <v>4.9611197048729109E-3</v>
      </c>
      <c r="AX7" s="193">
        <f>AS7*H7/AS$29</f>
        <v>0.79209714240118845</v>
      </c>
      <c r="AY7" s="167">
        <f t="shared" ref="AY7:AY28" ca="1" si="16">$A7*K7/$A$30</f>
        <v>6.1408416872913872E-3</v>
      </c>
      <c r="AZ7" s="167">
        <f ca="1">$A7*I7/$A$30</f>
        <v>1.6956959944168015E-2</v>
      </c>
      <c r="BA7" s="167">
        <f ca="1">$A7*J7/$A$30</f>
        <v>1.1379097155268659E-2</v>
      </c>
      <c r="BB7" s="167">
        <f ca="1">$A7*L7/$A$30</f>
        <v>1.2197524579564245E-3</v>
      </c>
      <c r="BC7" s="167">
        <f ca="1">$A7*M7/$A$30</f>
        <v>-3.4050495911969623E-3</v>
      </c>
      <c r="BD7" s="167"/>
      <c r="BE7" s="208">
        <f>Enter!B3</f>
        <v>37226</v>
      </c>
      <c r="BF7" s="208">
        <f>Enter!C3</f>
        <v>37211</v>
      </c>
      <c r="BG7" s="170"/>
      <c r="BI7" s="20"/>
      <c r="BJ7" s="20"/>
      <c r="BK7" s="20"/>
      <c r="BL7" s="20"/>
      <c r="BM7" s="20"/>
      <c r="BN7" s="20"/>
      <c r="BO7" s="20"/>
    </row>
    <row r="8" spans="1:67" x14ac:dyDescent="0.25">
      <c r="A8" s="156">
        <f>Proposal!A8</f>
        <v>200</v>
      </c>
      <c r="B8" s="18" t="str">
        <f>Proposal!B8</f>
        <v>AAA/AAA</v>
      </c>
      <c r="C8" s="42" t="str">
        <f>Proposal!C8</f>
        <v>PORT HOUSTON</v>
      </c>
      <c r="D8" s="160">
        <f>Proposal!D8</f>
        <v>4.7500000000000001E-2</v>
      </c>
      <c r="E8" s="247">
        <f>Income!D7</f>
        <v>43009</v>
      </c>
      <c r="F8" s="210">
        <f>Proposal!BG8</f>
        <v>4.5500440824577805E-2</v>
      </c>
      <c r="G8" s="219">
        <f>Proposal!J8</f>
        <v>101.566</v>
      </c>
      <c r="H8" s="126">
        <f t="shared" si="0"/>
        <v>7.7552339232072152</v>
      </c>
      <c r="I8" s="127">
        <f t="shared" ca="1" si="1"/>
        <v>0.1667745524570321</v>
      </c>
      <c r="J8" s="127">
        <f t="shared" ca="1" si="2"/>
        <v>0.10765759492225202</v>
      </c>
      <c r="K8" s="127">
        <f t="shared" ca="1" si="3"/>
        <v>5.2382972131358896E-2</v>
      </c>
      <c r="L8" s="127">
        <f t="shared" ca="1" si="4"/>
        <v>6.7961711347330755E-4</v>
      </c>
      <c r="M8" s="127">
        <f t="shared" ca="1" si="5"/>
        <v>-4.7703417664744063E-2</v>
      </c>
      <c r="N8" s="18"/>
      <c r="O8" s="18"/>
      <c r="P8" s="18"/>
      <c r="Q8" s="18"/>
      <c r="S8" s="194">
        <f>MDURATION(BF8,Proposal!BH8,D8,F8,2,0)</f>
        <v>7.7552339232072152</v>
      </c>
      <c r="T8" s="167" t="b">
        <f t="shared" si="6"/>
        <v>0</v>
      </c>
      <c r="U8" s="195">
        <f t="shared" si="7"/>
        <v>9500</v>
      </c>
      <c r="V8" s="188"/>
      <c r="W8" s="197">
        <f ca="1">IF(Proposal!$F8=0,1000,IF(DAYS360(Summary!$B$5,Proposal!$F8)&lt;360,1000,PRICE($BF8+360,Proposal!$F8,$D8,$F8,Proposal!$G8,2,0)))</f>
        <v>1000</v>
      </c>
      <c r="X8" s="193">
        <f>IF(Proposal!$H8=0,1000,IF(DAYS360(Summary!$B$5,Proposal!$H8)&lt;360,1000,PRICE($BF8+360,Proposal!$H8,$D8,$F8,100,2,0)))</f>
        <v>1000</v>
      </c>
      <c r="Y8" s="190">
        <f ca="1">IF($E8=0,1000,IF(DAYS360(Summary!$B$5,$E8)&lt;360,1000,PRICE($BF8+360,$E8,$D8,$F8,100,2,0)))</f>
        <v>102.13632894749358</v>
      </c>
      <c r="Z8" s="196">
        <f t="shared" ca="1" si="8"/>
        <v>5.2382972131358896E-2</v>
      </c>
      <c r="AA8" s="197">
        <f ca="1">IF(Proposal!$F8=0,1000,IF(DAYS360(Summary!$B$5,Proposal!$F8)&lt;360,1000,PRICE($BF8+360,Proposal!$F8,$D8,$F8+AA$4,Proposal!$G8,2,0)))</f>
        <v>1000</v>
      </c>
      <c r="AB8" s="193">
        <f>IF(Proposal!$H8=0,1000,IF(DAYS360(Summary!$B$5,Proposal!$H8)&lt;360,1000,PRICE($BF8+360,Proposal!$H8,$D8,$F8+AA$4,100,2,0)))</f>
        <v>1000</v>
      </c>
      <c r="AC8" s="190">
        <f ca="1">IF($E8=0,1000,IF(DAYS360(Summary!$B$5,$E8)&lt;360,1000,PRICE($BF8+360,$E8,$D8,$F8+AA$4,100,2,0)))</f>
        <v>113.7546241948509</v>
      </c>
      <c r="AD8" s="168">
        <f t="shared" ca="1" si="9"/>
        <v>0.1667745524570321</v>
      </c>
      <c r="AE8" s="197">
        <f ca="1">IF(Proposal!$F8=0,1000,IF(DAYS360(Summary!$B$5,Proposal!$F8)&lt;360,1000,PRICE($BF8+360,Proposal!$F8,$D8,$F8+AE$4,Proposal!$G8,2,0)))</f>
        <v>1000</v>
      </c>
      <c r="AF8" s="193">
        <f>IF(Proposal!$H8=0,1000,IF(DAYS360(Summary!$B$5,Proposal!$H8)&lt;360,1000,PRICE($BF8+360,Proposal!$H8,$D8,$F8+AE$4,100,2,0)))</f>
        <v>1000</v>
      </c>
      <c r="AG8" s="190">
        <f ca="1">IF($E8=0,1000,IF(DAYS360(Summary!$B$5,$E8)&lt;360,1000,PRICE($BF8+360,$E8,$D8,$F8+AE$4,100,2,0)))</f>
        <v>107.75035128587344</v>
      </c>
      <c r="AH8" s="168">
        <f t="shared" ca="1" si="10"/>
        <v>0.10765759492225202</v>
      </c>
      <c r="AI8" s="197">
        <f ca="1">IF(Proposal!$F8=0,1000,IF(DAYS360(Summary!$B$5,Proposal!$F8)&lt;360,1000,PRICE($BF8+360,Proposal!$F8,$D8,$F8+AI$4,Proposal!$G8,2,0)))</f>
        <v>1000</v>
      </c>
      <c r="AJ8" s="193">
        <f>IF(Proposal!$H8=0,1000,IF(DAYS360(Summary!$B$5,Proposal!$H8)&lt;360,1000,PRICE($BF8+360,Proposal!$H8,$D8,$F8+AI$4,100,2,0)))</f>
        <v>1000</v>
      </c>
      <c r="AK8" s="190">
        <f ca="1">IF($E8=0,1000,IF(DAYS360(Summary!$B$5,$E8)&lt;360,1000,PRICE($BF8+360,$E8,$D8,$F8+AI$4,100,2,0)))</f>
        <v>96.885025991747028</v>
      </c>
      <c r="AL8" s="168">
        <f t="shared" ca="1" si="11"/>
        <v>6.7961711347330755E-4</v>
      </c>
      <c r="AM8" s="197">
        <f ca="1">IF(Proposal!$F8=0,1000,IF(DAYS360(Summary!$B$5,Proposal!$F8)&lt;360,1000,PRICE($BF8+360,Proposal!$F8,$D8,$F8+AM$4,Proposal!$G8,2,0)))</f>
        <v>1000</v>
      </c>
      <c r="AN8" s="193">
        <f>IF(Proposal!$H8=0,1000,IF(DAYS360(Summary!$B$5,Proposal!$H8)&lt;360,1000,PRICE($BF8+360,Proposal!$H8,$D8,$F8+AM$4,100,2,0)))</f>
        <v>1000</v>
      </c>
      <c r="AO8" s="190">
        <f ca="1">IF($E8=0,1000,IF(DAYS360(Summary!$B$5,$E8)&lt;360,1000,PRICE($BF8+360,$E8,$D8,$F8+AM$4,100,2,0)))</f>
        <v>91.970954681462601</v>
      </c>
      <c r="AP8" s="168">
        <f t="shared" ca="1" si="12"/>
        <v>-4.7703417664744063E-2</v>
      </c>
      <c r="AQ8" s="167"/>
      <c r="AR8" s="169"/>
      <c r="AS8" s="188">
        <f t="shared" si="13"/>
        <v>203132</v>
      </c>
      <c r="AT8" s="191">
        <f t="shared" si="14"/>
        <v>4.7868702974786601E-3</v>
      </c>
      <c r="AU8" s="192">
        <f t="shared" si="15"/>
        <v>4334.2843078791511</v>
      </c>
      <c r="AV8" s="192">
        <f t="shared" ref="AV8:AV28" si="17">AS8*F8/AS$29</f>
        <v>4.5853622885338296E-3</v>
      </c>
      <c r="AW8" s="192">
        <f>AS8*Proposal!M8/AS$29</f>
        <v>4.7130637196292659E-3</v>
      </c>
      <c r="AX8" s="193">
        <f>AS8*H8/AS$29</f>
        <v>0.78154313509472662</v>
      </c>
      <c r="AY8" s="167">
        <f t="shared" ca="1" si="16"/>
        <v>5.2382972131358894E-3</v>
      </c>
      <c r="AZ8" s="167">
        <f t="shared" ref="AZ8:AZ28" ca="1" si="18">$A8*I8/$A$30</f>
        <v>1.6677455245703212E-2</v>
      </c>
      <c r="BA8" s="167">
        <f t="shared" ref="BA8:BA28" ca="1" si="19">$A8*J8/$A$30</f>
        <v>1.0765759492225201E-2</v>
      </c>
      <c r="BB8" s="167">
        <f t="shared" ref="BB8:BB28" ca="1" si="20">$A8*L8/$A$30</f>
        <v>6.7961711347330753E-5</v>
      </c>
      <c r="BC8" s="167">
        <f t="shared" ref="BC8:BC28" ca="1" si="21">$A8*M8/$A$30</f>
        <v>-4.7703417664744056E-3</v>
      </c>
      <c r="BD8" s="167"/>
      <c r="BE8" s="208">
        <f>Enter!B4</f>
        <v>37196</v>
      </c>
      <c r="BF8" s="208">
        <f>Enter!C4</f>
        <v>37224</v>
      </c>
      <c r="BG8" s="170"/>
      <c r="BI8" s="20"/>
      <c r="BJ8" s="20"/>
      <c r="BK8" s="20"/>
      <c r="BL8" s="20"/>
      <c r="BM8" s="20"/>
      <c r="BN8" s="20"/>
      <c r="BO8" s="20"/>
    </row>
    <row r="9" spans="1:67" x14ac:dyDescent="0.25">
      <c r="A9" s="156">
        <f>Proposal!A9</f>
        <v>200</v>
      </c>
      <c r="B9" s="18" t="str">
        <f>Proposal!B9</f>
        <v>AAA/AAA</v>
      </c>
      <c r="C9" s="42" t="str">
        <f>Proposal!C9</f>
        <v>MONROE WISC SCH</v>
      </c>
      <c r="D9" s="160">
        <f>Proposal!D9</f>
        <v>4.8750000000000002E-2</v>
      </c>
      <c r="E9" s="247">
        <f>Income!D8</f>
        <v>43191</v>
      </c>
      <c r="F9" s="210">
        <f>Proposal!BG9</f>
        <v>4.7000461142918989E-2</v>
      </c>
      <c r="G9" s="219">
        <f>Proposal!J9</f>
        <v>101.309</v>
      </c>
      <c r="H9" s="126">
        <f t="shared" si="0"/>
        <v>7.4298913645222324</v>
      </c>
      <c r="I9" s="127">
        <f t="shared" ca="1" si="1"/>
        <v>0.17031407579556279</v>
      </c>
      <c r="J9" s="127">
        <f t="shared" ca="1" si="2"/>
        <v>0.11010991351370558</v>
      </c>
      <c r="K9" s="127">
        <f t="shared" ca="1" si="3"/>
        <v>5.3918120811936143E-2</v>
      </c>
      <c r="L9" s="127">
        <f t="shared" ca="1" si="4"/>
        <v>1.447778989213111E-3</v>
      </c>
      <c r="M9" s="127">
        <f t="shared" ca="1" si="5"/>
        <v>-4.7569827408979082E-2</v>
      </c>
      <c r="N9" s="18"/>
      <c r="O9" s="18"/>
      <c r="P9" s="18"/>
      <c r="Q9" s="18"/>
      <c r="S9" s="194">
        <f>MDURATION(BF9,Proposal!BH9,D9,F9,2,0)</f>
        <v>7.4298913645222324</v>
      </c>
      <c r="T9" s="167" t="b">
        <f t="shared" si="6"/>
        <v>0</v>
      </c>
      <c r="U9" s="195">
        <f t="shared" si="7"/>
        <v>9750</v>
      </c>
      <c r="V9" s="188"/>
      <c r="W9" s="197">
        <f ca="1">IF(Proposal!$F9=0,1000,IF(DAYS360(Summary!$B$5,Proposal!$F9)&lt;360,1000,PRICE($BF9+360,Proposal!$F9,$D9,$F9,Proposal!$G9,2,0)))</f>
        <v>1000</v>
      </c>
      <c r="X9" s="193">
        <f>IF(Proposal!$H9=0,1000,IF(DAYS360(Summary!$B$5,Proposal!$H9)&lt;360,1000,PRICE($BF9+360,Proposal!$H9,$D9,$F9,100,2,0)))</f>
        <v>1000</v>
      </c>
      <c r="Y9" s="190">
        <f ca="1">IF($E9=0,1000,IF(DAYS360(Summary!$B$5,$E9)&lt;360,1000,PRICE($BF9+360,$E9,$D9,$F9,100,2,0)))</f>
        <v>101.89639090133643</v>
      </c>
      <c r="Z9" s="196">
        <f t="shared" ca="1" si="8"/>
        <v>5.3918120811936143E-2</v>
      </c>
      <c r="AA9" s="197">
        <f ca="1">IF(Proposal!$F9=0,1000,IF(DAYS360(Summary!$B$5,Proposal!$F9)&lt;360,1000,PRICE($BF9+360,Proposal!$F9,$D9,$F9+AA$4,Proposal!$G9,2,0)))</f>
        <v>1000</v>
      </c>
      <c r="AB9" s="193">
        <f>IF(Proposal!$H9=0,1000,IF(DAYS360(Summary!$B$5,Proposal!$H9)&lt;360,1000,PRICE($BF9+360,Proposal!$H9,$D9,$F9+AA$4,100,2,0)))</f>
        <v>1000</v>
      </c>
      <c r="AC9" s="190">
        <f ca="1">IF($E9=0,1000,IF(DAYS360(Summary!$B$5,$E9)&lt;360,1000,PRICE($BF9+360,$E9,$D9,$F9+AA$4,100,2,0)))</f>
        <v>113.68834870477268</v>
      </c>
      <c r="AD9" s="168">
        <f t="shared" ca="1" si="9"/>
        <v>0.17031407579556279</v>
      </c>
      <c r="AE9" s="197">
        <f ca="1">IF(Proposal!$F9=0,1000,IF(DAYS360(Summary!$B$5,Proposal!$F9)&lt;360,1000,PRICE($BF9+360,Proposal!$F9,$D9,$F9+AE$4,Proposal!$G9,2,0)))</f>
        <v>1000</v>
      </c>
      <c r="AF9" s="193">
        <f>IF(Proposal!$H9=0,1000,IF(DAYS360(Summary!$B$5,Proposal!$H9)&lt;360,1000,PRICE($BF9+360,Proposal!$H9,$D9,$F9+AE$4,100,2,0)))</f>
        <v>1000</v>
      </c>
      <c r="AG9" s="190">
        <f ca="1">IF($E9=0,1000,IF(DAYS360(Summary!$B$5,$E9)&lt;360,1000,PRICE($BF9+360,$E9,$D9,$F9+AE$4,100,2,0)))</f>
        <v>107.58912522816</v>
      </c>
      <c r="AH9" s="168">
        <f t="shared" ca="1" si="10"/>
        <v>0.11010991351370558</v>
      </c>
      <c r="AI9" s="197">
        <f ca="1">IF(Proposal!$F9=0,1000,IF(DAYS360(Summary!$B$5,Proposal!$F9)&lt;360,1000,PRICE($BF9+360,Proposal!$F9,$D9,$F9+AI$4,Proposal!$G9,2,0)))</f>
        <v>1000</v>
      </c>
      <c r="AJ9" s="193">
        <f>IF(Proposal!$H9=0,1000,IF(DAYS360(Summary!$B$5,Proposal!$H9)&lt;360,1000,PRICE($BF9+360,Proposal!$H9,$D9,$F9+AI$4,100,2,0)))</f>
        <v>1000</v>
      </c>
      <c r="AK9" s="190">
        <f ca="1">IF($E9=0,1000,IF(DAYS360(Summary!$B$5,$E9)&lt;360,1000,PRICE($BF9+360,$E9,$D9,$F9+AI$4,100,2,0)))</f>
        <v>96.580673041618198</v>
      </c>
      <c r="AL9" s="168">
        <f t="shared" ca="1" si="11"/>
        <v>1.447778989213111E-3</v>
      </c>
      <c r="AM9" s="197">
        <f ca="1">IF(Proposal!$F9=0,1000,IF(DAYS360(Summary!$B$5,Proposal!$F9)&lt;360,1000,PRICE($BF9+360,Proposal!$F9,$D9,$F9+AM$4,Proposal!$G9,2,0)))</f>
        <v>1000</v>
      </c>
      <c r="AN9" s="193">
        <f>IF(Proposal!$H9=0,1000,IF(DAYS360(Summary!$B$5,Proposal!$H9)&lt;360,1000,PRICE($BF9+360,Proposal!$H9,$D9,$F9+AM$4,100,2,0)))</f>
        <v>1000</v>
      </c>
      <c r="AO9" s="190">
        <f ca="1">IF($E9=0,1000,IF(DAYS360(Summary!$B$5,$E9)&lt;360,1000,PRICE($BF9+360,$E9,$D9,$F9+AM$4,100,2,0)))</f>
        <v>91.614748355023735</v>
      </c>
      <c r="AP9" s="168">
        <f t="shared" ca="1" si="12"/>
        <v>-4.7569827408979082E-2</v>
      </c>
      <c r="AQ9" s="167"/>
      <c r="AR9" s="169"/>
      <c r="AS9" s="188">
        <f t="shared" si="13"/>
        <v>202618</v>
      </c>
      <c r="AT9" s="191">
        <f t="shared" si="14"/>
        <v>4.9004092427644549E-3</v>
      </c>
      <c r="AU9" s="192">
        <f t="shared" si="15"/>
        <v>4341.6118072664531</v>
      </c>
      <c r="AV9" s="192">
        <f t="shared" si="17"/>
        <v>4.7245434707477293E-3</v>
      </c>
      <c r="AW9" s="192">
        <f>AS9*Proposal!M9/AS$29</f>
        <v>4.8370917122510879E-3</v>
      </c>
      <c r="AX9" s="193">
        <f t="shared" ref="AX9:AX28" si="22">AS9*H9/AS$29</f>
        <v>0.74686170903467808</v>
      </c>
      <c r="AY9" s="167">
        <f t="shared" ca="1" si="16"/>
        <v>5.3918120811936145E-3</v>
      </c>
      <c r="AZ9" s="167">
        <f t="shared" ca="1" si="18"/>
        <v>1.703140757955628E-2</v>
      </c>
      <c r="BA9" s="167">
        <f t="shared" ca="1" si="19"/>
        <v>1.1010991351370559E-2</v>
      </c>
      <c r="BB9" s="167">
        <f t="shared" ca="1" si="20"/>
        <v>1.447778989213111E-4</v>
      </c>
      <c r="BC9" s="167">
        <f t="shared" ca="1" si="21"/>
        <v>-4.756982740897908E-3</v>
      </c>
      <c r="BD9" s="167"/>
      <c r="BE9" s="208">
        <f>Enter!B5</f>
        <v>37196</v>
      </c>
      <c r="BF9" s="208">
        <f>Enter!C5</f>
        <v>37211</v>
      </c>
      <c r="BG9" s="170"/>
      <c r="BI9" s="20"/>
      <c r="BJ9" s="20"/>
      <c r="BK9" s="20"/>
      <c r="BL9" s="20"/>
      <c r="BM9" s="20"/>
      <c r="BN9" s="20"/>
      <c r="BO9" s="20"/>
    </row>
    <row r="10" spans="1:67" x14ac:dyDescent="0.25">
      <c r="A10" s="156">
        <f>Proposal!A10</f>
        <v>200</v>
      </c>
      <c r="B10" s="18" t="str">
        <f>Proposal!B10</f>
        <v>AAA/AA+</v>
      </c>
      <c r="C10" s="42" t="str">
        <f>Proposal!C10</f>
        <v>TROY MICH</v>
      </c>
      <c r="D10" s="160">
        <f>Proposal!D10</f>
        <v>4.5999999999999999E-2</v>
      </c>
      <c r="E10" s="247">
        <f>Income!D9</f>
        <v>43739</v>
      </c>
      <c r="F10" s="210">
        <f>Proposal!BG10</f>
        <v>4.6604700544822679E-2</v>
      </c>
      <c r="G10" s="219">
        <f>Proposal!J10</f>
        <v>99.266999999999996</v>
      </c>
      <c r="H10" s="126">
        <f t="shared" si="0"/>
        <v>12.002994077724539</v>
      </c>
      <c r="I10" s="127">
        <f t="shared" ca="1" si="1"/>
        <v>0.17212887530075682</v>
      </c>
      <c r="J10" s="127">
        <f t="shared" ca="1" si="2"/>
        <v>0.10701716135311545</v>
      </c>
      <c r="K10" s="127">
        <f t="shared" ca="1" si="3"/>
        <v>4.6610215000861377E-2</v>
      </c>
      <c r="L10" s="127">
        <f t="shared" ca="1" si="4"/>
        <v>-9.4618749513489808E-3</v>
      </c>
      <c r="M10" s="127">
        <f t="shared" ca="1" si="5"/>
        <v>-6.1538443082670313E-2</v>
      </c>
      <c r="N10" s="18"/>
      <c r="O10" s="18"/>
      <c r="P10" s="18"/>
      <c r="Q10" s="18"/>
      <c r="S10" s="194">
        <f>MDURATION(BF10,Proposal!BH10,D10,F10,2,0)</f>
        <v>12.002994077724539</v>
      </c>
      <c r="T10" s="167" t="b">
        <f t="shared" si="6"/>
        <v>0</v>
      </c>
      <c r="U10" s="195">
        <f t="shared" si="7"/>
        <v>9200</v>
      </c>
      <c r="V10" s="188"/>
      <c r="W10" s="197">
        <f ca="1">IF(Proposal!$F10=0,1000,IF(DAYS360(Summary!$B$5,Proposal!$F10)&lt;360,1000,PRICE($BF10+360,Proposal!$F10,$D10,$F10,Proposal!$G10,2,0)))</f>
        <v>1000</v>
      </c>
      <c r="X10" s="193">
        <f ca="1">IF(Proposal!$H10=0,1000,IF(DAYS360(Summary!$B$5,Proposal!$H10)&lt;360,1000,PRICE($BF10+360,Proposal!$H10,$D10,$F10,100,2,0)))</f>
        <v>1000</v>
      </c>
      <c r="Y10" s="190">
        <f ca="1">IF($E10=0,1000,IF(DAYS360(Summary!$B$5,$E10)&lt;360,1000,PRICE($BF10+360,$E10,$D10,$F10,100,2,0)))</f>
        <v>99.293856212490482</v>
      </c>
      <c r="Z10" s="196">
        <f t="shared" ca="1" si="8"/>
        <v>4.6610215000861377E-2</v>
      </c>
      <c r="AA10" s="197">
        <f ca="1">IF(Proposal!$F10=0,1000,IF(DAYS360(Summary!$B$5,Proposal!$F10)&lt;360,1000,PRICE($BF10+360,Proposal!$F10,$D10,$F10+AA$4,Proposal!$G10,2,0)))</f>
        <v>1000</v>
      </c>
      <c r="AB10" s="193">
        <f ca="1">IF(Proposal!$H10=0,1000,IF(DAYS360(Summary!$B$5,Proposal!$H10)&lt;360,1000,PRICE($BF10+360,Proposal!$H10,$D10,$F10+AA$4,100,2,0)))</f>
        <v>1000</v>
      </c>
      <c r="AC10" s="190">
        <f ca="1">IF($E10=0,1000,IF(DAYS360(Summary!$B$5,$E10)&lt;360,1000,PRICE($BF10+360,$E10,$D10,$F10+AA$4,100,2,0)))</f>
        <v>111.7537170644802</v>
      </c>
      <c r="AD10" s="168">
        <f t="shared" ca="1" si="9"/>
        <v>0.17212887530075682</v>
      </c>
      <c r="AE10" s="197">
        <f ca="1">IF(Proposal!$F10=0,1000,IF(DAYS360(Summary!$B$5,Proposal!$F10)&lt;360,1000,PRICE($BF10+360,Proposal!$F10,$D10,$F10+AE$4,Proposal!$G10,2,0)))</f>
        <v>1000</v>
      </c>
      <c r="AF10" s="193">
        <f ca="1">IF(Proposal!$H10=0,1000,IF(DAYS360(Summary!$B$5,Proposal!$H10)&lt;360,1000,PRICE($BF10+360,Proposal!$H10,$D10,$F10+AE$4,100,2,0)))</f>
        <v>1000</v>
      </c>
      <c r="AG10" s="190">
        <f ca="1">IF($E10=0,1000,IF(DAYS360(Summary!$B$5,$E10)&lt;360,1000,PRICE($BF10+360,$E10,$D10,$F10+AE$4,100,2,0)))</f>
        <v>105.29027255603968</v>
      </c>
      <c r="AH10" s="168">
        <f t="shared" ca="1" si="10"/>
        <v>0.10701716135311545</v>
      </c>
      <c r="AI10" s="197">
        <f ca="1">IF(Proposal!$F10=0,1000,IF(DAYS360(Summary!$B$5,Proposal!$F10)&lt;360,1000,PRICE($BF10+360,Proposal!$F10,$D10,$F10+AI$4,Proposal!$G10,2,0)))</f>
        <v>1000</v>
      </c>
      <c r="AJ10" s="193">
        <f ca="1">IF(Proposal!$H10=0,1000,IF(DAYS360(Summary!$B$5,Proposal!$H10)&lt;360,1000,PRICE($BF10+360,Proposal!$H10,$D10,$F10+AI$4,100,2,0)))</f>
        <v>1000</v>
      </c>
      <c r="AK10" s="190">
        <f ca="1">IF($E10=0,1000,IF(DAYS360(Summary!$B$5,$E10)&lt;360,1000,PRICE($BF10+360,$E10,$D10,$F10+AI$4,100,2,0)))</f>
        <v>93.727748059204416</v>
      </c>
      <c r="AL10" s="168">
        <f t="shared" ca="1" si="11"/>
        <v>-9.4618749513489808E-3</v>
      </c>
      <c r="AM10" s="197">
        <f ca="1">IF(Proposal!$F10=0,1000,IF(DAYS360(Summary!$B$5,Proposal!$F10)&lt;360,1000,PRICE($BF10+360,Proposal!$F10,$D10,$F10+AM$4,Proposal!$G10,2,0)))</f>
        <v>1000</v>
      </c>
      <c r="AN10" s="193">
        <f ca="1">IF(Proposal!$H10=0,1000,IF(DAYS360(Summary!$B$5,Proposal!$H10)&lt;360,1000,PRICE($BF10+360,Proposal!$H10,$D10,$F10+AM$4,100,2,0)))</f>
        <v>1000</v>
      </c>
      <c r="AO10" s="190">
        <f ca="1">IF($E10=0,1000,IF(DAYS360(Summary!$B$5,$E10)&lt;360,1000,PRICE($BF10+360,$E10,$D10,$F10+AM$4,100,2,0)))</f>
        <v>88.558263370512549</v>
      </c>
      <c r="AP10" s="168">
        <f t="shared" ca="1" si="12"/>
        <v>-6.1538443082670313E-2</v>
      </c>
      <c r="AQ10" s="167"/>
      <c r="AR10" s="169"/>
      <c r="AS10" s="188">
        <f t="shared" si="13"/>
        <v>198533.99999999997</v>
      </c>
      <c r="AT10" s="191">
        <f t="shared" si="14"/>
        <v>4.5307743216412965E-3</v>
      </c>
      <c r="AU10" s="192">
        <f t="shared" si="15"/>
        <v>4308.0769142232311</v>
      </c>
      <c r="AV10" s="192">
        <f t="shared" si="17"/>
        <v>4.5903343586144512E-3</v>
      </c>
      <c r="AW10" s="192">
        <f>AS10*Proposal!M10/AS$29</f>
        <v>4.5642301284830773E-3</v>
      </c>
      <c r="AX10" s="193">
        <f t="shared" si="22"/>
        <v>1.1822360293514542</v>
      </c>
      <c r="AY10" s="167">
        <f t="shared" ca="1" si="16"/>
        <v>4.6610215000861379E-3</v>
      </c>
      <c r="AZ10" s="167">
        <f t="shared" ca="1" si="18"/>
        <v>1.7212887530075684E-2</v>
      </c>
      <c r="BA10" s="167">
        <f t="shared" ca="1" si="19"/>
        <v>1.0701716135311547E-2</v>
      </c>
      <c r="BB10" s="167">
        <f t="shared" ca="1" si="20"/>
        <v>-9.4618749513489806E-4</v>
      </c>
      <c r="BC10" s="167">
        <f t="shared" ca="1" si="21"/>
        <v>-6.1538443082670312E-3</v>
      </c>
      <c r="BD10" s="167"/>
      <c r="BE10" s="208">
        <f>Enter!B6</f>
        <v>37196</v>
      </c>
      <c r="BF10" s="208">
        <f>Enter!C6</f>
        <v>37211</v>
      </c>
      <c r="BG10" s="170"/>
      <c r="BI10" s="20"/>
      <c r="BJ10" s="20"/>
      <c r="BK10" s="20"/>
      <c r="BL10" s="20"/>
      <c r="BM10" s="20"/>
      <c r="BN10" s="20"/>
      <c r="BO10" s="20"/>
    </row>
    <row r="11" spans="1:67" x14ac:dyDescent="0.25">
      <c r="A11" s="156">
        <f>Proposal!A11</f>
        <v>200</v>
      </c>
      <c r="B11" s="18" t="str">
        <f>Proposal!B11</f>
        <v>AAA/AAA</v>
      </c>
      <c r="C11" s="42" t="str">
        <f>Proposal!C11</f>
        <v>PASADENA TX COMB</v>
      </c>
      <c r="D11" s="160">
        <f>Proposal!D11</f>
        <v>0.05</v>
      </c>
      <c r="E11" s="247">
        <f>Income!D10</f>
        <v>43876</v>
      </c>
      <c r="F11" s="210">
        <f>Proposal!BG11</f>
        <v>4.7500586515454503E-2</v>
      </c>
      <c r="G11" s="219">
        <f>Proposal!J11</f>
        <v>101.68</v>
      </c>
      <c r="H11" s="126">
        <f t="shared" si="0"/>
        <v>6.6214030593167195</v>
      </c>
      <c r="I11" s="127">
        <f t="shared" ca="1" si="1"/>
        <v>0.18770510656119299</v>
      </c>
      <c r="J11" s="127">
        <f t="shared" ca="1" si="2"/>
        <v>0.12211473305291265</v>
      </c>
      <c r="K11" s="127">
        <f t="shared" ca="1" si="3"/>
        <v>6.1303001958218584E-2</v>
      </c>
      <c r="L11" s="127">
        <f t="shared" ca="1" si="4"/>
        <v>4.8894457556203363E-3</v>
      </c>
      <c r="M11" s="127">
        <f t="shared" ca="1" si="5"/>
        <v>-4.7474501633710475E-2</v>
      </c>
      <c r="N11" s="18"/>
      <c r="O11" s="18"/>
      <c r="P11" s="18"/>
      <c r="Q11" s="18"/>
      <c r="S11" s="194">
        <f>MDURATION(BF11,Proposal!BH11,D11,F11,2,0)</f>
        <v>6.6214030593167195</v>
      </c>
      <c r="T11" s="167" t="b">
        <f t="shared" si="6"/>
        <v>0</v>
      </c>
      <c r="U11" s="195">
        <f t="shared" si="7"/>
        <v>10000</v>
      </c>
      <c r="V11" s="188"/>
      <c r="W11" s="197">
        <f ca="1">IF(Proposal!$F11=0,1000,IF(DAYS360(Summary!$B$5,Proposal!$F11)&lt;360,1000,PRICE($BF11+360,Proposal!$F11,$D11,$F11,Proposal!$G11,2,0)))</f>
        <v>1000</v>
      </c>
      <c r="X11" s="193">
        <f>IF(Proposal!$H11=0,1000,IF(DAYS360(Summary!$B$5,Proposal!$H11)&lt;360,1000,PRICE($BF11+360,Proposal!$H11,$D11,$F11,100,2,0)))</f>
        <v>1000</v>
      </c>
      <c r="Y11" s="190">
        <f ca="1">IF($E11=0,1000,IF(DAYS360(Summary!$B$5,$E11)&lt;360,1000,PRICE($BF11+360,$E11,$D11,$F11,100,2,0)))</f>
        <v>102.91328923911168</v>
      </c>
      <c r="Z11" s="196">
        <f t="shared" ca="1" si="8"/>
        <v>6.1303001958218584E-2</v>
      </c>
      <c r="AA11" s="197">
        <f ca="1">IF(Proposal!$F11=0,1000,IF(DAYS360(Summary!$B$5,Proposal!$F11)&lt;360,1000,PRICE($BF11+360,Proposal!$F11,$D11,$F11+AA$4,Proposal!$G11,2,0)))</f>
        <v>1000</v>
      </c>
      <c r="AB11" s="193">
        <f>IF(Proposal!$H11=0,1000,IF(DAYS360(Summary!$B$5,Proposal!$H11)&lt;360,1000,PRICE($BF11+360,Proposal!$H11,$D11,$F11+AA$4,100,2,0)))</f>
        <v>1000</v>
      </c>
      <c r="AC11" s="190">
        <f ca="1">IF($E11=0,1000,IF(DAYS360(Summary!$B$5,$E11)&lt;360,1000,PRICE($BF11+360,$E11,$D11,$F11+AA$4,100,2,0)))</f>
        <v>115.7658552351421</v>
      </c>
      <c r="AD11" s="168">
        <f t="shared" ca="1" si="9"/>
        <v>0.18770510656119299</v>
      </c>
      <c r="AE11" s="197">
        <f ca="1">IF(Proposal!$F11=0,1000,IF(DAYS360(Summary!$B$5,Proposal!$F11)&lt;360,1000,PRICE($BF11+360,Proposal!$F11,$D11,$F11+AE$4,Proposal!$G11,2,0)))</f>
        <v>1000</v>
      </c>
      <c r="AF11" s="193">
        <f>IF(Proposal!$H11=0,1000,IF(DAYS360(Summary!$B$5,Proposal!$H11)&lt;360,1000,PRICE($BF11+360,Proposal!$H11,$D11,$F11+AE$4,100,2,0)))</f>
        <v>1000</v>
      </c>
      <c r="AG11" s="190">
        <f ca="1">IF($E11=0,1000,IF(DAYS360(Summary!$B$5,$E11)&lt;360,1000,PRICE($BF11+360,$E11,$D11,$F11+AE$4,100,2,0)))</f>
        <v>109.09662605682017</v>
      </c>
      <c r="AH11" s="168">
        <f t="shared" ca="1" si="10"/>
        <v>0.12211473305291265</v>
      </c>
      <c r="AI11" s="197">
        <f ca="1">IF(Proposal!$F11=0,1000,IF(DAYS360(Summary!$B$5,Proposal!$F11)&lt;360,1000,PRICE($BF11+360,Proposal!$F11,$D11,$F11+AI$4,Proposal!$G11,2,0)))</f>
        <v>1000</v>
      </c>
      <c r="AJ11" s="193">
        <f>IF(Proposal!$H11=0,1000,IF(DAYS360(Summary!$B$5,Proposal!$H11)&lt;360,1000,PRICE($BF11+360,Proposal!$H11,$D11,$F11+AI$4,100,2,0)))</f>
        <v>1000</v>
      </c>
      <c r="AK11" s="190">
        <f ca="1">IF($E11=0,1000,IF(DAYS360(Summary!$B$5,$E11)&lt;360,1000,PRICE($BF11+360,$E11,$D11,$F11+AI$4,100,2,0)))</f>
        <v>97.177158844431474</v>
      </c>
      <c r="AL11" s="168">
        <f t="shared" ca="1" si="11"/>
        <v>4.8894457556203363E-3</v>
      </c>
      <c r="AM11" s="197">
        <f ca="1">IF(Proposal!$F11=0,1000,IF(DAYS360(Summary!$B$5,Proposal!$F11)&lt;360,1000,PRICE($BF11+360,Proposal!$F11,$D11,$F11+AM$4,Proposal!$G11,2,0)))</f>
        <v>1000</v>
      </c>
      <c r="AN11" s="193">
        <f>IF(Proposal!$H11=0,1000,IF(DAYS360(Summary!$B$5,Proposal!$H11)&lt;360,1000,PRICE($BF11+360,Proposal!$H11,$D11,$F11+AM$4,100,2,0)))</f>
        <v>1000</v>
      </c>
      <c r="AO11" s="190">
        <f ca="1">IF($E11=0,1000,IF(DAYS360(Summary!$B$5,$E11)&lt;360,1000,PRICE($BF11+360,$E11,$D11,$F11+AM$4,100,2,0)))</f>
        <v>91.852792673884323</v>
      </c>
      <c r="AP11" s="168">
        <f t="shared" ca="1" si="12"/>
        <v>-4.7474501633710475E-2</v>
      </c>
      <c r="AQ11" s="167"/>
      <c r="AR11" s="169"/>
      <c r="AS11" s="188">
        <f t="shared" si="13"/>
        <v>203360</v>
      </c>
      <c r="AT11" s="191">
        <f t="shared" si="14"/>
        <v>5.0444665159147762E-3</v>
      </c>
      <c r="AU11" s="192">
        <f t="shared" si="15"/>
        <v>4426.6202570455343</v>
      </c>
      <c r="AV11" s="192">
        <f t="shared" si="17"/>
        <v>4.7923023632704632E-3</v>
      </c>
      <c r="AW11" s="192">
        <f>AS11*Proposal!M11/AS$29</f>
        <v>4.9611197048729109E-3</v>
      </c>
      <c r="AX11" s="193">
        <f t="shared" si="22"/>
        <v>0.66802892042197692</v>
      </c>
      <c r="AY11" s="167">
        <f t="shared" ca="1" si="16"/>
        <v>6.1303001958218587E-3</v>
      </c>
      <c r="AZ11" s="167">
        <f t="shared" ca="1" si="18"/>
        <v>1.8770510656119298E-2</v>
      </c>
      <c r="BA11" s="167">
        <f t="shared" ca="1" si="19"/>
        <v>1.2211473305291263E-2</v>
      </c>
      <c r="BB11" s="167">
        <f t="shared" ca="1" si="20"/>
        <v>4.8894457556203363E-4</v>
      </c>
      <c r="BC11" s="167">
        <f t="shared" ca="1" si="21"/>
        <v>-4.747450163371047E-3</v>
      </c>
      <c r="BD11" s="167"/>
      <c r="BE11" s="208">
        <f>Enter!B7</f>
        <v>37210</v>
      </c>
      <c r="BF11" s="208">
        <f>Enter!C7</f>
        <v>37215</v>
      </c>
      <c r="BG11" s="170"/>
      <c r="BI11" s="20"/>
      <c r="BJ11" s="20"/>
      <c r="BK11" s="20"/>
      <c r="BL11" s="20"/>
      <c r="BM11" s="20"/>
      <c r="BN11" s="20"/>
      <c r="BO11" s="20"/>
    </row>
    <row r="12" spans="1:67" x14ac:dyDescent="0.25">
      <c r="A12" s="156">
        <f>Proposal!A12</f>
        <v>200</v>
      </c>
      <c r="B12" s="18" t="str">
        <f>Proposal!B12</f>
        <v>AAA/AAA</v>
      </c>
      <c r="C12" s="42" t="str">
        <f>Proposal!C12</f>
        <v>N.HARRIS MONT CCD</v>
      </c>
      <c r="D12" s="160">
        <f>Proposal!D12</f>
        <v>0.05</v>
      </c>
      <c r="E12" s="247">
        <f>Income!D11</f>
        <v>44242</v>
      </c>
      <c r="F12" s="210">
        <f>Proposal!BG12</f>
        <v>4.8500299553935262E-2</v>
      </c>
      <c r="G12" s="219">
        <f>Proposal!J12</f>
        <v>101.002</v>
      </c>
      <c r="H12" s="126">
        <f t="shared" si="0"/>
        <v>6.6231554888039774</v>
      </c>
      <c r="I12" s="127">
        <f t="shared" ca="1" si="1"/>
        <v>0.1878652899667872</v>
      </c>
      <c r="J12" s="127">
        <f t="shared" ca="1" si="2"/>
        <v>0.12003312503760033</v>
      </c>
      <c r="K12" s="127">
        <f t="shared" ca="1" si="3"/>
        <v>5.7363289349669166E-2</v>
      </c>
      <c r="L12" s="127">
        <f t="shared" ca="1" si="4"/>
        <v>-5.7468340361777059E-4</v>
      </c>
      <c r="M12" s="127">
        <f t="shared" ca="1" si="5"/>
        <v>-5.4173440907465675E-2</v>
      </c>
      <c r="N12" s="18"/>
      <c r="O12" s="18"/>
      <c r="P12" s="18"/>
      <c r="Q12" s="18"/>
      <c r="S12" s="194">
        <f>MDURATION(BF12,Proposal!BH12,D12,F12,2,0)</f>
        <v>6.6231554888039774</v>
      </c>
      <c r="T12" s="167" t="b">
        <f t="shared" si="6"/>
        <v>0</v>
      </c>
      <c r="U12" s="195">
        <f t="shared" si="7"/>
        <v>10000</v>
      </c>
      <c r="V12" s="188"/>
      <c r="W12" s="197">
        <f ca="1">IF(Proposal!$F12=0,1000,IF(DAYS360(Summary!$B$5,Proposal!$F12)&lt;360,1000,PRICE($BF12+360,Proposal!$F12,$D12,$F12,Proposal!$G12,2,0)))</f>
        <v>1000</v>
      </c>
      <c r="X12" s="193">
        <f>IF(Proposal!$H12=0,1000,IF(DAYS360(Summary!$B$5,Proposal!$H12)&lt;360,1000,PRICE($BF12+360,Proposal!$H12,$D12,$F12,100,2,0)))</f>
        <v>1000</v>
      </c>
      <c r="Y12" s="190">
        <f ca="1">IF($E12=0,1000,IF(DAYS360(Summary!$B$5,$E12)&lt;360,1000,PRICE($BF12+360,$E12,$D12,$F12,100,2,0)))</f>
        <v>101.79580695089525</v>
      </c>
      <c r="Z12" s="196">
        <f t="shared" ca="1" si="8"/>
        <v>5.7363289349669166E-2</v>
      </c>
      <c r="AA12" s="197">
        <f ca="1">IF(Proposal!$F12=0,1000,IF(DAYS360(Summary!$B$5,Proposal!$F12)&lt;360,1000,PRICE($BF12+360,Proposal!$F12,$D12,$F12+AA$4,Proposal!$G12,2,0)))</f>
        <v>1000</v>
      </c>
      <c r="AB12" s="193">
        <f>IF(Proposal!$H12=0,1000,IF(DAYS360(Summary!$B$5,Proposal!$H12)&lt;360,1000,PRICE($BF12+360,Proposal!$H12,$D12,$F12+AA$4,100,2,0)))</f>
        <v>1000</v>
      </c>
      <c r="AC12" s="190">
        <f ca="1">IF($E12=0,1000,IF(DAYS360(Summary!$B$5,$E12)&lt;360,1000,PRICE($BF12+360,$E12,$D12,$F12+AA$4,100,2,0)))</f>
        <v>114.97677001722543</v>
      </c>
      <c r="AD12" s="168">
        <f t="shared" ca="1" si="9"/>
        <v>0.1878652899667872</v>
      </c>
      <c r="AE12" s="197">
        <f ca="1">IF(Proposal!$F12=0,1000,IF(DAYS360(Summary!$B$5,Proposal!$F12)&lt;360,1000,PRICE($BF12+360,Proposal!$F12,$D12,$F12+AE$4,Proposal!$G12,2,0)))</f>
        <v>1000</v>
      </c>
      <c r="AF12" s="193">
        <f>IF(Proposal!$H12=0,1000,IF(DAYS360(Summary!$B$5,Proposal!$H12)&lt;360,1000,PRICE($BF12+360,Proposal!$H12,$D12,$F12+AE$4,100,2,0)))</f>
        <v>1000</v>
      </c>
      <c r="AG12" s="190">
        <f ca="1">IF($E12=0,1000,IF(DAYS360(Summary!$B$5,$E12)&lt;360,1000,PRICE($BF12+360,$E12,$D12,$F12+AE$4,100,2,0)))</f>
        <v>108.1255856950477</v>
      </c>
      <c r="AH12" s="168">
        <f t="shared" ca="1" si="10"/>
        <v>0.12003312503760033</v>
      </c>
      <c r="AI12" s="197">
        <f ca="1">IF(Proposal!$F12=0,1000,IF(DAYS360(Summary!$B$5,Proposal!$F12)&lt;360,1000,PRICE($BF12+360,Proposal!$F12,$D12,$F12+AI$4,Proposal!$G12,2,0)))</f>
        <v>1000</v>
      </c>
      <c r="AJ12" s="193">
        <f>IF(Proposal!$H12=0,1000,IF(DAYS360(Summary!$B$5,Proposal!$H12)&lt;360,1000,PRICE($BF12+360,Proposal!$H12,$D12,$F12+AI$4,100,2,0)))</f>
        <v>1000</v>
      </c>
      <c r="AK12" s="190">
        <f ca="1">IF($E12=0,1000,IF(DAYS360(Summary!$B$5,$E12)&lt;360,1000,PRICE($BF12+360,$E12,$D12,$F12+AI$4,100,2,0)))</f>
        <v>95.943955826867779</v>
      </c>
      <c r="AL12" s="168">
        <f t="shared" ca="1" si="11"/>
        <v>-5.7468340361777059E-4</v>
      </c>
      <c r="AM12" s="197">
        <f ca="1">IF(Proposal!$F12=0,1000,IF(DAYS360(Summary!$B$5,Proposal!$F12)&lt;360,1000,PRICE($BF12+360,Proposal!$F12,$D12,$F12+AM$4,Proposal!$G12,2,0)))</f>
        <v>1000</v>
      </c>
      <c r="AN12" s="193">
        <f>IF(Proposal!$H12=0,1000,IF(DAYS360(Summary!$B$5,Proposal!$H12)&lt;360,1000,PRICE($BF12+360,Proposal!$H12,$D12,$F12+AM$4,100,2,0)))</f>
        <v>1000</v>
      </c>
      <c r="AO12" s="190">
        <f ca="1">IF($E12=0,1000,IF(DAYS360(Summary!$B$5,$E12)&lt;360,1000,PRICE($BF12+360,$E12,$D12,$F12+AM$4,100,2,0)))</f>
        <v>90.530374121464135</v>
      </c>
      <c r="AP12" s="168">
        <f t="shared" ca="1" si="12"/>
        <v>-5.4173440907465675E-2</v>
      </c>
      <c r="AQ12" s="167"/>
      <c r="AR12" s="169"/>
      <c r="AS12" s="188">
        <f t="shared" si="13"/>
        <v>202003.99999999997</v>
      </c>
      <c r="AT12" s="191">
        <f t="shared" si="14"/>
        <v>5.0108301243157374E-3</v>
      </c>
      <c r="AU12" s="192">
        <f t="shared" si="15"/>
        <v>4433.7829271995361</v>
      </c>
      <c r="AV12" s="192">
        <f t="shared" si="17"/>
        <v>4.8605352408639182E-3</v>
      </c>
      <c r="AW12" s="192">
        <f>AS12*Proposal!M12/AS$29</f>
        <v>4.9611197048729109E-3</v>
      </c>
      <c r="AX12" s="193">
        <f t="shared" si="22"/>
        <v>0.66375014082652184</v>
      </c>
      <c r="AY12" s="167">
        <f t="shared" ca="1" si="16"/>
        <v>5.736328934966917E-3</v>
      </c>
      <c r="AZ12" s="167">
        <f t="shared" ca="1" si="18"/>
        <v>1.8786528996678719E-2</v>
      </c>
      <c r="BA12" s="167">
        <f t="shared" ca="1" si="19"/>
        <v>1.2003312503760032E-2</v>
      </c>
      <c r="BB12" s="167">
        <f t="shared" ca="1" si="20"/>
        <v>-5.7468340361777058E-5</v>
      </c>
      <c r="BC12" s="167">
        <f t="shared" ca="1" si="21"/>
        <v>-5.4173440907465675E-3</v>
      </c>
      <c r="BD12" s="167"/>
      <c r="BE12" s="208">
        <f>Enter!B8</f>
        <v>36965</v>
      </c>
      <c r="BF12" s="208">
        <f>Enter!C8</f>
        <v>37211</v>
      </c>
      <c r="BG12" s="170"/>
      <c r="BI12" s="20"/>
      <c r="BJ12" s="20"/>
      <c r="BK12" s="20"/>
      <c r="BL12" s="20"/>
      <c r="BM12" s="20"/>
      <c r="BN12" s="20"/>
      <c r="BO12" s="20"/>
    </row>
    <row r="13" spans="1:67" x14ac:dyDescent="0.25">
      <c r="A13" s="156">
        <f>Proposal!A13</f>
        <v>200</v>
      </c>
      <c r="B13" s="18" t="str">
        <f>Proposal!B13</f>
        <v>AAA/AAA</v>
      </c>
      <c r="C13" s="42" t="str">
        <f>Proposal!C13</f>
        <v>PHILADELPHIA PA SCH</v>
      </c>
      <c r="D13" s="160">
        <f>Proposal!D13</f>
        <v>4.4999999999999998E-2</v>
      </c>
      <c r="E13" s="247">
        <f>Income!D12</f>
        <v>45017</v>
      </c>
      <c r="F13" s="210">
        <f>Proposal!BG13</f>
        <v>4.800043130257959E-2</v>
      </c>
      <c r="G13" s="219">
        <f>Proposal!J13</f>
        <v>96.012</v>
      </c>
      <c r="H13" s="126">
        <f t="shared" si="0"/>
        <v>13.377662463866121</v>
      </c>
      <c r="I13" s="127">
        <f t="shared" ca="1" si="1"/>
        <v>0.19116667356009498</v>
      </c>
      <c r="J13" s="127">
        <f t="shared" ca="1" si="2"/>
        <v>0.1164522900501439</v>
      </c>
      <c r="K13" s="127">
        <f t="shared" ca="1" si="3"/>
        <v>4.8004297940983154E-2</v>
      </c>
      <c r="L13" s="127">
        <f t="shared" ca="1" si="4"/>
        <v>-1.4753195930125473E-2</v>
      </c>
      <c r="M13" s="127">
        <f t="shared" ca="1" si="5"/>
        <v>-7.2340398942438378E-2</v>
      </c>
      <c r="N13" s="18"/>
      <c r="O13" s="18"/>
      <c r="P13" s="18"/>
      <c r="Q13" s="18"/>
      <c r="S13" s="194">
        <f>MDURATION(BF13,Proposal!BH13,D13,F13,2,0)</f>
        <v>13.377662463866121</v>
      </c>
      <c r="T13" s="167" t="b">
        <f t="shared" si="6"/>
        <v>0</v>
      </c>
      <c r="U13" s="195">
        <f t="shared" si="7"/>
        <v>9000</v>
      </c>
      <c r="V13" s="188"/>
      <c r="W13" s="197">
        <f ca="1">IF(Proposal!$F13=0,1000,IF(DAYS360(Summary!$B$5,Proposal!$F13)&lt;360,1000,PRICE($BF13+360,Proposal!$F13,$D13,$F13,Proposal!$G13,2,0)))</f>
        <v>1000</v>
      </c>
      <c r="X13" s="193">
        <f>IF(Proposal!$H13=0,1000,IF(DAYS360(Summary!$B$5,Proposal!$H13)&lt;360,1000,PRICE($BF13+360,Proposal!$H13,$D13,$F13,100,2,0)))</f>
        <v>1000</v>
      </c>
      <c r="Y13" s="190">
        <f ca="1">IF($E13=0,1000,IF(DAYS360(Summary!$B$5,$E13)&lt;360,1000,PRICE($BF13+360,$E13,$D13,$F13,100,2,0)))</f>
        <v>96.120988653909677</v>
      </c>
      <c r="Z13" s="196">
        <f t="shared" ca="1" si="8"/>
        <v>4.8004297940983154E-2</v>
      </c>
      <c r="AA13" s="197">
        <f ca="1">IF(Proposal!$F13=0,1000,IF(DAYS360(Summary!$B$5,Proposal!$F13)&lt;360,1000,PRICE($BF13+360,Proposal!$F13,$D13,$F13+AA$4,Proposal!$G13,2,0)))</f>
        <v>1000</v>
      </c>
      <c r="AB13" s="193">
        <f>IF(Proposal!$H13=0,1000,IF(DAYS360(Summary!$B$5,Proposal!$H13)&lt;360,1000,PRICE($BF13+360,Proposal!$H13,$D13,$F13+AA$4,100,2,0)))</f>
        <v>1000</v>
      </c>
      <c r="AC13" s="190">
        <f ca="1">IF($E13=0,1000,IF(DAYS360(Summary!$B$5,$E13)&lt;360,1000,PRICE($BF13+360,$E13,$D13,$F13+AA$4,100,2,0)))</f>
        <v>109.86629466185182</v>
      </c>
      <c r="AD13" s="168">
        <f t="shared" ca="1" si="9"/>
        <v>0.19116667356009498</v>
      </c>
      <c r="AE13" s="197">
        <f ca="1">IF(Proposal!$F13=0,1000,IF(DAYS360(Summary!$B$5,Proposal!$F13)&lt;360,1000,PRICE($BF13+360,Proposal!$F13,$D13,$F13+AE$4,Proposal!$G13,2,0)))</f>
        <v>1000</v>
      </c>
      <c r="AF13" s="193">
        <f>IF(Proposal!$H13=0,1000,IF(DAYS360(Summary!$B$5,Proposal!$H13)&lt;360,1000,PRICE($BF13+360,Proposal!$H13,$D13,$F13+AE$4,100,2,0)))</f>
        <v>1000</v>
      </c>
      <c r="AG13" s="190">
        <f ca="1">IF($E13=0,1000,IF(DAYS360(Summary!$B$5,$E13)&lt;360,1000,PRICE($BF13+360,$E13,$D13,$F13+AE$4,100,2,0)))</f>
        <v>102.69281727229441</v>
      </c>
      <c r="AH13" s="168">
        <f t="shared" ca="1" si="10"/>
        <v>0.1164522900501439</v>
      </c>
      <c r="AI13" s="197">
        <f ca="1">IF(Proposal!$F13=0,1000,IF(DAYS360(Summary!$B$5,Proposal!$F13)&lt;360,1000,PRICE($BF13+360,Proposal!$F13,$D13,$F13+AI$4,Proposal!$G13,2,0)))</f>
        <v>1000</v>
      </c>
      <c r="AJ13" s="193">
        <f>IF(Proposal!$H13=0,1000,IF(DAYS360(Summary!$B$5,Proposal!$H13)&lt;360,1000,PRICE($BF13+360,Proposal!$H13,$D13,$F13+AI$4,100,2,0)))</f>
        <v>1000</v>
      </c>
      <c r="AK13" s="190">
        <f ca="1">IF($E13=0,1000,IF(DAYS360(Summary!$B$5,$E13)&lt;360,1000,PRICE($BF13+360,$E13,$D13,$F13+AI$4,100,2,0)))</f>
        <v>90.095516152356794</v>
      </c>
      <c r="AL13" s="168">
        <f t="shared" ca="1" si="11"/>
        <v>-1.4753195930125473E-2</v>
      </c>
      <c r="AM13" s="197">
        <f ca="1">IF(Proposal!$F13=0,1000,IF(DAYS360(Summary!$B$5,Proposal!$F13)&lt;360,1000,PRICE($BF13+360,Proposal!$F13,$D13,$F13+AM$4,Proposal!$G13,2,0)))</f>
        <v>1000</v>
      </c>
      <c r="AN13" s="193">
        <f>IF(Proposal!$H13=0,1000,IF(DAYS360(Summary!$B$5,Proposal!$H13)&lt;360,1000,PRICE($BF13+360,Proposal!$H13,$D13,$F13+AM$4,100,2,0)))</f>
        <v>1000</v>
      </c>
      <c r="AO13" s="190">
        <f ca="1">IF($E13=0,1000,IF(DAYS360(Summary!$B$5,$E13)&lt;360,1000,PRICE($BF13+360,$E13,$D13,$F13+AM$4,100,2,0)))</f>
        <v>84.566453616738613</v>
      </c>
      <c r="AP13" s="168">
        <f t="shared" ca="1" si="12"/>
        <v>-7.2340398942438378E-2</v>
      </c>
      <c r="AQ13" s="167"/>
      <c r="AR13" s="169"/>
      <c r="AS13" s="188">
        <f t="shared" si="13"/>
        <v>192024</v>
      </c>
      <c r="AT13" s="191">
        <f t="shared" si="14"/>
        <v>4.2869432259383215E-3</v>
      </c>
      <c r="AU13" s="192">
        <f t="shared" si="15"/>
        <v>4288.5627378236759</v>
      </c>
      <c r="AV13" s="192">
        <f t="shared" si="17"/>
        <v>4.5727805292158077E-3</v>
      </c>
      <c r="AW13" s="192">
        <f>AS13*Proposal!M13/AS$29</f>
        <v>4.46500773438562E-3</v>
      </c>
      <c r="AX13" s="193">
        <f t="shared" si="22"/>
        <v>1.2744284328524493</v>
      </c>
      <c r="AY13" s="167">
        <f t="shared" ca="1" si="16"/>
        <v>4.800429794098315E-3</v>
      </c>
      <c r="AZ13" s="167">
        <f t="shared" ca="1" si="18"/>
        <v>1.9116667356009497E-2</v>
      </c>
      <c r="BA13" s="167">
        <f t="shared" ca="1" si="19"/>
        <v>1.164522900501439E-2</v>
      </c>
      <c r="BB13" s="167">
        <f t="shared" ca="1" si="20"/>
        <v>-1.4753195930125474E-3</v>
      </c>
      <c r="BC13" s="167">
        <f t="shared" ca="1" si="21"/>
        <v>-7.2340398942438372E-3</v>
      </c>
      <c r="BD13" s="167"/>
      <c r="BE13" s="208">
        <f>Enter!B9</f>
        <v>36144</v>
      </c>
      <c r="BF13" s="208">
        <f>Enter!C9</f>
        <v>37211</v>
      </c>
      <c r="BG13" s="170"/>
      <c r="BI13" s="20"/>
      <c r="BJ13" s="20"/>
      <c r="BK13" s="20"/>
      <c r="BL13" s="20"/>
      <c r="BM13" s="20"/>
      <c r="BN13" s="20"/>
      <c r="BO13" s="20"/>
    </row>
    <row r="14" spans="1:67" x14ac:dyDescent="0.25">
      <c r="A14" s="156">
        <f>Proposal!A14</f>
        <v>100</v>
      </c>
      <c r="B14" s="18" t="str">
        <f>Proposal!B14</f>
        <v>AAA/AAA</v>
      </c>
      <c r="C14" s="42" t="str">
        <f>Proposal!C14</f>
        <v>TEXAS TURNPIKE</v>
      </c>
      <c r="D14" s="160">
        <f>Proposal!D14</f>
        <v>0.05</v>
      </c>
      <c r="E14" s="247">
        <f>Income!D13</f>
        <v>45658</v>
      </c>
      <c r="F14" s="210">
        <f>Proposal!BG14</f>
        <v>4.9001843414157857E-2</v>
      </c>
      <c r="G14" s="219">
        <f>Proposal!J14</f>
        <v>100.517</v>
      </c>
      <c r="H14" s="126">
        <f t="shared" si="0"/>
        <v>5.1310465817122246</v>
      </c>
      <c r="I14" s="127">
        <f t="shared" ca="1" si="1"/>
        <v>0.20579983858033302</v>
      </c>
      <c r="J14" s="127">
        <f t="shared" ca="1" si="2"/>
        <v>0.12842006284767127</v>
      </c>
      <c r="K14" s="127">
        <f t="shared" ca="1" si="3"/>
        <v>5.7865151387488378E-2</v>
      </c>
      <c r="L14" s="127">
        <f t="shared" ca="1" si="4"/>
        <v>-6.5305931366914649E-3</v>
      </c>
      <c r="M14" s="127">
        <f t="shared" ca="1" si="5"/>
        <v>-6.5364306906233072E-2</v>
      </c>
      <c r="N14" s="18"/>
      <c r="O14" s="18"/>
      <c r="P14" s="18"/>
      <c r="Q14" s="18"/>
      <c r="S14" s="194">
        <f>MDURATION(BF14,Proposal!BH14,D14,F14,2,0)</f>
        <v>5.1310465817122246</v>
      </c>
      <c r="T14" s="167" t="b">
        <f t="shared" si="6"/>
        <v>0</v>
      </c>
      <c r="U14" s="195">
        <f t="shared" si="7"/>
        <v>5000</v>
      </c>
      <c r="V14" s="188"/>
      <c r="W14" s="197">
        <f ca="1">IF(Proposal!$F14=0,1000,IF(DAYS360(Summary!$B$5,Proposal!$F14)&lt;360,1000,PRICE($BF14+360,Proposal!$F14,$D14,$F14,Proposal!$G14,2,0)))</f>
        <v>1000</v>
      </c>
      <c r="X14" s="193">
        <f ca="1">IF(Proposal!$H14=0,1000,IF(DAYS360(Summary!$B$5,Proposal!$H14)&lt;360,1000,PRICE($BF14+360,Proposal!$H14,$D14,$F14,100,2,0)))</f>
        <v>1000</v>
      </c>
      <c r="Y14" s="190">
        <f ca="1">IF($E14=0,1000,IF(DAYS360(Summary!$B$5,$E14)&lt;360,1000,PRICE($BF14+360,$E14,$D14,$F14,100,2,0)))</f>
        <v>101.33343142201615</v>
      </c>
      <c r="Z14" s="196">
        <f t="shared" ca="1" si="8"/>
        <v>5.7865151387488378E-2</v>
      </c>
      <c r="AA14" s="197">
        <f ca="1">IF(Proposal!$F14=0,1000,IF(DAYS360(Summary!$B$5,Proposal!$F14)&lt;360,1000,PRICE($BF14+360,Proposal!$F14,$D14,$F14+AA$4,Proposal!$G14,2,0)))</f>
        <v>1000</v>
      </c>
      <c r="AB14" s="193">
        <f ca="1">IF(Proposal!$H14=0,1000,IF(DAYS360(Summary!$B$5,Proposal!$H14)&lt;360,1000,PRICE($BF14+360,Proposal!$H14,$D14,$F14+AA$4,100,2,0)))</f>
        <v>1000</v>
      </c>
      <c r="AC14" s="190">
        <f ca="1">IF($E14=0,1000,IF(DAYS360(Summary!$B$5,$E14)&lt;360,1000,PRICE($BF14+360,$E14,$D14,$F14+AA$4,100,2,0)))</f>
        <v>116.20338237457931</v>
      </c>
      <c r="AD14" s="168">
        <f t="shared" ca="1" si="9"/>
        <v>0.20579983858033302</v>
      </c>
      <c r="AE14" s="197">
        <f ca="1">IF(Proposal!$F14=0,1000,IF(DAYS360(Summary!$B$5,Proposal!$F14)&lt;360,1000,PRICE($BF14+360,Proposal!$F14,$D14,$F14+AE$4,Proposal!$G14,2,0)))</f>
        <v>1000</v>
      </c>
      <c r="AF14" s="193">
        <f ca="1">IF(Proposal!$H14=0,1000,IF(DAYS360(Summary!$B$5,Proposal!$H14)&lt;360,1000,PRICE($BF14+360,Proposal!$H14,$D14,$F14+AE$4,100,2,0)))</f>
        <v>1000</v>
      </c>
      <c r="AG14" s="190">
        <f ca="1">IF($E14=0,1000,IF(DAYS360(Summary!$B$5,$E14)&lt;360,1000,PRICE($BF14+360,$E14,$D14,$F14+AE$4,100,2,0)))</f>
        <v>108.42539945725937</v>
      </c>
      <c r="AH14" s="168">
        <f t="shared" ca="1" si="10"/>
        <v>0.12842006284767127</v>
      </c>
      <c r="AI14" s="197">
        <f ca="1">IF(Proposal!$F14=0,1000,IF(DAYS360(Summary!$B$5,Proposal!$F14)&lt;360,1000,PRICE($BF14+360,Proposal!$F14,$D14,$F14+AI$4,Proposal!$G14,2,0)))</f>
        <v>1000</v>
      </c>
      <c r="AJ14" s="193">
        <f ca="1">IF(Proposal!$H14=0,1000,IF(DAYS360(Summary!$B$5,Proposal!$H14)&lt;360,1000,PRICE($BF14+360,Proposal!$H14,$D14,$F14+AI$4,100,2,0)))</f>
        <v>1000</v>
      </c>
      <c r="AK14" s="190">
        <f ca="1">IF($E14=0,1000,IF(DAYS360(Summary!$B$5,$E14)&lt;360,1000,PRICE($BF14+360,$E14,$D14,$F14+AI$4,100,2,0)))</f>
        <v>94.860564369679153</v>
      </c>
      <c r="AL14" s="168">
        <f t="shared" ca="1" si="11"/>
        <v>-6.5305931366914649E-3</v>
      </c>
      <c r="AM14" s="197">
        <f ca="1">IF(Proposal!$F14=0,1000,IF(DAYS360(Summary!$B$5,Proposal!$F14)&lt;360,1000,PRICE($BF14+360,Proposal!$F14,$D14,$F14+AM$4,Proposal!$G14,2,0)))</f>
        <v>1000</v>
      </c>
      <c r="AN14" s="193">
        <f ca="1">IF(Proposal!$H14=0,1000,IF(DAYS360(Summary!$B$5,Proposal!$H14)&lt;360,1000,PRICE($BF14+360,Proposal!$H14,$D14,$F14+AM$4,100,2,0)))</f>
        <v>1000</v>
      </c>
      <c r="AO14" s="190">
        <f ca="1">IF($E14=0,1000,IF(DAYS360(Summary!$B$5,$E14)&lt;360,1000,PRICE($BF14+360,$E14,$D14,$F14+AM$4,100,2,0)))</f>
        <v>88.946775962706155</v>
      </c>
      <c r="AP14" s="168">
        <f t="shared" ca="1" si="12"/>
        <v>-6.5364306906233072E-2</v>
      </c>
      <c r="AQ14" s="167"/>
      <c r="AR14" s="169"/>
      <c r="AS14" s="188">
        <f t="shared" si="13"/>
        <v>100516.99999999999</v>
      </c>
      <c r="AT14" s="191">
        <f t="shared" si="14"/>
        <v>2.4933843468735515E-3</v>
      </c>
      <c r="AU14" s="192">
        <f t="shared" si="15"/>
        <v>2276.8588501910522</v>
      </c>
      <c r="AV14" s="192">
        <f t="shared" si="17"/>
        <v>2.4436085867362007E-3</v>
      </c>
      <c r="AW14" s="192">
        <f>AS14*Proposal!M14/AS$29</f>
        <v>2.4805598524364554E-3</v>
      </c>
      <c r="AX14" s="193">
        <f t="shared" si="22"/>
        <v>0.25587342459840612</v>
      </c>
      <c r="AY14" s="167">
        <f t="shared" ca="1" si="16"/>
        <v>2.8932575693744189E-3</v>
      </c>
      <c r="AZ14" s="167">
        <f t="shared" ca="1" si="18"/>
        <v>1.028999192901665E-2</v>
      </c>
      <c r="BA14" s="167">
        <f t="shared" ca="1" si="19"/>
        <v>6.4210031423835631E-3</v>
      </c>
      <c r="BB14" s="167">
        <f t="shared" ca="1" si="20"/>
        <v>-3.2652965683457327E-4</v>
      </c>
      <c r="BC14" s="167">
        <f t="shared" ca="1" si="21"/>
        <v>-3.2682153453116535E-3</v>
      </c>
      <c r="BD14" s="167"/>
      <c r="BE14" s="208">
        <f>Enter!B10</f>
        <v>35034</v>
      </c>
      <c r="BF14" s="208">
        <f>Enter!C10</f>
        <v>37211</v>
      </c>
      <c r="BG14" s="170"/>
      <c r="BI14" s="20"/>
      <c r="BJ14" s="20"/>
      <c r="BK14" s="20"/>
      <c r="BL14" s="20"/>
      <c r="BM14" s="20"/>
      <c r="BN14" s="20"/>
      <c r="BO14" s="20"/>
    </row>
    <row r="15" spans="1:67" x14ac:dyDescent="0.25">
      <c r="A15" s="156">
        <f>Proposal!A15</f>
        <v>100</v>
      </c>
      <c r="B15" s="18" t="str">
        <f>Proposal!B15</f>
        <v>AAA/AAA</v>
      </c>
      <c r="C15" s="42" t="str">
        <f>Proposal!C15</f>
        <v>HOUSTON TX CCD</v>
      </c>
      <c r="D15" s="160">
        <f>Proposal!D15</f>
        <v>0.05</v>
      </c>
      <c r="E15" s="247">
        <f>Income!D14</f>
        <v>45762</v>
      </c>
      <c r="F15" s="210">
        <f>Proposal!BG15</f>
        <v>4.8510212358435521E-2</v>
      </c>
      <c r="G15" s="219">
        <f>Proposal!J15</f>
        <v>101.111</v>
      </c>
      <c r="H15" s="126">
        <f t="shared" si="0"/>
        <v>7.4226149776254227</v>
      </c>
      <c r="I15" s="127">
        <f t="shared" ca="1" si="1"/>
        <v>0.20808150274131809</v>
      </c>
      <c r="J15" s="127">
        <f t="shared" ca="1" si="2"/>
        <v>0.12976615602585162</v>
      </c>
      <c r="K15" s="127">
        <f t="shared" ca="1" si="3"/>
        <v>5.8433077714401538E-2</v>
      </c>
      <c r="L15" s="127">
        <f t="shared" ca="1" si="4"/>
        <v>-6.6063500185264967E-3</v>
      </c>
      <c r="M15" s="127">
        <f t="shared" ca="1" si="5"/>
        <v>-6.5969032439221587E-2</v>
      </c>
      <c r="N15" s="18"/>
      <c r="O15" s="18"/>
      <c r="P15" s="18"/>
      <c r="Q15" s="18"/>
      <c r="S15" s="194">
        <f>MDURATION(BF15,Proposal!BH15,D15,F15,2,0)</f>
        <v>7.4226149776254227</v>
      </c>
      <c r="T15" s="167" t="b">
        <f t="shared" si="6"/>
        <v>0</v>
      </c>
      <c r="U15" s="195">
        <f t="shared" si="7"/>
        <v>5000</v>
      </c>
      <c r="V15" s="188"/>
      <c r="W15" s="197">
        <f ca="1">IF(Proposal!$F15=0,1000,IF(DAYS360(Summary!$B$5,Proposal!$F15)&lt;360,1000,PRICE($BF15+360,Proposal!$F15,$D15,$F15,Proposal!$G15,2,0)))</f>
        <v>1000</v>
      </c>
      <c r="X15" s="193">
        <f>IF(Proposal!$H15=0,1000,IF(DAYS360(Summary!$B$5,Proposal!$H15)&lt;360,1000,PRICE($BF15+360,Proposal!$H15,$D15,$F15,100,2,0)))</f>
        <v>1000</v>
      </c>
      <c r="Y15" s="190">
        <f ca="1">IF($E15=0,1000,IF(DAYS360(Summary!$B$5,$E15)&lt;360,1000,PRICE($BF15+360,$E15,$D15,$F15,100,2,0)))</f>
        <v>102.01922692078085</v>
      </c>
      <c r="Z15" s="196">
        <f t="shared" ca="1" si="8"/>
        <v>5.8433077714401538E-2</v>
      </c>
      <c r="AA15" s="197">
        <f ca="1">IF(Proposal!$F15=0,1000,IF(DAYS360(Summary!$B$5,Proposal!$F15)&lt;360,1000,PRICE($BF15+360,Proposal!$F15,$D15,$F15+AA$4,Proposal!$G15,2,0)))</f>
        <v>1000</v>
      </c>
      <c r="AB15" s="193">
        <f>IF(Proposal!$H15=0,1000,IF(DAYS360(Summary!$B$5,Proposal!$H15)&lt;360,1000,PRICE($BF15+360,Proposal!$H15,$D15,$F15+AA$4,100,2,0)))</f>
        <v>1000</v>
      </c>
      <c r="AC15" s="190">
        <f ca="1">IF($E15=0,1000,IF(DAYS360(Summary!$B$5,$E15)&lt;360,1000,PRICE($BF15+360,$E15,$D15,$F15+AA$4,100,2,0)))</f>
        <v>117.15032882367743</v>
      </c>
      <c r="AD15" s="168">
        <f t="shared" ca="1" si="9"/>
        <v>0.20808150274131809</v>
      </c>
      <c r="AE15" s="197">
        <f ca="1">IF(Proposal!$F15=0,1000,IF(DAYS360(Summary!$B$5,Proposal!$F15)&lt;360,1000,PRICE($BF15+360,Proposal!$F15,$D15,$F15+AE$4,Proposal!$G15,2,0)))</f>
        <v>1000</v>
      </c>
      <c r="AF15" s="193">
        <f>IF(Proposal!$H15=0,1000,IF(DAYS360(Summary!$B$5,Proposal!$H15)&lt;360,1000,PRICE($BF15+360,Proposal!$H15,$D15,$F15+AE$4,100,2,0)))</f>
        <v>1000</v>
      </c>
      <c r="AG15" s="190">
        <f ca="1">IF($E15=0,1000,IF(DAYS360(Summary!$B$5,$E15)&lt;360,1000,PRICE($BF15+360,$E15,$D15,$F15+AE$4,100,2,0)))</f>
        <v>109.23178580192989</v>
      </c>
      <c r="AH15" s="168">
        <f t="shared" ca="1" si="10"/>
        <v>0.12976615602585162</v>
      </c>
      <c r="AI15" s="197">
        <f ca="1">IF(Proposal!$F15=0,1000,IF(DAYS360(Summary!$B$5,Proposal!$F15)&lt;360,1000,PRICE($BF15+360,Proposal!$F15,$D15,$F15+AI$4,Proposal!$G15,2,0)))</f>
        <v>1000</v>
      </c>
      <c r="AJ15" s="193">
        <f>IF(Proposal!$H15=0,1000,IF(DAYS360(Summary!$B$5,Proposal!$H15)&lt;360,1000,PRICE($BF15+360,Proposal!$H15,$D15,$F15+AI$4,100,2,0)))</f>
        <v>1000</v>
      </c>
      <c r="AK15" s="190">
        <f ca="1">IF($E15=0,1000,IF(DAYS360(Summary!$B$5,$E15)&lt;360,1000,PRICE($BF15+360,$E15,$D15,$F15+AI$4,100,2,0)))</f>
        <v>95.443025343276773</v>
      </c>
      <c r="AL15" s="168">
        <f t="shared" ca="1" si="11"/>
        <v>-6.6063500185264967E-3</v>
      </c>
      <c r="AM15" s="197">
        <f ca="1">IF(Proposal!$F15=0,1000,IF(DAYS360(Summary!$B$5,Proposal!$F15)&lt;360,1000,PRICE($BF15+360,Proposal!$F15,$D15,$F15+AM$4,Proposal!$G15,2,0)))</f>
        <v>1000</v>
      </c>
      <c r="AN15" s="193">
        <f>IF(Proposal!$H15=0,1000,IF(DAYS360(Summary!$B$5,Proposal!$H15)&lt;360,1000,PRICE($BF15+360,Proposal!$H15,$D15,$F15+AM$4,100,2,0)))</f>
        <v>1000</v>
      </c>
      <c r="AO15" s="190">
        <f ca="1">IF($E15=0,1000,IF(DAYS360(Summary!$B$5,$E15)&lt;360,1000,PRICE($BF15+360,$E15,$D15,$F15+AM$4,100,2,0)))</f>
        <v>89.440805161037858</v>
      </c>
      <c r="AP15" s="168">
        <f t="shared" ca="1" si="12"/>
        <v>-6.5969032439221587E-2</v>
      </c>
      <c r="AQ15" s="167"/>
      <c r="AR15" s="169"/>
      <c r="AS15" s="188">
        <f t="shared" si="13"/>
        <v>101111</v>
      </c>
      <c r="AT15" s="191">
        <f t="shared" si="14"/>
        <v>2.5081188723970246E-3</v>
      </c>
      <c r="AU15" s="192">
        <f t="shared" si="15"/>
        <v>2295.5307167726528</v>
      </c>
      <c r="AV15" s="192">
        <f t="shared" si="17"/>
        <v>2.4333875824035902E-3</v>
      </c>
      <c r="AW15" s="192">
        <f>AS15*Proposal!M15/AS$29</f>
        <v>2.4805598524364559E-3</v>
      </c>
      <c r="AX15" s="193">
        <f t="shared" si="22"/>
        <v>0.3723360141583828</v>
      </c>
      <c r="AY15" s="167">
        <f t="shared" ca="1" si="16"/>
        <v>2.9216538857200769E-3</v>
      </c>
      <c r="AZ15" s="167">
        <f t="shared" ca="1" si="18"/>
        <v>1.0404075137065904E-2</v>
      </c>
      <c r="BA15" s="167">
        <f t="shared" ca="1" si="19"/>
        <v>6.4883078012925813E-3</v>
      </c>
      <c r="BB15" s="167">
        <f t="shared" ca="1" si="20"/>
        <v>-3.3031750092632484E-4</v>
      </c>
      <c r="BC15" s="167">
        <f t="shared" ca="1" si="21"/>
        <v>-3.298451621961079E-3</v>
      </c>
      <c r="BD15" s="167"/>
      <c r="BE15" s="208">
        <f>Enter!B11</f>
        <v>37196</v>
      </c>
      <c r="BF15" s="208">
        <f>Enter!C11</f>
        <v>37211</v>
      </c>
      <c r="BG15" s="170"/>
      <c r="BI15" s="20"/>
      <c r="BJ15" s="20"/>
      <c r="BK15" s="20"/>
      <c r="BL15" s="20"/>
      <c r="BM15" s="20"/>
      <c r="BN15" s="20"/>
      <c r="BO15" s="20"/>
    </row>
    <row r="16" spans="1:67" x14ac:dyDescent="0.25">
      <c r="A16" s="156">
        <f>Proposal!A16</f>
        <v>200</v>
      </c>
      <c r="B16" s="18" t="str">
        <f>Proposal!B16</f>
        <v>AAA/AAA</v>
      </c>
      <c r="C16" s="42" t="str">
        <f>Proposal!C16</f>
        <v>SEATTLE WASH WTR</v>
      </c>
      <c r="D16" s="160">
        <f>Proposal!D16</f>
        <v>0.05</v>
      </c>
      <c r="E16" s="247">
        <f>Income!D15</f>
        <v>46327</v>
      </c>
      <c r="F16" s="210">
        <f>Proposal!BG16</f>
        <v>4.8819066195941202E-2</v>
      </c>
      <c r="G16" s="219">
        <f>Proposal!J16</f>
        <v>100.919</v>
      </c>
      <c r="H16" s="126">
        <f t="shared" si="0"/>
        <v>7.7582519946323742</v>
      </c>
      <c r="I16" s="127">
        <f t="shared" ca="1" si="1"/>
        <v>0.21222692895781226</v>
      </c>
      <c r="J16" s="127">
        <f t="shared" ca="1" si="2"/>
        <v>0.13071928020984314</v>
      </c>
      <c r="K16" s="127">
        <f t="shared" ca="1" si="3"/>
        <v>5.684026865103764E-2</v>
      </c>
      <c r="L16" s="127">
        <f t="shared" ca="1" si="4"/>
        <v>-1.0203147344304386E-2</v>
      </c>
      <c r="M16" s="127">
        <f t="shared" ca="1" si="5"/>
        <v>-7.1116843929301177E-2</v>
      </c>
      <c r="N16" s="18"/>
      <c r="O16" s="18"/>
      <c r="P16" s="18"/>
      <c r="Q16" s="18"/>
      <c r="S16" s="194">
        <f>MDURATION(BF16,Proposal!BH16,D16,F16,2,0)</f>
        <v>7.7582519946323742</v>
      </c>
      <c r="T16" s="167" t="b">
        <f t="shared" si="6"/>
        <v>0</v>
      </c>
      <c r="U16" s="195">
        <f t="shared" si="7"/>
        <v>10000</v>
      </c>
      <c r="V16" s="188"/>
      <c r="W16" s="197">
        <f ca="1">IF(Proposal!$F16=0,1000,IF(DAYS360(Summary!$B$5,Proposal!$F16)&lt;360,1000,PRICE($BF16+360,Proposal!$F16,$D16,$F16,Proposal!$G16,2,0)))</f>
        <v>1000</v>
      </c>
      <c r="X16" s="193">
        <f>IF(Proposal!$H16=0,1000,IF(DAYS360(Summary!$B$5,Proposal!$H16)&lt;360,1000,PRICE($BF16+360,Proposal!$H16,$D16,$F16,100,2,0)))</f>
        <v>1000</v>
      </c>
      <c r="Y16" s="190">
        <f ca="1">IF($E16=0,1000,IF(DAYS360(Summary!$B$5,$E16)&lt;360,1000,PRICE($BF16+360,$E16,$D16,$F16,100,2,0)))</f>
        <v>101.65526307199407</v>
      </c>
      <c r="Z16" s="196">
        <f t="shared" ca="1" si="8"/>
        <v>5.684026865103764E-2</v>
      </c>
      <c r="AA16" s="197">
        <f ca="1">IF(Proposal!$F16=0,1000,IF(DAYS360(Summary!$B$5,Proposal!$F16)&lt;360,1000,PRICE($BF16+360,Proposal!$F16,$D16,$F16+AA$4,Proposal!$G16,2,0)))</f>
        <v>1000</v>
      </c>
      <c r="AB16" s="193">
        <f>IF(Proposal!$H16=0,1000,IF(DAYS360(Summary!$B$5,Proposal!$H16)&lt;360,1000,PRICE($BF16+360,Proposal!$H16,$D16,$F16+AA$4,100,2,0)))</f>
        <v>1000</v>
      </c>
      <c r="AC16" s="190">
        <f ca="1">IF($E16=0,1000,IF(DAYS360(Summary!$B$5,$E16)&lt;360,1000,PRICE($BF16+360,$E16,$D16,$F16+AA$4,100,2,0)))</f>
        <v>117.33672944349344</v>
      </c>
      <c r="AD16" s="168">
        <f t="shared" ca="1" si="9"/>
        <v>0.21222692895781226</v>
      </c>
      <c r="AE16" s="197">
        <f ca="1">IF(Proposal!$F16=0,1000,IF(DAYS360(Summary!$B$5,Proposal!$F16)&lt;360,1000,PRICE($BF16+360,Proposal!$F16,$D16,$F16+AE$4,Proposal!$G16,2,0)))</f>
        <v>1000</v>
      </c>
      <c r="AF16" s="193">
        <f>IF(Proposal!$H16=0,1000,IF(DAYS360(Summary!$B$5,Proposal!$H16)&lt;360,1000,PRICE($BF16+360,Proposal!$H16,$D16,$F16+AE$4,100,2,0)))</f>
        <v>1000</v>
      </c>
      <c r="AG16" s="190">
        <f ca="1">IF($E16=0,1000,IF(DAYS360(Summary!$B$5,$E16)&lt;360,1000,PRICE($BF16+360,$E16,$D16,$F16+AE$4,100,2,0)))</f>
        <v>109.11105903949715</v>
      </c>
      <c r="AH16" s="168">
        <f t="shared" ca="1" si="10"/>
        <v>0.13071928020984314</v>
      </c>
      <c r="AI16" s="197">
        <f ca="1">IF(Proposal!$F16=0,1000,IF(DAYS360(Summary!$B$5,Proposal!$F16)&lt;360,1000,PRICE($BF16+360,Proposal!$F16,$D16,$F16+AI$4,Proposal!$G16,2,0)))</f>
        <v>1000</v>
      </c>
      <c r="AJ16" s="193">
        <f>IF(Proposal!$H16=0,1000,IF(DAYS360(Summary!$B$5,Proposal!$H16)&lt;360,1000,PRICE($BF16+360,Proposal!$H16,$D16,$F16+AI$4,100,2,0)))</f>
        <v>1000</v>
      </c>
      <c r="AK16" s="190">
        <f ca="1">IF($E16=0,1000,IF(DAYS360(Summary!$B$5,$E16)&lt;360,1000,PRICE($BF16+360,$E16,$D16,$F16+AI$4,100,2,0)))</f>
        <v>94.88930857316015</v>
      </c>
      <c r="AL16" s="168">
        <f t="shared" ca="1" si="11"/>
        <v>-1.0203147344304386E-2</v>
      </c>
      <c r="AM16" s="197">
        <f ca="1">IF(Proposal!$F16=0,1000,IF(DAYS360(Summary!$B$5,Proposal!$F16)&lt;360,1000,PRICE($BF16+360,Proposal!$F16,$D16,$F16+AM$4,Proposal!$G16,2,0)))</f>
        <v>1000</v>
      </c>
      <c r="AN16" s="193">
        <f>IF(Proposal!$H16=0,1000,IF(DAYS360(Summary!$B$5,Proposal!$H16)&lt;360,1000,PRICE($BF16+360,Proposal!$H16,$D16,$F16+AM$4,100,2,0)))</f>
        <v>1000</v>
      </c>
      <c r="AO16" s="190">
        <f ca="1">IF($E16=0,1000,IF(DAYS360(Summary!$B$5,$E16)&lt;360,1000,PRICE($BF16+360,$E16,$D16,$F16+AM$4,100,2,0)))</f>
        <v>88.741959227498839</v>
      </c>
      <c r="AP16" s="168">
        <f t="shared" ca="1" si="12"/>
        <v>-7.1116843929301177E-2</v>
      </c>
      <c r="AQ16" s="167"/>
      <c r="AR16" s="169"/>
      <c r="AS16" s="188">
        <f t="shared" si="13"/>
        <v>201838</v>
      </c>
      <c r="AT16" s="191">
        <f t="shared" si="14"/>
        <v>5.0067123949606935E-3</v>
      </c>
      <c r="AU16" s="192">
        <f t="shared" si="15"/>
        <v>4638.9193024268807</v>
      </c>
      <c r="AV16" s="192">
        <f t="shared" si="17"/>
        <v>4.8884604766725077E-3</v>
      </c>
      <c r="AW16" s="192">
        <f>AS16*Proposal!M16/AS$29</f>
        <v>4.9611197048729109E-3</v>
      </c>
      <c r="AX16" s="193">
        <f t="shared" si="22"/>
        <v>0.77686672849508864</v>
      </c>
      <c r="AY16" s="167">
        <f t="shared" ca="1" si="16"/>
        <v>5.6840268651037638E-3</v>
      </c>
      <c r="AZ16" s="167">
        <f t="shared" ca="1" si="18"/>
        <v>2.1222692895781225E-2</v>
      </c>
      <c r="BA16" s="167">
        <f t="shared" ca="1" si="19"/>
        <v>1.3071928020984313E-2</v>
      </c>
      <c r="BB16" s="167">
        <f t="shared" ca="1" si="20"/>
        <v>-1.0203147344304386E-3</v>
      </c>
      <c r="BC16" s="167">
        <f t="shared" ca="1" si="21"/>
        <v>-7.1116843929301173E-3</v>
      </c>
      <c r="BD16" s="167"/>
      <c r="BE16" s="208">
        <f>Enter!B12</f>
        <v>37196</v>
      </c>
      <c r="BF16" s="208">
        <f>Enter!C12</f>
        <v>37215</v>
      </c>
      <c r="BG16" s="170"/>
      <c r="BI16" s="20"/>
      <c r="BJ16" s="20"/>
      <c r="BK16" s="20"/>
      <c r="BL16" s="20"/>
      <c r="BM16" s="20"/>
      <c r="BN16" s="20"/>
      <c r="BO16" s="20"/>
    </row>
    <row r="17" spans="1:67" x14ac:dyDescent="0.25">
      <c r="A17" s="156">
        <f>Proposal!A17</f>
        <v>200</v>
      </c>
      <c r="B17" s="18" t="str">
        <f>Proposal!B17</f>
        <v>AAA/AAA</v>
      </c>
      <c r="C17" s="42" t="str">
        <f>Proposal!C17</f>
        <v>SAN ANTONIO ISD</v>
      </c>
      <c r="D17" s="160">
        <f>Proposal!D17</f>
        <v>0.05</v>
      </c>
      <c r="E17" s="247">
        <f>Income!D16</f>
        <v>46614</v>
      </c>
      <c r="F17" s="210">
        <f>Proposal!BG17</f>
        <v>4.9000187922203224E-2</v>
      </c>
      <c r="G17" s="219">
        <f>Proposal!J17</f>
        <v>100.56100000000001</v>
      </c>
      <c r="H17" s="126">
        <f t="shared" si="0"/>
        <v>5.605039034986242</v>
      </c>
      <c r="I17" s="127">
        <f t="shared" ca="1" si="1"/>
        <v>0.21677548597404384</v>
      </c>
      <c r="J17" s="127">
        <f t="shared" ca="1" si="2"/>
        <v>0.13351759327540469</v>
      </c>
      <c r="K17" s="127">
        <f t="shared" ca="1" si="3"/>
        <v>5.8238263813807478E-2</v>
      </c>
      <c r="L17" s="127">
        <f t="shared" ca="1" si="4"/>
        <v>-9.9136658732776883E-3</v>
      </c>
      <c r="M17" s="127">
        <f t="shared" ca="1" si="5"/>
        <v>-7.1693280020005967E-2</v>
      </c>
      <c r="N17" s="18"/>
      <c r="O17" s="18"/>
      <c r="P17" s="18"/>
      <c r="Q17" s="18"/>
      <c r="S17" s="194">
        <f>MDURATION(BF17,Proposal!BH17,D17,F17,2,0)</f>
        <v>5.605039034986242</v>
      </c>
      <c r="T17" s="167" t="b">
        <f t="shared" si="6"/>
        <v>0</v>
      </c>
      <c r="U17" s="195">
        <f t="shared" si="7"/>
        <v>10000</v>
      </c>
      <c r="V17" s="188"/>
      <c r="W17" s="197">
        <f ca="1">IF(Proposal!$F17=0,1000,IF(DAYS360(Summary!$B$5,Proposal!$F17)&lt;360,1000,PRICE($BF17+360,Proposal!$F17,$D17,$F17,Proposal!$G17,2,0)))</f>
        <v>1000</v>
      </c>
      <c r="X17" s="193">
        <f>IF(Proposal!$H17=0,1000,IF(DAYS360(Summary!$B$5,Proposal!$H17)&lt;360,1000,PRICE($BF17+360,Proposal!$H17,$D17,$F17,100,2,0)))</f>
        <v>1000</v>
      </c>
      <c r="Y17" s="190">
        <f ca="1">IF($E17=0,1000,IF(DAYS360(Summary!$B$5,$E17)&lt;360,1000,PRICE($BF17+360,$E17,$D17,$F17,100,2,0)))</f>
        <v>101.41749804738029</v>
      </c>
      <c r="Z17" s="196">
        <f t="shared" ca="1" si="8"/>
        <v>5.8238263813807478E-2</v>
      </c>
      <c r="AA17" s="197">
        <f ca="1">IF(Proposal!$F17=0,1000,IF(DAYS360(Summary!$B$5,Proposal!$F17)&lt;360,1000,PRICE($BF17+360,Proposal!$F17,$D17,$F17+AA$4,Proposal!$G17,2,0)))</f>
        <v>1000</v>
      </c>
      <c r="AB17" s="193">
        <f>IF(Proposal!$H17=0,1000,IF(DAYS360(Summary!$B$5,Proposal!$H17)&lt;360,1000,PRICE($BF17+360,Proposal!$H17,$D17,$F17+AA$4,100,2,0)))</f>
        <v>1000</v>
      </c>
      <c r="AC17" s="190">
        <f ca="1">IF($E17=0,1000,IF(DAYS360(Summary!$B$5,$E17)&lt;360,1000,PRICE($BF17+360,$E17,$D17,$F17+AA$4,100,2,0)))</f>
        <v>117.36015964503582</v>
      </c>
      <c r="AD17" s="168">
        <f t="shared" ca="1" si="9"/>
        <v>0.21677548597404384</v>
      </c>
      <c r="AE17" s="197">
        <f ca="1">IF(Proposal!$F17=0,1000,IF(DAYS360(Summary!$B$5,Proposal!$F17)&lt;360,1000,PRICE($BF17+360,Proposal!$F17,$D17,$F17+AE$4,Proposal!$G17,2,0)))</f>
        <v>1000</v>
      </c>
      <c r="AF17" s="193">
        <f>IF(Proposal!$H17=0,1000,IF(DAYS360(Summary!$B$5,Proposal!$H17)&lt;360,1000,PRICE($BF17+360,Proposal!$H17,$D17,$F17+AE$4,100,2,0)))</f>
        <v>1000</v>
      </c>
      <c r="AG17" s="190">
        <f ca="1">IF($E17=0,1000,IF(DAYS360(Summary!$B$5,$E17)&lt;360,1000,PRICE($BF17+360,$E17,$D17,$F17+AE$4,100,2,0)))</f>
        <v>108.98766269736798</v>
      </c>
      <c r="AH17" s="168">
        <f t="shared" ca="1" si="10"/>
        <v>0.13351759327540469</v>
      </c>
      <c r="AI17" s="197">
        <f ca="1">IF(Proposal!$F17=0,1000,IF(DAYS360(Summary!$B$5,Proposal!$F17)&lt;360,1000,PRICE($BF17+360,Proposal!$F17,$D17,$F17+AI$4,Proposal!$G17,2,0)))</f>
        <v>1000</v>
      </c>
      <c r="AJ17" s="193">
        <f>IF(Proposal!$H17=0,1000,IF(DAYS360(Summary!$B$5,Proposal!$H17)&lt;360,1000,PRICE($BF17+360,Proposal!$H17,$D17,$F17+AI$4,100,2,0)))</f>
        <v>1000</v>
      </c>
      <c r="AK17" s="190">
        <f ca="1">IF($E17=0,1000,IF(DAYS360(Summary!$B$5,$E17)&lt;360,1000,PRICE($BF17+360,$E17,$D17,$F17+AI$4,100,2,0)))</f>
        <v>94.564071846117329</v>
      </c>
      <c r="AL17" s="168">
        <f t="shared" ca="1" si="11"/>
        <v>-9.9136658732776883E-3</v>
      </c>
      <c r="AM17" s="197">
        <f ca="1">IF(Proposal!$F17=0,1000,IF(DAYS360(Summary!$B$5,Proposal!$F17)&lt;360,1000,PRICE($BF17+360,Proposal!$F17,$D17,$F17+AM$4,Proposal!$G17,2,0)))</f>
        <v>1000</v>
      </c>
      <c r="AN17" s="193">
        <f>IF(Proposal!$H17=0,1000,IF(DAYS360(Summary!$B$5,Proposal!$H17)&lt;360,1000,PRICE($BF17+360,Proposal!$H17,$D17,$F17+AM$4,100,2,0)))</f>
        <v>1000</v>
      </c>
      <c r="AO17" s="190">
        <f ca="1">IF($E17=0,1000,IF(DAYS360(Summary!$B$5,$E17)&lt;360,1000,PRICE($BF17+360,$E17,$D17,$F17+AM$4,100,2,0)))</f>
        <v>88.35145206790817</v>
      </c>
      <c r="AP17" s="168">
        <f t="shared" ca="1" si="12"/>
        <v>-7.1693280020005967E-2</v>
      </c>
      <c r="AQ17" s="167"/>
      <c r="AR17" s="169"/>
      <c r="AS17" s="188">
        <f t="shared" si="13"/>
        <v>201122</v>
      </c>
      <c r="AT17" s="191">
        <f t="shared" si="14"/>
        <v>4.9889515864172482E-3</v>
      </c>
      <c r="AU17" s="192">
        <f t="shared" si="15"/>
        <v>4651.0997849850719</v>
      </c>
      <c r="AV17" s="192">
        <f t="shared" si="17"/>
        <v>4.8891913053843812E-3</v>
      </c>
      <c r="AW17" s="192">
        <f>AS17*Proposal!M17/AS$29</f>
        <v>4.9611197048729109E-3</v>
      </c>
      <c r="AX17" s="193">
        <f t="shared" si="22"/>
        <v>0.55926536771050428</v>
      </c>
      <c r="AY17" s="167">
        <f t="shared" ca="1" si="16"/>
        <v>5.823826381380748E-3</v>
      </c>
      <c r="AZ17" s="167">
        <f t="shared" ca="1" si="18"/>
        <v>2.1677548597404381E-2</v>
      </c>
      <c r="BA17" s="167">
        <f t="shared" ca="1" si="19"/>
        <v>1.3351759327540468E-2</v>
      </c>
      <c r="BB17" s="167">
        <f t="shared" ca="1" si="20"/>
        <v>-9.9136658732776892E-4</v>
      </c>
      <c r="BC17" s="167">
        <f t="shared" ca="1" si="21"/>
        <v>-7.1693280020005976E-3</v>
      </c>
      <c r="BD17" s="167"/>
      <c r="BE17" s="208">
        <f>Enter!B13</f>
        <v>35735</v>
      </c>
      <c r="BF17" s="208">
        <f>Enter!C13</f>
        <v>37211</v>
      </c>
      <c r="BG17" s="170"/>
      <c r="BI17" s="20"/>
      <c r="BJ17" s="20"/>
      <c r="BK17" s="20"/>
      <c r="BL17" s="20"/>
      <c r="BM17" s="20"/>
      <c r="BN17" s="20"/>
      <c r="BO17" s="20"/>
    </row>
    <row r="18" spans="1:67" x14ac:dyDescent="0.25">
      <c r="A18" s="156">
        <f>Proposal!A18</f>
        <v>0</v>
      </c>
      <c r="B18" s="18">
        <f>Proposal!B18</f>
        <v>0</v>
      </c>
      <c r="C18" s="42">
        <f>Proposal!C18</f>
        <v>0</v>
      </c>
      <c r="D18" s="160">
        <f>Proposal!D18</f>
        <v>0</v>
      </c>
      <c r="E18" s="247">
        <f>Income!D17</f>
        <v>0</v>
      </c>
      <c r="F18" s="210">
        <f>Proposal!BG18</f>
        <v>0</v>
      </c>
      <c r="G18" s="219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4" t="e">
        <f>MDURATION(BF18,Proposal!BH18,D18,F18,2,0)</f>
        <v>#NUM!</v>
      </c>
      <c r="T18" s="167" t="b">
        <f t="shared" si="6"/>
        <v>1</v>
      </c>
      <c r="U18" s="195">
        <f t="shared" si="7"/>
        <v>0</v>
      </c>
      <c r="V18" s="188"/>
      <c r="W18" s="197">
        <f>IF(Proposal!$F18=0,1000,IF(DAYS360(Summary!$B$5,Proposal!$F18)&lt;360,1000,PRICE($BF18+360,Proposal!$F18,$D18,$F18,Proposal!$G18,2,0)))</f>
        <v>1000</v>
      </c>
      <c r="X18" s="193">
        <f>IF(Proposal!$H18=0,1000,IF(DAYS360(Summary!$B$5,Proposal!$H18)&lt;360,1000,PRICE($BF18+360,Proposal!$H18,$D18,$F18,100,2,0)))</f>
        <v>1000</v>
      </c>
      <c r="Y18" s="190">
        <f>IF($E18=0,1000,IF(DAYS360(Summary!$B$5,$E18)&lt;360,1000,PRICE($BF18+360,$E18,$D18,$F18,100,2,0)))</f>
        <v>1000</v>
      </c>
      <c r="Z18" s="196">
        <f t="shared" si="8"/>
        <v>0</v>
      </c>
      <c r="AA18" s="197">
        <f>IF(Proposal!$F18=0,1000,IF(DAYS360(Summary!$B$5,Proposal!$F18)&lt;360,1000,PRICE($BF18+360,Proposal!$F18,$D18,$F18+AA$4,Proposal!$G18,2,0)))</f>
        <v>1000</v>
      </c>
      <c r="AB18" s="193">
        <f>IF(Proposal!$H18=0,1000,IF(DAYS360(Summary!$B$5,Proposal!$H18)&lt;360,1000,PRICE($BF18+360,Proposal!$H18,$D18,$F18+AA$4,100,2,0)))</f>
        <v>1000</v>
      </c>
      <c r="AC18" s="190">
        <f>IF($E18=0,1000,IF(DAYS360(Summary!$B$5,$E18)&lt;360,1000,PRICE($BF18+360,$E18,$D18,$F18+AA$4,100,2,0)))</f>
        <v>1000</v>
      </c>
      <c r="AD18" s="168">
        <f t="shared" si="9"/>
        <v>0</v>
      </c>
      <c r="AE18" s="197">
        <f>IF(Proposal!$F18=0,1000,IF(DAYS360(Summary!$B$5,Proposal!$F18)&lt;360,1000,PRICE($BF18+360,Proposal!$F18,$D18,$F18+AE$4,Proposal!$G18,2,0)))</f>
        <v>1000</v>
      </c>
      <c r="AF18" s="193">
        <f>IF(Proposal!$H18=0,1000,IF(DAYS360(Summary!$B$5,Proposal!$H18)&lt;360,1000,PRICE($BF18+360,Proposal!$H18,$D18,$F18+AE$4,100,2,0)))</f>
        <v>1000</v>
      </c>
      <c r="AG18" s="190">
        <f>IF($E18=0,1000,IF(DAYS360(Summary!$B$5,$E18)&lt;360,1000,PRICE($BF18+360,$E18,$D18,$F18+AE$4,100,2,0)))</f>
        <v>1000</v>
      </c>
      <c r="AH18" s="168">
        <f t="shared" si="10"/>
        <v>0</v>
      </c>
      <c r="AI18" s="197">
        <f>IF(Proposal!$F18=0,1000,IF(DAYS360(Summary!$B$5,Proposal!$F18)&lt;360,1000,PRICE($BF18+360,Proposal!$F18,$D18,$F18+AI$4,Proposal!$G18,2,0)))</f>
        <v>1000</v>
      </c>
      <c r="AJ18" s="193">
        <f>IF(Proposal!$H18=0,1000,IF(DAYS360(Summary!$B$5,Proposal!$H18)&lt;360,1000,PRICE($BF18+360,Proposal!$H18,$D18,$F18+AI$4,100,2,0)))</f>
        <v>1000</v>
      </c>
      <c r="AK18" s="190">
        <f>IF($E18=0,1000,IF(DAYS360(Summary!$B$5,$E18)&lt;360,1000,PRICE($BF18+360,$E18,$D18,$F18+AI$4,100,2,0)))</f>
        <v>1000</v>
      </c>
      <c r="AL18" s="168">
        <f t="shared" si="11"/>
        <v>0</v>
      </c>
      <c r="AM18" s="197">
        <f>IF(Proposal!$F18=0,1000,IF(DAYS360(Summary!$B$5,Proposal!$F18)&lt;360,1000,PRICE($BF18+360,Proposal!$F18,$D18,$F18+AM$4,Proposal!$G18,2,0)))</f>
        <v>1000</v>
      </c>
      <c r="AN18" s="193">
        <f>IF(Proposal!$H18=0,1000,IF(DAYS360(Summary!$B$5,Proposal!$H18)&lt;360,1000,PRICE($BF18+360,Proposal!$H18,$D18,$F18+AM$4,100,2,0)))</f>
        <v>1000</v>
      </c>
      <c r="AO18" s="190">
        <f>IF($E18=0,1000,IF(DAYS360(Summary!$B$5,$E18)&lt;360,1000,PRICE($BF18+360,$E18,$D18,$F18+AM$4,100,2,0)))</f>
        <v>1000</v>
      </c>
      <c r="AP18" s="168">
        <f t="shared" si="12"/>
        <v>0</v>
      </c>
      <c r="AQ18" s="167"/>
      <c r="AR18" s="169"/>
      <c r="AS18" s="188">
        <f t="shared" si="13"/>
        <v>0</v>
      </c>
      <c r="AT18" s="191">
        <f t="shared" si="14"/>
        <v>0</v>
      </c>
      <c r="AU18" s="192">
        <f t="shared" si="15"/>
        <v>0</v>
      </c>
      <c r="AV18" s="192">
        <f t="shared" si="17"/>
        <v>0</v>
      </c>
      <c r="AW18" s="192">
        <f>AS18*Proposal!M18/AS$29</f>
        <v>0</v>
      </c>
      <c r="AX18" s="193">
        <f t="shared" si="22"/>
        <v>0</v>
      </c>
      <c r="AY18" s="167">
        <f t="shared" si="16"/>
        <v>0</v>
      </c>
      <c r="AZ18" s="167">
        <f t="shared" si="18"/>
        <v>0</v>
      </c>
      <c r="BA18" s="167">
        <f t="shared" si="19"/>
        <v>0</v>
      </c>
      <c r="BB18" s="167">
        <f t="shared" si="20"/>
        <v>0</v>
      </c>
      <c r="BC18" s="167">
        <f t="shared" si="21"/>
        <v>0</v>
      </c>
      <c r="BD18" s="167"/>
      <c r="BE18" s="208">
        <f>Enter!B14</f>
        <v>0</v>
      </c>
      <c r="BF18" s="208">
        <f>Enter!C14</f>
        <v>0</v>
      </c>
      <c r="BG18" s="170"/>
      <c r="BI18" s="20"/>
      <c r="BJ18" s="20"/>
      <c r="BK18" s="20"/>
      <c r="BL18" s="20"/>
      <c r="BM18" s="20"/>
      <c r="BN18" s="20"/>
      <c r="BO18" s="20"/>
    </row>
    <row r="19" spans="1:67" x14ac:dyDescent="0.25">
      <c r="A19" s="156">
        <f>Proposal!A19</f>
        <v>0</v>
      </c>
      <c r="B19" s="18">
        <f>Proposal!B19</f>
        <v>0</v>
      </c>
      <c r="C19" s="42">
        <f>Proposal!C19</f>
        <v>0</v>
      </c>
      <c r="D19" s="160">
        <f>Proposal!D19</f>
        <v>0</v>
      </c>
      <c r="E19" s="247">
        <f>Income!D18</f>
        <v>0</v>
      </c>
      <c r="F19" s="210">
        <f>Proposal!BG19</f>
        <v>0</v>
      </c>
      <c r="G19" s="219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4" t="e">
        <f>MDURATION(BF19,Proposal!BH19,D19,F19,2,0)</f>
        <v>#NUM!</v>
      </c>
      <c r="T19" s="167" t="b">
        <f t="shared" si="6"/>
        <v>1</v>
      </c>
      <c r="U19" s="195">
        <f t="shared" si="7"/>
        <v>0</v>
      </c>
      <c r="V19" s="188"/>
      <c r="W19" s="197">
        <f>IF(Proposal!$F19=0,1000,IF(DAYS360(Summary!$B$5,Proposal!$F19)&lt;360,1000,PRICE($BF19+360,Proposal!$F19,$D19,$F19,Proposal!$G19,2,0)))</f>
        <v>1000</v>
      </c>
      <c r="X19" s="193">
        <f>IF(Proposal!$H19=0,1000,IF(DAYS360(Summary!$B$5,Proposal!$H19)&lt;360,1000,PRICE($BF19+360,Proposal!$H19,$D19,$F19,100,2,0)))</f>
        <v>1000</v>
      </c>
      <c r="Y19" s="190">
        <f>IF($E19=0,1000,IF(DAYS360(Summary!$B$5,$E19)&lt;360,1000,PRICE($BF19+360,$E19,$D19,$F19,100,2,0)))</f>
        <v>1000</v>
      </c>
      <c r="Z19" s="196">
        <f t="shared" si="8"/>
        <v>0</v>
      </c>
      <c r="AA19" s="197">
        <f>IF(Proposal!$F19=0,1000,IF(DAYS360(Summary!$B$5,Proposal!$F19)&lt;360,1000,PRICE($BF19+360,Proposal!$F19,$D19,$F19+AA$4,Proposal!$G19,2,0)))</f>
        <v>1000</v>
      </c>
      <c r="AB19" s="193">
        <f>IF(Proposal!$H19=0,1000,IF(DAYS360(Summary!$B$5,Proposal!$H19)&lt;360,1000,PRICE($BF19+360,Proposal!$H19,$D19,$F19+AA$4,100,2,0)))</f>
        <v>1000</v>
      </c>
      <c r="AC19" s="190">
        <f>IF($E19=0,1000,IF(DAYS360(Summary!$B$5,$E19)&lt;360,1000,PRICE($BF19+360,$E19,$D19,$F19+AA$4,100,2,0)))</f>
        <v>1000</v>
      </c>
      <c r="AD19" s="168">
        <f t="shared" si="9"/>
        <v>0</v>
      </c>
      <c r="AE19" s="197">
        <f>IF(Proposal!$F19=0,1000,IF(DAYS360(Summary!$B$5,Proposal!$F19)&lt;360,1000,PRICE($BF19+360,Proposal!$F19,$D19,$F19+AE$4,Proposal!$G19,2,0)))</f>
        <v>1000</v>
      </c>
      <c r="AF19" s="193">
        <f>IF(Proposal!$H19=0,1000,IF(DAYS360(Summary!$B$5,Proposal!$H19)&lt;360,1000,PRICE($BF19+360,Proposal!$H19,$D19,$F19+AE$4,100,2,0)))</f>
        <v>1000</v>
      </c>
      <c r="AG19" s="190">
        <f>IF($E19=0,1000,IF(DAYS360(Summary!$B$5,$E19)&lt;360,1000,PRICE($BF19+360,$E19,$D19,$F19+AE$4,100,2,0)))</f>
        <v>1000</v>
      </c>
      <c r="AH19" s="168">
        <f t="shared" si="10"/>
        <v>0</v>
      </c>
      <c r="AI19" s="197">
        <f>IF(Proposal!$F19=0,1000,IF(DAYS360(Summary!$B$5,Proposal!$F19)&lt;360,1000,PRICE($BF19+360,Proposal!$F19,$D19,$F19+AI$4,Proposal!$G19,2,0)))</f>
        <v>1000</v>
      </c>
      <c r="AJ19" s="193">
        <f>IF(Proposal!$H19=0,1000,IF(DAYS360(Summary!$B$5,Proposal!$H19)&lt;360,1000,PRICE($BF19+360,Proposal!$H19,$D19,$F19+AI$4,100,2,0)))</f>
        <v>1000</v>
      </c>
      <c r="AK19" s="190">
        <f>IF($E19=0,1000,IF(DAYS360(Summary!$B$5,$E19)&lt;360,1000,PRICE($BF19+360,$E19,$D19,$F19+AI$4,100,2,0)))</f>
        <v>1000</v>
      </c>
      <c r="AL19" s="168">
        <f t="shared" si="11"/>
        <v>0</v>
      </c>
      <c r="AM19" s="197">
        <f>IF(Proposal!$F19=0,1000,IF(DAYS360(Summary!$B$5,Proposal!$F19)&lt;360,1000,PRICE($BF19+360,Proposal!$F19,$D19,$F19+AM$4,Proposal!$G19,2,0)))</f>
        <v>1000</v>
      </c>
      <c r="AN19" s="193">
        <f>IF(Proposal!$H19=0,1000,IF(DAYS360(Summary!$B$5,Proposal!$H19)&lt;360,1000,PRICE($BF19+360,Proposal!$H19,$D19,$F19+AM$4,100,2,0)))</f>
        <v>1000</v>
      </c>
      <c r="AO19" s="190">
        <f>IF($E19=0,1000,IF(DAYS360(Summary!$B$5,$E19)&lt;360,1000,PRICE($BF19+360,$E19,$D19,$F19+AM$4,100,2,0)))</f>
        <v>1000</v>
      </c>
      <c r="AP19" s="168">
        <f t="shared" si="12"/>
        <v>0</v>
      </c>
      <c r="AQ19" s="167"/>
      <c r="AR19" s="167"/>
      <c r="AS19" s="188">
        <f t="shared" si="13"/>
        <v>0</v>
      </c>
      <c r="AT19" s="191">
        <f t="shared" si="14"/>
        <v>0</v>
      </c>
      <c r="AU19" s="192">
        <f t="shared" si="15"/>
        <v>0</v>
      </c>
      <c r="AV19" s="192">
        <f t="shared" si="17"/>
        <v>0</v>
      </c>
      <c r="AW19" s="192">
        <f>AS19*Proposal!M19/AS$29</f>
        <v>0</v>
      </c>
      <c r="AX19" s="193">
        <f t="shared" si="22"/>
        <v>0</v>
      </c>
      <c r="AY19" s="167">
        <f t="shared" si="16"/>
        <v>0</v>
      </c>
      <c r="AZ19" s="167">
        <f t="shared" si="18"/>
        <v>0</v>
      </c>
      <c r="BA19" s="167">
        <f t="shared" si="19"/>
        <v>0</v>
      </c>
      <c r="BB19" s="167">
        <f t="shared" si="20"/>
        <v>0</v>
      </c>
      <c r="BC19" s="167">
        <f t="shared" si="21"/>
        <v>0</v>
      </c>
      <c r="BD19" s="167"/>
      <c r="BE19" s="208">
        <f>Enter!B15</f>
        <v>0</v>
      </c>
      <c r="BF19" s="208">
        <f>Enter!C15</f>
        <v>0</v>
      </c>
      <c r="BG19" s="170"/>
    </row>
    <row r="20" spans="1:67" x14ac:dyDescent="0.25">
      <c r="A20" s="156">
        <f>Proposal!A20</f>
        <v>0</v>
      </c>
      <c r="B20" s="18">
        <f>Proposal!B20</f>
        <v>0</v>
      </c>
      <c r="C20" s="42">
        <f>Proposal!C20</f>
        <v>0</v>
      </c>
      <c r="D20" s="160">
        <f>Proposal!D20</f>
        <v>0</v>
      </c>
      <c r="E20" s="247">
        <f>Income!D19</f>
        <v>0</v>
      </c>
      <c r="F20" s="210">
        <f>Proposal!BG20</f>
        <v>0</v>
      </c>
      <c r="G20" s="219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4" t="e">
        <f>MDURATION(BF20,Proposal!BH20,D20,F20,2,0)</f>
        <v>#NUM!</v>
      </c>
      <c r="T20" s="167" t="b">
        <f t="shared" si="6"/>
        <v>1</v>
      </c>
      <c r="U20" s="195">
        <f t="shared" si="7"/>
        <v>0</v>
      </c>
      <c r="V20" s="188"/>
      <c r="W20" s="197">
        <f>IF(Proposal!$F20=0,1000,IF(DAYS360(Summary!$B$5,Proposal!$F20)&lt;360,1000,PRICE($BF20+360,Proposal!$F20,$D20,$F20,Proposal!$G20,2,0)))</f>
        <v>1000</v>
      </c>
      <c r="X20" s="193">
        <f>IF(Proposal!$H20=0,1000,IF(DAYS360(Summary!$B$5,Proposal!$H20)&lt;360,1000,PRICE($BF20+360,Proposal!$H20,$D20,$F20,100,2,0)))</f>
        <v>1000</v>
      </c>
      <c r="Y20" s="190">
        <f>IF($E20=0,1000,IF(DAYS360(Summary!$B$5,$E20)&lt;360,1000,PRICE($BF20+360,$E20,$D20,$F20,100,2,0)))</f>
        <v>1000</v>
      </c>
      <c r="Z20" s="196">
        <f t="shared" si="8"/>
        <v>0</v>
      </c>
      <c r="AA20" s="197">
        <f>IF(Proposal!$F20=0,1000,IF(DAYS360(Summary!$B$5,Proposal!$F20)&lt;360,1000,PRICE($BF20+360,Proposal!$F20,$D20,$F20+AA$4,Proposal!$G20,2,0)))</f>
        <v>1000</v>
      </c>
      <c r="AB20" s="193">
        <f>IF(Proposal!$H20=0,1000,IF(DAYS360(Summary!$B$5,Proposal!$H20)&lt;360,1000,PRICE($BF20+360,Proposal!$H20,$D20,$F20+AA$4,100,2,0)))</f>
        <v>1000</v>
      </c>
      <c r="AC20" s="190">
        <f>IF($E20=0,1000,IF(DAYS360(Summary!$B$5,$E20)&lt;360,1000,PRICE($BF20+360,$E20,$D20,$F20+AA$4,100,2,0)))</f>
        <v>1000</v>
      </c>
      <c r="AD20" s="168">
        <f t="shared" si="9"/>
        <v>0</v>
      </c>
      <c r="AE20" s="197">
        <f>IF(Proposal!$F20=0,1000,IF(DAYS360(Summary!$B$5,Proposal!$F20)&lt;360,1000,PRICE($BF20+360,Proposal!$F20,$D20,$F20+AE$4,Proposal!$G20,2,0)))</f>
        <v>1000</v>
      </c>
      <c r="AF20" s="193">
        <f>IF(Proposal!$H20=0,1000,IF(DAYS360(Summary!$B$5,Proposal!$H20)&lt;360,1000,PRICE($BF20+360,Proposal!$H20,$D20,$F20+AE$4,100,2,0)))</f>
        <v>1000</v>
      </c>
      <c r="AG20" s="190">
        <f>IF($E20=0,1000,IF(DAYS360(Summary!$B$5,$E20)&lt;360,1000,PRICE($BF20+360,$E20,$D20,$F20+AE$4,100,2,0)))</f>
        <v>1000</v>
      </c>
      <c r="AH20" s="168">
        <f t="shared" si="10"/>
        <v>0</v>
      </c>
      <c r="AI20" s="197">
        <f>IF(Proposal!$F20=0,1000,IF(DAYS360(Summary!$B$5,Proposal!$F20)&lt;360,1000,PRICE($BF20+360,Proposal!$F20,$D20,$F20+AI$4,Proposal!$G20,2,0)))</f>
        <v>1000</v>
      </c>
      <c r="AJ20" s="193">
        <f>IF(Proposal!$H20=0,1000,IF(DAYS360(Summary!$B$5,Proposal!$H20)&lt;360,1000,PRICE($BF20+360,Proposal!$H20,$D20,$F20+AI$4,100,2,0)))</f>
        <v>1000</v>
      </c>
      <c r="AK20" s="190">
        <f>IF($E20=0,1000,IF(DAYS360(Summary!$B$5,$E20)&lt;360,1000,PRICE($BF20+360,$E20,$D20,$F20+AI$4,100,2,0)))</f>
        <v>1000</v>
      </c>
      <c r="AL20" s="168">
        <f t="shared" si="11"/>
        <v>0</v>
      </c>
      <c r="AM20" s="197">
        <f>IF(Proposal!$F20=0,1000,IF(DAYS360(Summary!$B$5,Proposal!$F20)&lt;360,1000,PRICE($BF20+360,Proposal!$F20,$D20,$F20+AM$4,Proposal!$G20,2,0)))</f>
        <v>1000</v>
      </c>
      <c r="AN20" s="193">
        <f>IF(Proposal!$H20=0,1000,IF(DAYS360(Summary!$B$5,Proposal!$H20)&lt;360,1000,PRICE($BF20+360,Proposal!$H20,$D20,$F20+AM$4,100,2,0)))</f>
        <v>1000</v>
      </c>
      <c r="AO20" s="190">
        <f>IF($E20=0,1000,IF(DAYS360(Summary!$B$5,$E20)&lt;360,1000,PRICE($BF20+360,$E20,$D20,$F20+AM$4,100,2,0)))</f>
        <v>1000</v>
      </c>
      <c r="AP20" s="168">
        <f t="shared" si="12"/>
        <v>0</v>
      </c>
      <c r="AQ20" s="167"/>
      <c r="AR20" s="167"/>
      <c r="AS20" s="188">
        <f t="shared" si="13"/>
        <v>0</v>
      </c>
      <c r="AT20" s="191">
        <f t="shared" si="14"/>
        <v>0</v>
      </c>
      <c r="AU20" s="192">
        <f t="shared" si="15"/>
        <v>0</v>
      </c>
      <c r="AV20" s="192">
        <f t="shared" si="17"/>
        <v>0</v>
      </c>
      <c r="AW20" s="192">
        <f>AS20*Proposal!M20/AS$29</f>
        <v>0</v>
      </c>
      <c r="AX20" s="193">
        <f t="shared" si="22"/>
        <v>0</v>
      </c>
      <c r="AY20" s="167">
        <f t="shared" si="16"/>
        <v>0</v>
      </c>
      <c r="AZ20" s="167">
        <f t="shared" si="18"/>
        <v>0</v>
      </c>
      <c r="BA20" s="167">
        <f t="shared" si="19"/>
        <v>0</v>
      </c>
      <c r="BB20" s="167">
        <f t="shared" si="20"/>
        <v>0</v>
      </c>
      <c r="BC20" s="167">
        <f t="shared" si="21"/>
        <v>0</v>
      </c>
      <c r="BD20" s="167"/>
      <c r="BE20" s="208">
        <f>Enter!B16</f>
        <v>0</v>
      </c>
      <c r="BF20" s="208">
        <f>Enter!C16</f>
        <v>0</v>
      </c>
      <c r="BG20" s="170"/>
    </row>
    <row r="21" spans="1:67" x14ac:dyDescent="0.25">
      <c r="A21" s="156">
        <f>Proposal!A21</f>
        <v>0</v>
      </c>
      <c r="B21" s="18">
        <f>Proposal!B21</f>
        <v>0</v>
      </c>
      <c r="C21" s="42">
        <f>Proposal!C21</f>
        <v>0</v>
      </c>
      <c r="D21" s="160">
        <f>Proposal!D21</f>
        <v>0</v>
      </c>
      <c r="E21" s="247">
        <f>Income!D20</f>
        <v>0</v>
      </c>
      <c r="F21" s="210">
        <f>Proposal!BG21</f>
        <v>0</v>
      </c>
      <c r="G21" s="219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4" t="e">
        <f>MDURATION(BF21,Proposal!BH21,D21,F21,2,0)</f>
        <v>#NUM!</v>
      </c>
      <c r="T21" s="167" t="b">
        <f t="shared" si="6"/>
        <v>1</v>
      </c>
      <c r="U21" s="195">
        <f t="shared" si="7"/>
        <v>0</v>
      </c>
      <c r="V21" s="188"/>
      <c r="W21" s="197">
        <f>IF(Proposal!$F21=0,1000,IF(DAYS360(Summary!$B$5,Proposal!$F21)&lt;360,1000,PRICE($BF21+360,Proposal!$F21,$D21,$F21,Proposal!$G21,2,0)))</f>
        <v>1000</v>
      </c>
      <c r="X21" s="193">
        <f>IF(Proposal!$H21=0,1000,IF(DAYS360(Summary!$B$5,Proposal!$H21)&lt;360,1000,PRICE($BF21+360,Proposal!$H21,$D21,$F21,100,2,0)))</f>
        <v>1000</v>
      </c>
      <c r="Y21" s="190">
        <f>IF($E21=0,1000,IF(DAYS360(Summary!$B$5,$E21)&lt;360,1000,PRICE($BF21+360,$E21,$D21,$F21,100,2,0)))</f>
        <v>1000</v>
      </c>
      <c r="Z21" s="196">
        <f t="shared" si="8"/>
        <v>0</v>
      </c>
      <c r="AA21" s="197">
        <f>IF(Proposal!$F21=0,1000,IF(DAYS360(Summary!$B$5,Proposal!$F21)&lt;360,1000,PRICE($BF21+360,Proposal!$F21,$D21,$F21+AA$4,Proposal!$G21,2,0)))</f>
        <v>1000</v>
      </c>
      <c r="AB21" s="193">
        <f>IF(Proposal!$H21=0,1000,IF(DAYS360(Summary!$B$5,Proposal!$H21)&lt;360,1000,PRICE($BF21+360,Proposal!$H21,$D21,$F21+AA$4,100,2,0)))</f>
        <v>1000</v>
      </c>
      <c r="AC21" s="190">
        <f>IF($E21=0,1000,IF(DAYS360(Summary!$B$5,$E21)&lt;360,1000,PRICE($BF21+360,$E21,$D21,$F21+AA$4,100,2,0)))</f>
        <v>1000</v>
      </c>
      <c r="AD21" s="168">
        <f t="shared" si="9"/>
        <v>0</v>
      </c>
      <c r="AE21" s="197">
        <f>IF(Proposal!$F21=0,1000,IF(DAYS360(Summary!$B$5,Proposal!$F21)&lt;360,1000,PRICE($BF21+360,Proposal!$F21,$D21,$F21+AE$4,Proposal!$G21,2,0)))</f>
        <v>1000</v>
      </c>
      <c r="AF21" s="193">
        <f>IF(Proposal!$H21=0,1000,IF(DAYS360(Summary!$B$5,Proposal!$H21)&lt;360,1000,PRICE($BF21+360,Proposal!$H21,$D21,$F21+AE$4,100,2,0)))</f>
        <v>1000</v>
      </c>
      <c r="AG21" s="190">
        <f>IF($E21=0,1000,IF(DAYS360(Summary!$B$5,$E21)&lt;360,1000,PRICE($BF21+360,$E21,$D21,$F21+AE$4,100,2,0)))</f>
        <v>1000</v>
      </c>
      <c r="AH21" s="168">
        <f t="shared" si="10"/>
        <v>0</v>
      </c>
      <c r="AI21" s="197">
        <f>IF(Proposal!$F21=0,1000,IF(DAYS360(Summary!$B$5,Proposal!$F21)&lt;360,1000,PRICE($BF21+360,Proposal!$F21,$D21,$F21+AI$4,Proposal!$G21,2,0)))</f>
        <v>1000</v>
      </c>
      <c r="AJ21" s="193">
        <f>IF(Proposal!$H21=0,1000,IF(DAYS360(Summary!$B$5,Proposal!$H21)&lt;360,1000,PRICE($BF21+360,Proposal!$H21,$D21,$F21+AI$4,100,2,0)))</f>
        <v>1000</v>
      </c>
      <c r="AK21" s="190">
        <f>IF($E21=0,1000,IF(DAYS360(Summary!$B$5,$E21)&lt;360,1000,PRICE($BF21+360,$E21,$D21,$F21+AI$4,100,2,0)))</f>
        <v>1000</v>
      </c>
      <c r="AL21" s="168">
        <f t="shared" si="11"/>
        <v>0</v>
      </c>
      <c r="AM21" s="197">
        <f>IF(Proposal!$F21=0,1000,IF(DAYS360(Summary!$B$5,Proposal!$F21)&lt;360,1000,PRICE($BF21+360,Proposal!$F21,$D21,$F21+AM$4,Proposal!$G21,2,0)))</f>
        <v>1000</v>
      </c>
      <c r="AN21" s="193">
        <f>IF(Proposal!$H21=0,1000,IF(DAYS360(Summary!$B$5,Proposal!$H21)&lt;360,1000,PRICE($BF21+360,Proposal!$H21,$D21,$F21+AM$4,100,2,0)))</f>
        <v>1000</v>
      </c>
      <c r="AO21" s="190">
        <f>IF($E21=0,1000,IF(DAYS360(Summary!$B$5,$E21)&lt;360,1000,PRICE($BF21+360,$E21,$D21,$F21+AM$4,100,2,0)))</f>
        <v>1000</v>
      </c>
      <c r="AP21" s="168">
        <f t="shared" si="12"/>
        <v>0</v>
      </c>
      <c r="AQ21" s="167"/>
      <c r="AR21" s="167"/>
      <c r="AS21" s="188">
        <f t="shared" si="13"/>
        <v>0</v>
      </c>
      <c r="AT21" s="191">
        <f t="shared" si="14"/>
        <v>0</v>
      </c>
      <c r="AU21" s="192">
        <f t="shared" si="15"/>
        <v>0</v>
      </c>
      <c r="AV21" s="192">
        <f t="shared" si="17"/>
        <v>0</v>
      </c>
      <c r="AW21" s="192">
        <f>AS21*Proposal!M21/AS$29</f>
        <v>0</v>
      </c>
      <c r="AX21" s="193">
        <f t="shared" si="22"/>
        <v>0</v>
      </c>
      <c r="AY21" s="167">
        <f t="shared" si="16"/>
        <v>0</v>
      </c>
      <c r="AZ21" s="167">
        <f t="shared" si="18"/>
        <v>0</v>
      </c>
      <c r="BA21" s="167">
        <f t="shared" si="19"/>
        <v>0</v>
      </c>
      <c r="BB21" s="167">
        <f t="shared" si="20"/>
        <v>0</v>
      </c>
      <c r="BC21" s="167">
        <f t="shared" si="21"/>
        <v>0</v>
      </c>
      <c r="BD21" s="167"/>
      <c r="BE21" s="208">
        <f>Enter!B17</f>
        <v>0</v>
      </c>
      <c r="BF21" s="208">
        <f>Enter!C17</f>
        <v>0</v>
      </c>
      <c r="BG21" s="170"/>
    </row>
    <row r="22" spans="1:67" x14ac:dyDescent="0.25">
      <c r="A22" s="156">
        <f>Proposal!A22</f>
        <v>0</v>
      </c>
      <c r="B22" s="18">
        <f>Proposal!B22</f>
        <v>0</v>
      </c>
      <c r="C22" s="42">
        <f>Proposal!C22</f>
        <v>0</v>
      </c>
      <c r="D22" s="160">
        <f>Proposal!D22</f>
        <v>0</v>
      </c>
      <c r="E22" s="247">
        <f>Income!D21</f>
        <v>0</v>
      </c>
      <c r="F22" s="210">
        <f>Proposal!BG22</f>
        <v>0</v>
      </c>
      <c r="G22" s="219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4" t="e">
        <f>MDURATION(BF22,Proposal!BH22,D22,F22,2,0)</f>
        <v>#NUM!</v>
      </c>
      <c r="T22" s="167" t="b">
        <f t="shared" si="6"/>
        <v>1</v>
      </c>
      <c r="U22" s="195">
        <f t="shared" si="7"/>
        <v>0</v>
      </c>
      <c r="V22" s="188"/>
      <c r="W22" s="197">
        <f>IF(Proposal!$F22=0,1000,IF(DAYS360(Summary!$B$5,Proposal!$F22)&lt;360,1000,PRICE($BF22+360,Proposal!$F22,$D22,$F22,Proposal!$G22,2,0)))</f>
        <v>1000</v>
      </c>
      <c r="X22" s="193">
        <f>IF(Proposal!$H22=0,1000,IF(DAYS360(Summary!$B$5,Proposal!$H22)&lt;360,1000,PRICE($BF22+360,Proposal!$H22,$D22,$F22,100,2,0)))</f>
        <v>1000</v>
      </c>
      <c r="Y22" s="190">
        <f>IF($E22=0,1000,IF(DAYS360(Summary!$B$5,$E22)&lt;360,1000,PRICE($BF22+360,$E22,$D22,$F22,100,2,0)))</f>
        <v>1000</v>
      </c>
      <c r="Z22" s="196">
        <f t="shared" si="8"/>
        <v>0</v>
      </c>
      <c r="AA22" s="197">
        <f>IF(Proposal!$F22=0,1000,IF(DAYS360(Summary!$B$5,Proposal!$F22)&lt;360,1000,PRICE($BF22+360,Proposal!$F22,$D22,$F22+AA$4,Proposal!$G22,2,0)))</f>
        <v>1000</v>
      </c>
      <c r="AB22" s="193">
        <f>IF(Proposal!$H22=0,1000,IF(DAYS360(Summary!$B$5,Proposal!$H22)&lt;360,1000,PRICE($BF22+360,Proposal!$H22,$D22,$F22+AA$4,100,2,0)))</f>
        <v>1000</v>
      </c>
      <c r="AC22" s="190">
        <f>IF($E22=0,1000,IF(DAYS360(Summary!$B$5,$E22)&lt;360,1000,PRICE($BF22+360,$E22,$D22,$F22+AA$4,100,2,0)))</f>
        <v>1000</v>
      </c>
      <c r="AD22" s="168">
        <f t="shared" si="9"/>
        <v>0</v>
      </c>
      <c r="AE22" s="197">
        <f>IF(Proposal!$F22=0,1000,IF(DAYS360(Summary!$B$5,Proposal!$F22)&lt;360,1000,PRICE($BF22+360,Proposal!$F22,$D22,$F22+AE$4,Proposal!$G22,2,0)))</f>
        <v>1000</v>
      </c>
      <c r="AF22" s="193">
        <f>IF(Proposal!$H22=0,1000,IF(DAYS360(Summary!$B$5,Proposal!$H22)&lt;360,1000,PRICE($BF22+360,Proposal!$H22,$D22,$F22+AE$4,100,2,0)))</f>
        <v>1000</v>
      </c>
      <c r="AG22" s="190">
        <f>IF($E22=0,1000,IF(DAYS360(Summary!$B$5,$E22)&lt;360,1000,PRICE($BF22+360,$E22,$D22,$F22+AE$4,100,2,0)))</f>
        <v>1000</v>
      </c>
      <c r="AH22" s="168">
        <f t="shared" si="10"/>
        <v>0</v>
      </c>
      <c r="AI22" s="197">
        <f>IF(Proposal!$F22=0,1000,IF(DAYS360(Summary!$B$5,Proposal!$F22)&lt;360,1000,PRICE($BF22+360,Proposal!$F22,$D22,$F22+AI$4,Proposal!$G22,2,0)))</f>
        <v>1000</v>
      </c>
      <c r="AJ22" s="193">
        <f>IF(Proposal!$H22=0,1000,IF(DAYS360(Summary!$B$5,Proposal!$H22)&lt;360,1000,PRICE($BF22+360,Proposal!$H22,$D22,$F22+AI$4,100,2,0)))</f>
        <v>1000</v>
      </c>
      <c r="AK22" s="190">
        <f>IF($E22=0,1000,IF(DAYS360(Summary!$B$5,$E22)&lt;360,1000,PRICE($BF22+360,$E22,$D22,$F22+AI$4,100,2,0)))</f>
        <v>1000</v>
      </c>
      <c r="AL22" s="168">
        <f t="shared" si="11"/>
        <v>0</v>
      </c>
      <c r="AM22" s="197">
        <f>IF(Proposal!$F22=0,1000,IF(DAYS360(Summary!$B$5,Proposal!$F22)&lt;360,1000,PRICE($BF22+360,Proposal!$F22,$D22,$F22+AM$4,Proposal!$G22,2,0)))</f>
        <v>1000</v>
      </c>
      <c r="AN22" s="193">
        <f>IF(Proposal!$H22=0,1000,IF(DAYS360(Summary!$B$5,Proposal!$H22)&lt;360,1000,PRICE($BF22+360,Proposal!$H22,$D22,$F22+AM$4,100,2,0)))</f>
        <v>1000</v>
      </c>
      <c r="AO22" s="190">
        <f>IF($E22=0,1000,IF(DAYS360(Summary!$B$5,$E22)&lt;360,1000,PRICE($BF22+360,$E22,$D22,$F22+AM$4,100,2,0)))</f>
        <v>1000</v>
      </c>
      <c r="AP22" s="168">
        <f t="shared" si="12"/>
        <v>0</v>
      </c>
      <c r="AQ22" s="167"/>
      <c r="AR22" s="167"/>
      <c r="AS22" s="188">
        <f t="shared" si="13"/>
        <v>0</v>
      </c>
      <c r="AT22" s="191">
        <f t="shared" si="14"/>
        <v>0</v>
      </c>
      <c r="AU22" s="192">
        <f t="shared" si="15"/>
        <v>0</v>
      </c>
      <c r="AV22" s="192">
        <f t="shared" si="17"/>
        <v>0</v>
      </c>
      <c r="AW22" s="192">
        <f>AS22*Proposal!M22/AS$29</f>
        <v>0</v>
      </c>
      <c r="AX22" s="193">
        <f t="shared" si="22"/>
        <v>0</v>
      </c>
      <c r="AY22" s="167">
        <f t="shared" si="16"/>
        <v>0</v>
      </c>
      <c r="AZ22" s="167">
        <f t="shared" si="18"/>
        <v>0</v>
      </c>
      <c r="BA22" s="167">
        <f t="shared" si="19"/>
        <v>0</v>
      </c>
      <c r="BB22" s="167">
        <f t="shared" si="20"/>
        <v>0</v>
      </c>
      <c r="BC22" s="167">
        <f t="shared" si="21"/>
        <v>0</v>
      </c>
      <c r="BD22" s="167"/>
      <c r="BE22" s="208">
        <f>Enter!B18</f>
        <v>0</v>
      </c>
      <c r="BF22" s="208">
        <f>Enter!C18</f>
        <v>0</v>
      </c>
      <c r="BG22" s="170"/>
    </row>
    <row r="23" spans="1:67" x14ac:dyDescent="0.25">
      <c r="A23" s="156">
        <f>Proposal!A23</f>
        <v>0</v>
      </c>
      <c r="B23" s="18">
        <f>Proposal!B23</f>
        <v>0</v>
      </c>
      <c r="C23" s="42">
        <f>Proposal!C23</f>
        <v>0</v>
      </c>
      <c r="D23" s="160">
        <f>Proposal!D23</f>
        <v>0</v>
      </c>
      <c r="E23" s="247">
        <f>Income!D22</f>
        <v>0</v>
      </c>
      <c r="F23" s="210">
        <f>Proposal!BG23</f>
        <v>0</v>
      </c>
      <c r="G23" s="219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4" t="e">
        <f>MDURATION(BF23,Proposal!BH23,D23,F23,2,0)</f>
        <v>#NUM!</v>
      </c>
      <c r="T23" s="167" t="b">
        <f t="shared" si="6"/>
        <v>1</v>
      </c>
      <c r="U23" s="195">
        <f t="shared" si="7"/>
        <v>0</v>
      </c>
      <c r="V23" s="188"/>
      <c r="W23" s="197">
        <f>IF(Proposal!$F23=0,1000,IF(DAYS360(Summary!$B$5,Proposal!$F23)&lt;360,1000,PRICE($BF23+360,Proposal!$F23,$D23,$F23,Proposal!$G23,2,0)))</f>
        <v>1000</v>
      </c>
      <c r="X23" s="193">
        <f>IF(Proposal!$H23=0,1000,IF(DAYS360(Summary!$B$5,Proposal!$H23)&lt;360,1000,PRICE($BF23+360,Proposal!$H23,$D23,$F23,100,2,0)))</f>
        <v>1000</v>
      </c>
      <c r="Y23" s="190">
        <f>IF($E23=0,1000,IF(DAYS360(Summary!$B$5,$E23)&lt;360,1000,PRICE($BF23+360,$E23,$D23,$F23,100,2,0)))</f>
        <v>1000</v>
      </c>
      <c r="Z23" s="196">
        <f t="shared" si="8"/>
        <v>0</v>
      </c>
      <c r="AA23" s="197">
        <f>IF(Proposal!$F23=0,1000,IF(DAYS360(Summary!$B$5,Proposal!$F23)&lt;360,1000,PRICE($BF23+360,Proposal!$F23,$D23,$F23+AA$4,Proposal!$G23,2,0)))</f>
        <v>1000</v>
      </c>
      <c r="AB23" s="193">
        <f>IF(Proposal!$H23=0,1000,IF(DAYS360(Summary!$B$5,Proposal!$H23)&lt;360,1000,PRICE($BF23+360,Proposal!$H23,$D23,$F23+AA$4,100,2,0)))</f>
        <v>1000</v>
      </c>
      <c r="AC23" s="190">
        <f>IF($E23=0,1000,IF(DAYS360(Summary!$B$5,$E23)&lt;360,1000,PRICE($BF23+360,$E23,$D23,$F23+AA$4,100,2,0)))</f>
        <v>1000</v>
      </c>
      <c r="AD23" s="168">
        <f t="shared" si="9"/>
        <v>0</v>
      </c>
      <c r="AE23" s="197">
        <f>IF(Proposal!$F23=0,1000,IF(DAYS360(Summary!$B$5,Proposal!$F23)&lt;360,1000,PRICE($BF23+360,Proposal!$F23,$D23,$F23+AE$4,Proposal!$G23,2,0)))</f>
        <v>1000</v>
      </c>
      <c r="AF23" s="193">
        <f>IF(Proposal!$H23=0,1000,IF(DAYS360(Summary!$B$5,Proposal!$H23)&lt;360,1000,PRICE($BF23+360,Proposal!$H23,$D23,$F23+AE$4,100,2,0)))</f>
        <v>1000</v>
      </c>
      <c r="AG23" s="190">
        <f>IF($E23=0,1000,IF(DAYS360(Summary!$B$5,$E23)&lt;360,1000,PRICE($BF23+360,$E23,$D23,$F23+AE$4,100,2,0)))</f>
        <v>1000</v>
      </c>
      <c r="AH23" s="168">
        <f t="shared" si="10"/>
        <v>0</v>
      </c>
      <c r="AI23" s="197">
        <f>IF(Proposal!$F23=0,1000,IF(DAYS360(Summary!$B$5,Proposal!$F23)&lt;360,1000,PRICE($BF23+360,Proposal!$F23,$D23,$F23+AI$4,Proposal!$G23,2,0)))</f>
        <v>1000</v>
      </c>
      <c r="AJ23" s="193">
        <f>IF(Proposal!$H23=0,1000,IF(DAYS360(Summary!$B$5,Proposal!$H23)&lt;360,1000,PRICE($BF23+360,Proposal!$H23,$D23,$F23+AI$4,100,2,0)))</f>
        <v>1000</v>
      </c>
      <c r="AK23" s="190">
        <f>IF($E23=0,1000,IF(DAYS360(Summary!$B$5,$E23)&lt;360,1000,PRICE($BF23+360,$E23,$D23,$F23+AI$4,100,2,0)))</f>
        <v>1000</v>
      </c>
      <c r="AL23" s="168">
        <f t="shared" si="11"/>
        <v>0</v>
      </c>
      <c r="AM23" s="197">
        <f>IF(Proposal!$F23=0,1000,IF(DAYS360(Summary!$B$5,Proposal!$F23)&lt;360,1000,PRICE($BF23+360,Proposal!$F23,$D23,$F23+AM$4,Proposal!$G23,2,0)))</f>
        <v>1000</v>
      </c>
      <c r="AN23" s="193">
        <f>IF(Proposal!$H23=0,1000,IF(DAYS360(Summary!$B$5,Proposal!$H23)&lt;360,1000,PRICE($BF23+360,Proposal!$H23,$D23,$F23+AM$4,100,2,0)))</f>
        <v>1000</v>
      </c>
      <c r="AO23" s="190">
        <f>IF($E23=0,1000,IF(DAYS360(Summary!$B$5,$E23)&lt;360,1000,PRICE($BF23+360,$E23,$D23,$F23+AM$4,100,2,0)))</f>
        <v>1000</v>
      </c>
      <c r="AP23" s="168">
        <f t="shared" si="12"/>
        <v>0</v>
      </c>
      <c r="AQ23" s="167"/>
      <c r="AR23" s="167"/>
      <c r="AS23" s="188">
        <f t="shared" si="13"/>
        <v>0</v>
      </c>
      <c r="AT23" s="191">
        <f t="shared" si="14"/>
        <v>0</v>
      </c>
      <c r="AU23" s="192">
        <f t="shared" si="15"/>
        <v>0</v>
      </c>
      <c r="AV23" s="192">
        <f t="shared" si="17"/>
        <v>0</v>
      </c>
      <c r="AW23" s="192">
        <f>AS23*Proposal!M23/AS$29</f>
        <v>0</v>
      </c>
      <c r="AX23" s="193">
        <f t="shared" si="22"/>
        <v>0</v>
      </c>
      <c r="AY23" s="167">
        <f t="shared" si="16"/>
        <v>0</v>
      </c>
      <c r="AZ23" s="167">
        <f t="shared" si="18"/>
        <v>0</v>
      </c>
      <c r="BA23" s="167">
        <f t="shared" si="19"/>
        <v>0</v>
      </c>
      <c r="BB23" s="167">
        <f t="shared" si="20"/>
        <v>0</v>
      </c>
      <c r="BC23" s="167">
        <f t="shared" si="21"/>
        <v>0</v>
      </c>
      <c r="BD23" s="167"/>
      <c r="BE23" s="208">
        <f>Enter!B19</f>
        <v>0</v>
      </c>
      <c r="BF23" s="208">
        <f>Enter!C19</f>
        <v>0</v>
      </c>
      <c r="BG23" s="170"/>
    </row>
    <row r="24" spans="1:67" x14ac:dyDescent="0.25">
      <c r="A24" s="156">
        <f>Proposal!A24</f>
        <v>0</v>
      </c>
      <c r="B24" s="18">
        <f>Proposal!B24</f>
        <v>0</v>
      </c>
      <c r="C24" s="42">
        <f>Proposal!C24</f>
        <v>0</v>
      </c>
      <c r="D24" s="160">
        <f>Proposal!D24</f>
        <v>0</v>
      </c>
      <c r="E24" s="247">
        <f>Income!D23</f>
        <v>0</v>
      </c>
      <c r="F24" s="210">
        <f>Proposal!BG24</f>
        <v>0</v>
      </c>
      <c r="G24" s="219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4" t="e">
        <f>MDURATION(BF24,Proposal!BH24,D24,F24,2,0)</f>
        <v>#NUM!</v>
      </c>
      <c r="T24" s="167" t="b">
        <f t="shared" si="6"/>
        <v>1</v>
      </c>
      <c r="U24" s="195">
        <f t="shared" si="7"/>
        <v>0</v>
      </c>
      <c r="V24" s="188"/>
      <c r="W24" s="197">
        <f>IF(Proposal!$F24=0,1000,IF(DAYS360(Summary!$B$5,Proposal!$F24)&lt;360,1000,PRICE($BF24+360,Proposal!$F24,$D24,$F24,Proposal!$G24,2,0)))</f>
        <v>1000</v>
      </c>
      <c r="X24" s="193">
        <f>IF(Proposal!$H24=0,1000,IF(DAYS360(Summary!$B$5,Proposal!$H24)&lt;360,1000,PRICE($BF24+360,Proposal!$H24,$D24,$F24,100,2,0)))</f>
        <v>1000</v>
      </c>
      <c r="Y24" s="190">
        <f>IF($E24=0,1000,IF(DAYS360(Summary!$B$5,$E24)&lt;360,1000,PRICE($BF24+360,$E24,$D24,$F24,100,2,0)))</f>
        <v>1000</v>
      </c>
      <c r="Z24" s="196">
        <f t="shared" si="8"/>
        <v>0</v>
      </c>
      <c r="AA24" s="197">
        <f>IF(Proposal!$F24=0,1000,IF(DAYS360(Summary!$B$5,Proposal!$F24)&lt;360,1000,PRICE($BF24+360,Proposal!$F24,$D24,$F24+AA$4,Proposal!$G24,2,0)))</f>
        <v>1000</v>
      </c>
      <c r="AB24" s="193">
        <f>IF(Proposal!$H24=0,1000,IF(DAYS360(Summary!$B$5,Proposal!$H24)&lt;360,1000,PRICE($BF24+360,Proposal!$H24,$D24,$F24+AA$4,100,2,0)))</f>
        <v>1000</v>
      </c>
      <c r="AC24" s="190">
        <f>IF($E24=0,1000,IF(DAYS360(Summary!$B$5,$E24)&lt;360,1000,PRICE($BF24+360,$E24,$D24,$F24+AA$4,100,2,0)))</f>
        <v>1000</v>
      </c>
      <c r="AD24" s="168">
        <f t="shared" si="9"/>
        <v>0</v>
      </c>
      <c r="AE24" s="197">
        <f>IF(Proposal!$F24=0,1000,IF(DAYS360(Summary!$B$5,Proposal!$F24)&lt;360,1000,PRICE($BF24+360,Proposal!$F24,$D24,$F24+AE$4,Proposal!$G24,2,0)))</f>
        <v>1000</v>
      </c>
      <c r="AF24" s="193">
        <f>IF(Proposal!$H24=0,1000,IF(DAYS360(Summary!$B$5,Proposal!$H24)&lt;360,1000,PRICE($BF24+360,Proposal!$H24,$D24,$F24+AE$4,100,2,0)))</f>
        <v>1000</v>
      </c>
      <c r="AG24" s="190">
        <f>IF($E24=0,1000,IF(DAYS360(Summary!$B$5,$E24)&lt;360,1000,PRICE($BF24+360,$E24,$D24,$F24+AE$4,100,2,0)))</f>
        <v>1000</v>
      </c>
      <c r="AH24" s="168">
        <f t="shared" si="10"/>
        <v>0</v>
      </c>
      <c r="AI24" s="197">
        <f>IF(Proposal!$F24=0,1000,IF(DAYS360(Summary!$B$5,Proposal!$F24)&lt;360,1000,PRICE($BF24+360,Proposal!$F24,$D24,$F24+AI$4,Proposal!$G24,2,0)))</f>
        <v>1000</v>
      </c>
      <c r="AJ24" s="193">
        <f>IF(Proposal!$H24=0,1000,IF(DAYS360(Summary!$B$5,Proposal!$H24)&lt;360,1000,PRICE($BF24+360,Proposal!$H24,$D24,$F24+AI$4,100,2,0)))</f>
        <v>1000</v>
      </c>
      <c r="AK24" s="190">
        <f>IF($E24=0,1000,IF(DAYS360(Summary!$B$5,$E24)&lt;360,1000,PRICE($BF24+360,$E24,$D24,$F24+AI$4,100,2,0)))</f>
        <v>1000</v>
      </c>
      <c r="AL24" s="168">
        <f t="shared" si="11"/>
        <v>0</v>
      </c>
      <c r="AM24" s="197">
        <f>IF(Proposal!$F24=0,1000,IF(DAYS360(Summary!$B$5,Proposal!$F24)&lt;360,1000,PRICE($BF24+360,Proposal!$F24,$D24,$F24+AM$4,Proposal!$G24,2,0)))</f>
        <v>1000</v>
      </c>
      <c r="AN24" s="193">
        <f>IF(Proposal!$H24=0,1000,IF(DAYS360(Summary!$B$5,Proposal!$H24)&lt;360,1000,PRICE($BF24+360,Proposal!$H24,$D24,$F24+AM$4,100,2,0)))</f>
        <v>1000</v>
      </c>
      <c r="AO24" s="190">
        <f>IF($E24=0,1000,IF(DAYS360(Summary!$B$5,$E24)&lt;360,1000,PRICE($BF24+360,$E24,$D24,$F24+AM$4,100,2,0)))</f>
        <v>1000</v>
      </c>
      <c r="AP24" s="168">
        <f t="shared" si="12"/>
        <v>0</v>
      </c>
      <c r="AQ24" s="167"/>
      <c r="AR24" s="167"/>
      <c r="AS24" s="188">
        <f t="shared" si="13"/>
        <v>0</v>
      </c>
      <c r="AT24" s="191">
        <f t="shared" si="14"/>
        <v>0</v>
      </c>
      <c r="AU24" s="192">
        <f t="shared" si="15"/>
        <v>0</v>
      </c>
      <c r="AV24" s="192">
        <f t="shared" si="17"/>
        <v>0</v>
      </c>
      <c r="AW24" s="192">
        <f>AS24*Proposal!M24/AS$29</f>
        <v>0</v>
      </c>
      <c r="AX24" s="193">
        <f t="shared" si="22"/>
        <v>0</v>
      </c>
      <c r="AY24" s="167">
        <f t="shared" si="16"/>
        <v>0</v>
      </c>
      <c r="AZ24" s="167">
        <f t="shared" si="18"/>
        <v>0</v>
      </c>
      <c r="BA24" s="167">
        <f t="shared" si="19"/>
        <v>0</v>
      </c>
      <c r="BB24" s="167">
        <f t="shared" si="20"/>
        <v>0</v>
      </c>
      <c r="BC24" s="167">
        <f t="shared" si="21"/>
        <v>0</v>
      </c>
      <c r="BD24" s="167"/>
      <c r="BE24" s="208">
        <f>Enter!B20</f>
        <v>0</v>
      </c>
      <c r="BF24" s="208">
        <f>Enter!C20</f>
        <v>0</v>
      </c>
      <c r="BG24" s="170"/>
    </row>
    <row r="25" spans="1:67" x14ac:dyDescent="0.25">
      <c r="A25" s="156">
        <f>Proposal!A25</f>
        <v>0</v>
      </c>
      <c r="B25" s="18">
        <f>Proposal!B25</f>
        <v>0</v>
      </c>
      <c r="C25" s="42">
        <f>Proposal!C25</f>
        <v>0</v>
      </c>
      <c r="D25" s="160">
        <f>Proposal!D25</f>
        <v>0</v>
      </c>
      <c r="E25" s="247">
        <f>Income!D24</f>
        <v>0</v>
      </c>
      <c r="F25" s="210">
        <f>Proposal!BG25</f>
        <v>0</v>
      </c>
      <c r="G25" s="219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4" t="e">
        <f>MDURATION(BF25,Proposal!BH25,D25,F25,2,0)</f>
        <v>#NUM!</v>
      </c>
      <c r="T25" s="167" t="b">
        <f t="shared" si="6"/>
        <v>1</v>
      </c>
      <c r="U25" s="195">
        <f t="shared" si="7"/>
        <v>0</v>
      </c>
      <c r="V25" s="188"/>
      <c r="W25" s="197">
        <f>IF(Proposal!$F25=0,1000,IF(DAYS360(Summary!$B$5,Proposal!$F25)&lt;360,1000,PRICE($BF25+360,Proposal!$F25,$D25,$F25,Proposal!$G25,2,0)))</f>
        <v>1000</v>
      </c>
      <c r="X25" s="193">
        <f>IF(Proposal!$H25=0,1000,IF(DAYS360(Summary!$B$5,Proposal!$H25)&lt;360,1000,PRICE($BF25+360,Proposal!$H25,$D25,$F25,100,2,0)))</f>
        <v>1000</v>
      </c>
      <c r="Y25" s="190">
        <f>IF($E25=0,1000,IF(DAYS360(Summary!$B$5,$E25)&lt;360,1000,PRICE($BF25+360,$E25,$D25,$F25,100,2,0)))</f>
        <v>1000</v>
      </c>
      <c r="Z25" s="196">
        <f t="shared" si="8"/>
        <v>0</v>
      </c>
      <c r="AA25" s="197">
        <f>IF(Proposal!$F25=0,1000,IF(DAYS360(Summary!$B$5,Proposal!$F25)&lt;360,1000,PRICE($BF25+360,Proposal!$F25,$D25,$F25+AA$4,Proposal!$G25,2,0)))</f>
        <v>1000</v>
      </c>
      <c r="AB25" s="193">
        <f>IF(Proposal!$H25=0,1000,IF(DAYS360(Summary!$B$5,Proposal!$H25)&lt;360,1000,PRICE($BF25+360,Proposal!$H25,$D25,$F25+AA$4,100,2,0)))</f>
        <v>1000</v>
      </c>
      <c r="AC25" s="190">
        <f>IF($E25=0,1000,IF(DAYS360(Summary!$B$5,$E25)&lt;360,1000,PRICE($BF25+360,$E25,$D25,$F25+AA$4,100,2,0)))</f>
        <v>1000</v>
      </c>
      <c r="AD25" s="168">
        <f t="shared" si="9"/>
        <v>0</v>
      </c>
      <c r="AE25" s="197">
        <f>IF(Proposal!$F25=0,1000,IF(DAYS360(Summary!$B$5,Proposal!$F25)&lt;360,1000,PRICE($BF25+360,Proposal!$F25,$D25,$F25+AE$4,Proposal!$G25,2,0)))</f>
        <v>1000</v>
      </c>
      <c r="AF25" s="193">
        <f>IF(Proposal!$H25=0,1000,IF(DAYS360(Summary!$B$5,Proposal!$H25)&lt;360,1000,PRICE($BF25+360,Proposal!$H25,$D25,$F25+AE$4,100,2,0)))</f>
        <v>1000</v>
      </c>
      <c r="AG25" s="190">
        <f>IF($E25=0,1000,IF(DAYS360(Summary!$B$5,$E25)&lt;360,1000,PRICE($BF25+360,$E25,$D25,$F25+AE$4,100,2,0)))</f>
        <v>1000</v>
      </c>
      <c r="AH25" s="168">
        <f t="shared" si="10"/>
        <v>0</v>
      </c>
      <c r="AI25" s="197">
        <f>IF(Proposal!$F25=0,1000,IF(DAYS360(Summary!$B$5,Proposal!$F25)&lt;360,1000,PRICE($BF25+360,Proposal!$F25,$D25,$F25+AI$4,Proposal!$G25,2,0)))</f>
        <v>1000</v>
      </c>
      <c r="AJ25" s="193">
        <f>IF(Proposal!$H25=0,1000,IF(DAYS360(Summary!$B$5,Proposal!$H25)&lt;360,1000,PRICE($BF25+360,Proposal!$H25,$D25,$F25+AI$4,100,2,0)))</f>
        <v>1000</v>
      </c>
      <c r="AK25" s="190">
        <f>IF($E25=0,1000,IF(DAYS360(Summary!$B$5,$E25)&lt;360,1000,PRICE($BF25+360,$E25,$D25,$F25+AI$4,100,2,0)))</f>
        <v>1000</v>
      </c>
      <c r="AL25" s="168">
        <f t="shared" si="11"/>
        <v>0</v>
      </c>
      <c r="AM25" s="197">
        <f>IF(Proposal!$F25=0,1000,IF(DAYS360(Summary!$B$5,Proposal!$F25)&lt;360,1000,PRICE($BF25+360,Proposal!$F25,$D25,$F25+AM$4,Proposal!$G25,2,0)))</f>
        <v>1000</v>
      </c>
      <c r="AN25" s="193">
        <f>IF(Proposal!$H25=0,1000,IF(DAYS360(Summary!$B$5,Proposal!$H25)&lt;360,1000,PRICE($BF25+360,Proposal!$H25,$D25,$F25+AM$4,100,2,0)))</f>
        <v>1000</v>
      </c>
      <c r="AO25" s="190">
        <f>IF($E25=0,1000,IF(DAYS360(Summary!$B$5,$E25)&lt;360,1000,PRICE($BF25+360,$E25,$D25,$F25+AM$4,100,2,0)))</f>
        <v>1000</v>
      </c>
      <c r="AP25" s="168">
        <f t="shared" si="12"/>
        <v>0</v>
      </c>
      <c r="AQ25" s="167"/>
      <c r="AR25" s="167"/>
      <c r="AS25" s="188">
        <f t="shared" si="13"/>
        <v>0</v>
      </c>
      <c r="AT25" s="191">
        <f t="shared" si="14"/>
        <v>0</v>
      </c>
      <c r="AU25" s="192">
        <f t="shared" si="15"/>
        <v>0</v>
      </c>
      <c r="AV25" s="192">
        <f t="shared" si="17"/>
        <v>0</v>
      </c>
      <c r="AW25" s="192">
        <f>AS25*Proposal!M25/AS$29</f>
        <v>0</v>
      </c>
      <c r="AX25" s="193">
        <f t="shared" si="22"/>
        <v>0</v>
      </c>
      <c r="AY25" s="167">
        <f t="shared" si="16"/>
        <v>0</v>
      </c>
      <c r="AZ25" s="167">
        <f t="shared" si="18"/>
        <v>0</v>
      </c>
      <c r="BA25" s="167">
        <f t="shared" si="19"/>
        <v>0</v>
      </c>
      <c r="BB25" s="167">
        <f t="shared" si="20"/>
        <v>0</v>
      </c>
      <c r="BC25" s="167">
        <f t="shared" si="21"/>
        <v>0</v>
      </c>
      <c r="BD25" s="167"/>
      <c r="BE25" s="208">
        <f>Enter!B21</f>
        <v>0</v>
      </c>
      <c r="BF25" s="208">
        <f>Enter!C21</f>
        <v>0</v>
      </c>
      <c r="BG25" s="170"/>
    </row>
    <row r="26" spans="1:67" x14ac:dyDescent="0.25">
      <c r="A26" s="156">
        <f>Proposal!A26</f>
        <v>0</v>
      </c>
      <c r="B26" s="18">
        <f>Proposal!B26</f>
        <v>0</v>
      </c>
      <c r="C26" s="42">
        <f>Proposal!C26</f>
        <v>0</v>
      </c>
      <c r="D26" s="160">
        <f>Proposal!D26</f>
        <v>0</v>
      </c>
      <c r="E26" s="247">
        <f>Income!D25</f>
        <v>0</v>
      </c>
      <c r="F26" s="210">
        <f>Proposal!BG26</f>
        <v>0</v>
      </c>
      <c r="G26" s="219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4" t="e">
        <f>MDURATION(BF26,Proposal!BH26,D26,F26,2,0)</f>
        <v>#NUM!</v>
      </c>
      <c r="T26" s="167" t="b">
        <f t="shared" si="6"/>
        <v>1</v>
      </c>
      <c r="U26" s="195">
        <f t="shared" si="7"/>
        <v>0</v>
      </c>
      <c r="V26" s="188"/>
      <c r="W26" s="197">
        <f>IF(Proposal!$F26=0,1000,IF(DAYS360(Summary!$B$5,Proposal!$F26)&lt;360,1000,PRICE($BF26+360,Proposal!$F26,$D26,$F26,Proposal!$G26,2,0)))</f>
        <v>1000</v>
      </c>
      <c r="X26" s="193">
        <f>IF(Proposal!$H26=0,1000,IF(DAYS360(Summary!$B$5,Proposal!$H26)&lt;360,1000,PRICE($BF26+360,Proposal!$H26,$D26,$F26,100,2,0)))</f>
        <v>1000</v>
      </c>
      <c r="Y26" s="190">
        <f>IF($E26=0,1000,IF(DAYS360(Summary!$B$5,$E26)&lt;360,1000,PRICE($BF26+360,$E26,$D26,$F26,100,2,0)))</f>
        <v>1000</v>
      </c>
      <c r="Z26" s="196">
        <f t="shared" si="8"/>
        <v>0</v>
      </c>
      <c r="AA26" s="197">
        <f>IF(Proposal!$F26=0,1000,IF(DAYS360(Summary!$B$5,Proposal!$F26)&lt;360,1000,PRICE($BF26+360,Proposal!$F26,$D26,$F26+AA$4,Proposal!$G26,2,0)))</f>
        <v>1000</v>
      </c>
      <c r="AB26" s="193">
        <f>IF(Proposal!$H26=0,1000,IF(DAYS360(Summary!$B$5,Proposal!$H26)&lt;360,1000,PRICE($BF26+360,Proposal!$H26,$D26,$F26+AA$4,100,2,0)))</f>
        <v>1000</v>
      </c>
      <c r="AC26" s="190">
        <f>IF($E26=0,1000,IF(DAYS360(Summary!$B$5,$E26)&lt;360,1000,PRICE($BF26+360,$E26,$D26,$F26+AA$4,100,2,0)))</f>
        <v>1000</v>
      </c>
      <c r="AD26" s="168">
        <f t="shared" si="9"/>
        <v>0</v>
      </c>
      <c r="AE26" s="197">
        <f>IF(Proposal!$F26=0,1000,IF(DAYS360(Summary!$B$5,Proposal!$F26)&lt;360,1000,PRICE($BF26+360,Proposal!$F26,$D26,$F26+AE$4,Proposal!$G26,2,0)))</f>
        <v>1000</v>
      </c>
      <c r="AF26" s="193">
        <f>IF(Proposal!$H26=0,1000,IF(DAYS360(Summary!$B$5,Proposal!$H26)&lt;360,1000,PRICE($BF26+360,Proposal!$H26,$D26,$F26+AE$4,100,2,0)))</f>
        <v>1000</v>
      </c>
      <c r="AG26" s="190">
        <f>IF($E26=0,1000,IF(DAYS360(Summary!$B$5,$E26)&lt;360,1000,PRICE($BF26+360,$E26,$D26,$F26+AE$4,100,2,0)))</f>
        <v>1000</v>
      </c>
      <c r="AH26" s="168">
        <f t="shared" si="10"/>
        <v>0</v>
      </c>
      <c r="AI26" s="197">
        <f>IF(Proposal!$F26=0,1000,IF(DAYS360(Summary!$B$5,Proposal!$F26)&lt;360,1000,PRICE($BF26+360,Proposal!$F26,$D26,$F26+AI$4,Proposal!$G26,2,0)))</f>
        <v>1000</v>
      </c>
      <c r="AJ26" s="193">
        <f>IF(Proposal!$H26=0,1000,IF(DAYS360(Summary!$B$5,Proposal!$H26)&lt;360,1000,PRICE($BF26+360,Proposal!$H26,$D26,$F26+AI$4,100,2,0)))</f>
        <v>1000</v>
      </c>
      <c r="AK26" s="190">
        <f>IF($E26=0,1000,IF(DAYS360(Summary!$B$5,$E26)&lt;360,1000,PRICE($BF26+360,$E26,$D26,$F26+AI$4,100,2,0)))</f>
        <v>1000</v>
      </c>
      <c r="AL26" s="168">
        <f t="shared" si="11"/>
        <v>0</v>
      </c>
      <c r="AM26" s="197">
        <f>IF(Proposal!$F26=0,1000,IF(DAYS360(Summary!$B$5,Proposal!$F26)&lt;360,1000,PRICE($BF26+360,Proposal!$F26,$D26,$F26+AM$4,Proposal!$G26,2,0)))</f>
        <v>1000</v>
      </c>
      <c r="AN26" s="193">
        <f>IF(Proposal!$H26=0,1000,IF(DAYS360(Summary!$B$5,Proposal!$H26)&lt;360,1000,PRICE($BF26+360,Proposal!$H26,$D26,$F26+AM$4,100,2,0)))</f>
        <v>1000</v>
      </c>
      <c r="AO26" s="190">
        <f>IF($E26=0,1000,IF(DAYS360(Summary!$B$5,$E26)&lt;360,1000,PRICE($BF26+360,$E26,$D26,$F26+AM$4,100,2,0)))</f>
        <v>1000</v>
      </c>
      <c r="AP26" s="168">
        <f t="shared" si="12"/>
        <v>0</v>
      </c>
      <c r="AQ26" s="167"/>
      <c r="AR26" s="167"/>
      <c r="AS26" s="188">
        <f t="shared" si="13"/>
        <v>0</v>
      </c>
      <c r="AT26" s="191">
        <f t="shared" si="14"/>
        <v>0</v>
      </c>
      <c r="AU26" s="192">
        <f t="shared" si="15"/>
        <v>0</v>
      </c>
      <c r="AV26" s="192">
        <f t="shared" si="17"/>
        <v>0</v>
      </c>
      <c r="AW26" s="192">
        <f>AS26*Proposal!M26/AS$29</f>
        <v>0</v>
      </c>
      <c r="AX26" s="193">
        <f t="shared" si="22"/>
        <v>0</v>
      </c>
      <c r="AY26" s="167">
        <f t="shared" si="16"/>
        <v>0</v>
      </c>
      <c r="AZ26" s="167">
        <f t="shared" si="18"/>
        <v>0</v>
      </c>
      <c r="BA26" s="167">
        <f t="shared" si="19"/>
        <v>0</v>
      </c>
      <c r="BB26" s="167">
        <f t="shared" si="20"/>
        <v>0</v>
      </c>
      <c r="BC26" s="167">
        <f t="shared" si="21"/>
        <v>0</v>
      </c>
      <c r="BD26" s="167"/>
      <c r="BE26" s="208">
        <f>Enter!B22</f>
        <v>0</v>
      </c>
      <c r="BF26" s="208">
        <f>Enter!C22</f>
        <v>0</v>
      </c>
      <c r="BG26" s="170"/>
    </row>
    <row r="27" spans="1:67" x14ac:dyDescent="0.25">
      <c r="A27" s="156">
        <f>Proposal!A27</f>
        <v>0</v>
      </c>
      <c r="B27" s="18">
        <f>Proposal!B27</f>
        <v>0</v>
      </c>
      <c r="C27" s="42">
        <f>Proposal!C27</f>
        <v>0</v>
      </c>
      <c r="D27" s="160">
        <f>Proposal!D27</f>
        <v>0</v>
      </c>
      <c r="E27" s="247">
        <f>Income!D26</f>
        <v>0</v>
      </c>
      <c r="F27" s="210">
        <f>Proposal!BG27</f>
        <v>0</v>
      </c>
      <c r="G27" s="219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4" t="e">
        <f>MDURATION(BF27,Proposal!BH27,D27,F27,2,0)</f>
        <v>#NUM!</v>
      </c>
      <c r="T27" s="167" t="b">
        <f t="shared" si="6"/>
        <v>1</v>
      </c>
      <c r="U27" s="195">
        <f t="shared" si="7"/>
        <v>0</v>
      </c>
      <c r="V27" s="188"/>
      <c r="W27" s="197">
        <f>IF(Proposal!$F27=0,1000,IF(DAYS360(Summary!$B$5,Proposal!$F27)&lt;360,1000,PRICE($BF27+360,Proposal!$F27,$D27,$F27,Proposal!$G27,2,0)))</f>
        <v>1000</v>
      </c>
      <c r="X27" s="193">
        <f>IF(Proposal!$H27=0,1000,IF(DAYS360(Summary!$B$5,Proposal!$H27)&lt;360,1000,PRICE($BF27+360,Proposal!$H27,$D27,$F27,100,2,0)))</f>
        <v>1000</v>
      </c>
      <c r="Y27" s="190">
        <f>IF($E27=0,1000,IF(DAYS360(Summary!$B$5,$E27)&lt;360,1000,PRICE($BF27+360,$E27,$D27,$F27,100,2,0)))</f>
        <v>1000</v>
      </c>
      <c r="Z27" s="196">
        <f t="shared" si="8"/>
        <v>0</v>
      </c>
      <c r="AA27" s="197">
        <f>IF(Proposal!$F27=0,1000,IF(DAYS360(Summary!$B$5,Proposal!$F27)&lt;360,1000,PRICE($BF27+360,Proposal!$F27,$D27,$F27+AA$4,Proposal!$G27,2,0)))</f>
        <v>1000</v>
      </c>
      <c r="AB27" s="193">
        <f>IF(Proposal!$H27=0,1000,IF(DAYS360(Summary!$B$5,Proposal!$H27)&lt;360,1000,PRICE($BF27+360,Proposal!$H27,$D27,$F27+AA$4,100,2,0)))</f>
        <v>1000</v>
      </c>
      <c r="AC27" s="190">
        <f>IF($E27=0,1000,IF(DAYS360(Summary!$B$5,$E27)&lt;360,1000,PRICE($BF27+360,$E27,$D27,$F27+AA$4,100,2,0)))</f>
        <v>1000</v>
      </c>
      <c r="AD27" s="168">
        <f t="shared" si="9"/>
        <v>0</v>
      </c>
      <c r="AE27" s="197">
        <f>IF(Proposal!$F27=0,1000,IF(DAYS360(Summary!$B$5,Proposal!$F27)&lt;360,1000,PRICE($BF27+360,Proposal!$F27,$D27,$F27+AE$4,Proposal!$G27,2,0)))</f>
        <v>1000</v>
      </c>
      <c r="AF27" s="193">
        <f>IF(Proposal!$H27=0,1000,IF(DAYS360(Summary!$B$5,Proposal!$H27)&lt;360,1000,PRICE($BF27+360,Proposal!$H27,$D27,$F27+AE$4,100,2,0)))</f>
        <v>1000</v>
      </c>
      <c r="AG27" s="190">
        <f>IF($E27=0,1000,IF(DAYS360(Summary!$B$5,$E27)&lt;360,1000,PRICE($BF27+360,$E27,$D27,$F27+AE$4,100,2,0)))</f>
        <v>1000</v>
      </c>
      <c r="AH27" s="168">
        <f t="shared" si="10"/>
        <v>0</v>
      </c>
      <c r="AI27" s="197">
        <f>IF(Proposal!$F27=0,1000,IF(DAYS360(Summary!$B$5,Proposal!$F27)&lt;360,1000,PRICE($BF27+360,Proposal!$F27,$D27,$F27+AI$4,Proposal!$G27,2,0)))</f>
        <v>1000</v>
      </c>
      <c r="AJ27" s="193">
        <f>IF(Proposal!$H27=0,1000,IF(DAYS360(Summary!$B$5,Proposal!$H27)&lt;360,1000,PRICE($BF27+360,Proposal!$H27,$D27,$F27+AI$4,100,2,0)))</f>
        <v>1000</v>
      </c>
      <c r="AK27" s="190">
        <f>IF($E27=0,1000,IF(DAYS360(Summary!$B$5,$E27)&lt;360,1000,PRICE($BF27+360,$E27,$D27,$F27+AI$4,100,2,0)))</f>
        <v>1000</v>
      </c>
      <c r="AL27" s="168">
        <f t="shared" si="11"/>
        <v>0</v>
      </c>
      <c r="AM27" s="197">
        <f>IF(Proposal!$F27=0,1000,IF(DAYS360(Summary!$B$5,Proposal!$F27)&lt;360,1000,PRICE($BF27+360,Proposal!$F27,$D27,$F27+AM$4,Proposal!$G27,2,0)))</f>
        <v>1000</v>
      </c>
      <c r="AN27" s="193">
        <f>IF(Proposal!$H27=0,1000,IF(DAYS360(Summary!$B$5,Proposal!$H27)&lt;360,1000,PRICE($BF27+360,Proposal!$H27,$D27,$F27+AM$4,100,2,0)))</f>
        <v>1000</v>
      </c>
      <c r="AO27" s="190">
        <f>IF($E27=0,1000,IF(DAYS360(Summary!$B$5,$E27)&lt;360,1000,PRICE($BF27+360,$E27,$D27,$F27+AM$4,100,2,0)))</f>
        <v>1000</v>
      </c>
      <c r="AP27" s="168">
        <f t="shared" si="12"/>
        <v>0</v>
      </c>
      <c r="AQ27" s="167"/>
      <c r="AR27" s="167"/>
      <c r="AS27" s="188">
        <f t="shared" si="13"/>
        <v>0</v>
      </c>
      <c r="AT27" s="191">
        <f t="shared" si="14"/>
        <v>0</v>
      </c>
      <c r="AU27" s="192">
        <f t="shared" si="15"/>
        <v>0</v>
      </c>
      <c r="AV27" s="192">
        <f t="shared" si="17"/>
        <v>0</v>
      </c>
      <c r="AW27" s="192">
        <f>AS27*Proposal!M27/AS$29</f>
        <v>0</v>
      </c>
      <c r="AX27" s="193">
        <f t="shared" si="22"/>
        <v>0</v>
      </c>
      <c r="AY27" s="167">
        <f t="shared" si="16"/>
        <v>0</v>
      </c>
      <c r="AZ27" s="167">
        <f t="shared" si="18"/>
        <v>0</v>
      </c>
      <c r="BA27" s="167">
        <f t="shared" si="19"/>
        <v>0</v>
      </c>
      <c r="BB27" s="167">
        <f t="shared" si="20"/>
        <v>0</v>
      </c>
      <c r="BC27" s="167">
        <f t="shared" si="21"/>
        <v>0</v>
      </c>
      <c r="BD27" s="167"/>
      <c r="BE27" s="208">
        <f>Enter!B23</f>
        <v>0</v>
      </c>
      <c r="BF27" s="208">
        <f>Enter!C23</f>
        <v>0</v>
      </c>
      <c r="BG27" s="170"/>
    </row>
    <row r="28" spans="1:67" ht="16.5" thickBot="1" x14ac:dyDescent="0.3">
      <c r="A28" s="238">
        <f>Proposal!A28</f>
        <v>0</v>
      </c>
      <c r="B28" s="248">
        <f>Proposal!B28</f>
        <v>0</v>
      </c>
      <c r="C28" s="261">
        <f>Proposal!C28</f>
        <v>0</v>
      </c>
      <c r="D28" s="249">
        <f>Proposal!D28</f>
        <v>0</v>
      </c>
      <c r="E28" s="323">
        <f>Income!D27</f>
        <v>0</v>
      </c>
      <c r="F28" s="249">
        <f>Proposal!BG28</f>
        <v>0</v>
      </c>
      <c r="G28" s="228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8" t="e">
        <f>MDURATION(BF28,Proposal!BH28,D28,F28,2,0)</f>
        <v>#NUM!</v>
      </c>
      <c r="T28" s="119" t="b">
        <f t="shared" si="6"/>
        <v>1</v>
      </c>
      <c r="U28" s="199">
        <f t="shared" si="7"/>
        <v>0</v>
      </c>
      <c r="V28" s="200"/>
      <c r="W28" s="203">
        <f>IF(Proposal!$F28=0,1000,IF(DAYS360(Summary!$B$5,Proposal!$F28)&lt;360,1000,PRICE($BF28+360,Proposal!$F28,$D28,$F28,Proposal!$G28,2,0)))</f>
        <v>1000</v>
      </c>
      <c r="X28" s="204">
        <f>IF(Proposal!$H28=0,1000,IF(DAYS360(Summary!$B$5,Proposal!$H28)&lt;360,1000,PRICE($BF28+360,Proposal!$H28,$D28,$F28,100,2,0)))</f>
        <v>1000</v>
      </c>
      <c r="Y28" s="205">
        <f>IF($E28=0,1000,IF(DAYS360(Summary!$B$5,$E28)&lt;360,1000,PRICE($BF28+360,$E28,$D28,$F28,100,2,0)))</f>
        <v>1000</v>
      </c>
      <c r="Z28" s="202">
        <f t="shared" si="8"/>
        <v>0</v>
      </c>
      <c r="AA28" s="203">
        <f>IF(Proposal!$F28=0,1000,IF(DAYS360(Summary!$B$5,Proposal!$F28)&lt;360,1000,PRICE($BF28+360,Proposal!$F28,$D28,$F28+AA$4,Proposal!$G28,2,0)))</f>
        <v>1000</v>
      </c>
      <c r="AB28" s="204">
        <f>IF(Proposal!$H28=0,1000,IF(DAYS360(Summary!$B$5,Proposal!$H28)&lt;360,1000,PRICE($BF28+360,Proposal!$H28,$D28,$F28+AA$4,100,2,0)))</f>
        <v>1000</v>
      </c>
      <c r="AC28" s="205">
        <f>IF($E28=0,1000,IF(DAYS360(Summary!$B$5,$E28)&lt;360,1000,PRICE($BF28+360,$E28,$D28,$F28+AA$4,100,2,0)))</f>
        <v>1000</v>
      </c>
      <c r="AD28" s="262">
        <f t="shared" si="9"/>
        <v>0</v>
      </c>
      <c r="AE28" s="203">
        <f>IF(Proposal!$F28=0,1000,IF(DAYS360(Summary!$B$5,Proposal!$F28)&lt;360,1000,PRICE($BF28+360,Proposal!$F28,$D28,$F28+AE$4,Proposal!$G28,2,0)))</f>
        <v>1000</v>
      </c>
      <c r="AF28" s="204">
        <f>IF(Proposal!$H28=0,1000,IF(DAYS360(Summary!$B$5,Proposal!$H28)&lt;360,1000,PRICE($BF28+360,Proposal!$H28,$D28,$F28+AE$4,100,2,0)))</f>
        <v>1000</v>
      </c>
      <c r="AG28" s="205">
        <f>IF($E28=0,1000,IF(DAYS360(Summary!$B$5,$E28)&lt;360,1000,PRICE($BF28+360,$E28,$D28,$F28+AE$4,100,2,0)))</f>
        <v>1000</v>
      </c>
      <c r="AH28" s="262">
        <f t="shared" si="10"/>
        <v>0</v>
      </c>
      <c r="AI28" s="203">
        <f>IF(Proposal!$F28=0,1000,IF(DAYS360(Summary!$B$5,Proposal!$F28)&lt;360,1000,PRICE($BF28+360,Proposal!$F28,$D28,$F28+AI$4,Proposal!$G28,2,0)))</f>
        <v>1000</v>
      </c>
      <c r="AJ28" s="204">
        <f>IF(Proposal!$H28=0,1000,IF(DAYS360(Summary!$B$5,Proposal!$H28)&lt;360,1000,PRICE($BF28+360,Proposal!$H28,$D28,$F28+AI$4,100,2,0)))</f>
        <v>1000</v>
      </c>
      <c r="AK28" s="205">
        <f>IF($E28=0,1000,IF(DAYS360(Summary!$B$5,$E28)&lt;360,1000,PRICE($BF28+360,$E28,$D28,$F28+AI$4,100,2,0)))</f>
        <v>1000</v>
      </c>
      <c r="AL28" s="262">
        <f t="shared" si="11"/>
        <v>0</v>
      </c>
      <c r="AM28" s="203">
        <f>IF(Proposal!$F28=0,1000,IF(DAYS360(Summary!$B$5,Proposal!$F28)&lt;360,1000,PRICE($BF28+360,Proposal!$F28,$D28,$F28+AM$4,Proposal!$G28,2,0)))</f>
        <v>1000</v>
      </c>
      <c r="AN28" s="204">
        <f>IF(Proposal!$H28=0,1000,IF(DAYS360(Summary!$B$5,Proposal!$H28)&lt;360,1000,PRICE($BF28+360,Proposal!$H28,$D28,$F28+AM$4,100,2,0)))</f>
        <v>1000</v>
      </c>
      <c r="AO28" s="205">
        <f>IF($E28=0,1000,IF(DAYS360(Summary!$B$5,$E28)&lt;360,1000,PRICE($BF28+360,$E28,$D28,$F28+AM$4,100,2,0)))</f>
        <v>1000</v>
      </c>
      <c r="AP28" s="262">
        <f t="shared" si="12"/>
        <v>0</v>
      </c>
      <c r="AQ28" s="167"/>
      <c r="AR28" s="167"/>
      <c r="AS28" s="199">
        <f t="shared" si="13"/>
        <v>0</v>
      </c>
      <c r="AT28" s="206">
        <f t="shared" si="14"/>
        <v>0</v>
      </c>
      <c r="AU28" s="201">
        <f t="shared" si="15"/>
        <v>0</v>
      </c>
      <c r="AV28" s="201">
        <f t="shared" si="17"/>
        <v>0</v>
      </c>
      <c r="AW28" s="201">
        <f>AS28*Proposal!M28/AS$29</f>
        <v>0</v>
      </c>
      <c r="AX28" s="204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7"/>
      <c r="BE28" s="250">
        <f>Enter!B24</f>
        <v>0</v>
      </c>
      <c r="BF28" s="250">
        <f>Enter!C24</f>
        <v>0</v>
      </c>
      <c r="BG28" s="170"/>
    </row>
    <row r="29" spans="1:67" x14ac:dyDescent="0.25">
      <c r="A29" s="251" t="s">
        <v>95</v>
      </c>
      <c r="B29" s="142"/>
      <c r="C29" s="142"/>
      <c r="D29" s="210" t="s">
        <v>78</v>
      </c>
      <c r="E29" s="210" t="s">
        <v>78</v>
      </c>
      <c r="F29" s="210" t="s">
        <v>78</v>
      </c>
      <c r="G29" s="219"/>
      <c r="H29" s="210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7"/>
      <c r="T29" s="167"/>
      <c r="U29" s="188"/>
      <c r="V29" s="188"/>
      <c r="W29" s="192"/>
      <c r="X29" s="192"/>
      <c r="Y29" s="192"/>
      <c r="Z29" s="168"/>
      <c r="AA29" s="193"/>
      <c r="AB29" s="193"/>
      <c r="AC29" s="193"/>
      <c r="AD29" s="168"/>
      <c r="AE29" s="193"/>
      <c r="AF29" s="193"/>
      <c r="AG29" s="193"/>
      <c r="AH29" s="168"/>
      <c r="AI29" s="193"/>
      <c r="AJ29" s="193"/>
      <c r="AK29" s="193"/>
      <c r="AL29" s="168"/>
      <c r="AM29" s="193"/>
      <c r="AN29" s="193"/>
      <c r="AO29" s="193"/>
      <c r="AP29" s="168"/>
      <c r="AQ29" s="167"/>
      <c r="AR29" s="167"/>
      <c r="AS29" s="188">
        <f>SUM(AS7:AS28)</f>
        <v>2015674</v>
      </c>
      <c r="AT29" s="207">
        <f>SUM(AT7:AT28)</f>
        <v>4.8752100538083043E-2</v>
      </c>
      <c r="AU29" s="208">
        <f>INT(SUM(AU7:AU28))</f>
        <v>44420</v>
      </c>
      <c r="AV29" s="207">
        <f>SUM(AV7:AV28)</f>
        <v>4.7351871089068236E-2</v>
      </c>
      <c r="AW29" s="207">
        <f>SUM(AW7:AW28)</f>
        <v>4.8346111523986511E-2</v>
      </c>
      <c r="AX29" s="193">
        <f t="shared" ref="AX29:BC29" si="23">SUM(AX7:AX28)</f>
        <v>8.0732870449453777</v>
      </c>
      <c r="AY29" s="207">
        <f t="shared" ca="1" si="23"/>
        <v>5.5421796108173126E-2</v>
      </c>
      <c r="AZ29" s="207">
        <f t="shared" ca="1" si="23"/>
        <v>0.18814672586757886</v>
      </c>
      <c r="BA29" s="207">
        <f t="shared" ca="1" si="23"/>
        <v>0.11905057724044257</v>
      </c>
      <c r="BB29" s="207">
        <f t="shared" ca="1" si="23"/>
        <v>-3.2260672642412283E-3</v>
      </c>
      <c r="BC29" s="207">
        <f t="shared" ca="1" si="23"/>
        <v>-5.7332731917401208E-2</v>
      </c>
      <c r="BD29" s="167"/>
      <c r="BE29" s="167"/>
      <c r="BF29" s="167"/>
      <c r="BG29" s="170"/>
    </row>
    <row r="30" spans="1:67" x14ac:dyDescent="0.25">
      <c r="A30" s="222">
        <f>SUM(A7:A29)</f>
        <v>2000</v>
      </c>
      <c r="B30" s="142"/>
      <c r="C30" s="142"/>
      <c r="D30" s="210">
        <f>AT29</f>
        <v>4.8752100538083043E-2</v>
      </c>
      <c r="E30" s="252">
        <f>AU29</f>
        <v>44420</v>
      </c>
      <c r="F30" s="210">
        <f>AV29</f>
        <v>4.7351871089068236E-2</v>
      </c>
      <c r="G30" s="219"/>
      <c r="H30" s="218">
        <f>AX29</f>
        <v>8.0732870449453777</v>
      </c>
      <c r="I30" s="127">
        <f ca="1">AZ29</f>
        <v>0.18814672586757886</v>
      </c>
      <c r="J30" s="127">
        <f ca="1">BA29</f>
        <v>0.11905057724044257</v>
      </c>
      <c r="K30" s="127">
        <f ca="1">AY29</f>
        <v>5.5421796108173126E-2</v>
      </c>
      <c r="L30" s="127">
        <f ca="1">BB29</f>
        <v>-3.2260672642412283E-3</v>
      </c>
      <c r="M30" s="127">
        <f ca="1">BC29</f>
        <v>-5.7332731917401208E-2</v>
      </c>
      <c r="N30" s="18"/>
      <c r="O30" s="18"/>
      <c r="P30" s="18"/>
      <c r="Q30" s="18"/>
      <c r="S30" s="197"/>
      <c r="T30" s="167"/>
      <c r="U30" s="188"/>
      <c r="V30" s="188"/>
      <c r="W30" s="192"/>
      <c r="X30" s="192"/>
      <c r="Y30" s="192"/>
      <c r="Z30" s="168"/>
      <c r="AA30" s="193"/>
      <c r="AB30" s="193"/>
      <c r="AC30" s="193"/>
      <c r="AD30" s="168"/>
      <c r="AE30" s="193"/>
      <c r="AF30" s="193"/>
      <c r="AG30" s="193"/>
      <c r="AH30" s="168"/>
      <c r="AI30" s="193"/>
      <c r="AJ30" s="193"/>
      <c r="AK30" s="193"/>
      <c r="AL30" s="168"/>
      <c r="AM30" s="193"/>
      <c r="AN30" s="193"/>
      <c r="AO30" s="193"/>
      <c r="AP30" s="168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70"/>
    </row>
    <row r="31" spans="1:67" x14ac:dyDescent="0.25">
      <c r="A31" s="142"/>
      <c r="B31" s="142"/>
      <c r="C31" s="142"/>
      <c r="D31" s="210"/>
      <c r="E31" s="159"/>
      <c r="F31" s="209"/>
      <c r="G31" s="219"/>
      <c r="H31" s="126"/>
      <c r="I31" s="210"/>
      <c r="J31" s="210"/>
      <c r="K31" s="210"/>
      <c r="L31" s="210"/>
      <c r="M31" s="210"/>
      <c r="N31" s="18"/>
      <c r="O31" s="18"/>
      <c r="P31" s="18"/>
      <c r="Q31" s="18"/>
      <c r="S31" s="166"/>
      <c r="T31" s="167"/>
      <c r="U31" s="188"/>
      <c r="V31" s="188"/>
      <c r="W31" s="192"/>
      <c r="X31" s="192"/>
      <c r="Y31" s="192"/>
      <c r="Z31" s="168"/>
      <c r="AA31" s="193"/>
      <c r="AB31" s="193"/>
      <c r="AC31" s="193"/>
      <c r="AD31" s="168"/>
      <c r="AE31" s="193"/>
      <c r="AF31" s="193"/>
      <c r="AG31" s="193"/>
      <c r="AH31" s="168"/>
      <c r="AI31" s="193"/>
      <c r="AJ31" s="193"/>
      <c r="AK31" s="193"/>
      <c r="AL31" s="168"/>
      <c r="AM31" s="193"/>
      <c r="AN31" s="193"/>
      <c r="AO31" s="193"/>
      <c r="AP31" s="168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70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48" t="s">
        <v>139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2"/>
      <c r="C3" s="362" t="s">
        <v>103</v>
      </c>
      <c r="D3" s="362"/>
      <c r="E3" s="263"/>
      <c r="F3" s="263"/>
      <c r="G3" s="362"/>
      <c r="H3" s="362" t="s">
        <v>103</v>
      </c>
      <c r="I3" s="362"/>
      <c r="J3" s="20"/>
      <c r="K3" s="5"/>
      <c r="L3" s="5"/>
      <c r="M3" s="5"/>
      <c r="N3" s="5"/>
      <c r="P3" s="240" t="s">
        <v>56</v>
      </c>
      <c r="Q3" s="241" t="s">
        <v>56</v>
      </c>
      <c r="R3" s="241" t="s">
        <v>59</v>
      </c>
      <c r="S3" s="61"/>
      <c r="T3" s="241" t="s">
        <v>56</v>
      </c>
      <c r="U3" s="241" t="s">
        <v>56</v>
      </c>
      <c r="V3" s="242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3" t="s">
        <v>58</v>
      </c>
      <c r="C4" s="364" t="s">
        <v>114</v>
      </c>
      <c r="D4" s="363" t="s">
        <v>60</v>
      </c>
      <c r="E4" s="263"/>
      <c r="F4" s="263"/>
      <c r="G4" s="363" t="s">
        <v>58</v>
      </c>
      <c r="H4" s="364" t="s">
        <v>114</v>
      </c>
      <c r="I4" s="363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3">
        <f>IF(Proposal!I7="y",Proposal!A7*Proposal!G7*10,Proposal!A7*1000)</f>
        <v>200000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4">
        <v>1999</v>
      </c>
      <c r="C5" s="265">
        <f>DSUM($Q$3:$R$25,"Value",T3:T4)/1000</f>
        <v>0</v>
      </c>
      <c r="D5" s="266">
        <f>C5/R$26</f>
        <v>0</v>
      </c>
      <c r="E5" s="263"/>
      <c r="F5" s="263"/>
      <c r="G5" s="265">
        <v>2014</v>
      </c>
      <c r="H5" s="265">
        <f>DSUM($Q$3:$R$25,"Value",U9:U10)/1000</f>
        <v>0</v>
      </c>
      <c r="I5" s="266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3">
        <f>IF(Proposal!I8="y",Proposal!A8*Proposal!G8*10,Proposal!A8*1000)</f>
        <v>200000</v>
      </c>
      <c r="S5" s="61"/>
      <c r="T5" s="241" t="s">
        <v>56</v>
      </c>
      <c r="U5" s="241" t="s">
        <v>56</v>
      </c>
      <c r="V5" s="242" t="s">
        <v>56</v>
      </c>
    </row>
    <row r="6" spans="1:56" ht="18.75" x14ac:dyDescent="0.3">
      <c r="A6" s="20"/>
      <c r="B6" s="265">
        <v>2000</v>
      </c>
      <c r="C6" s="265">
        <f>DSUM($Q$3:$R$25,"Value",T5:T6)/1000</f>
        <v>0</v>
      </c>
      <c r="D6" s="266">
        <f t="shared" ref="D6:D19" si="1">C6/R$26</f>
        <v>0</v>
      </c>
      <c r="E6" s="263"/>
      <c r="F6" s="263"/>
      <c r="G6" s="265">
        <v>2015</v>
      </c>
      <c r="H6" s="265">
        <f>DSUM($Q$3:$R$25,"Value",U11:U12)/1000</f>
        <v>0</v>
      </c>
      <c r="I6" s="266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3">
        <f>IF(Proposal!I9="y",Proposal!A9*Proposal!G9*10,Proposal!A9*1000)</f>
        <v>200000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5">
        <v>2001</v>
      </c>
      <c r="C7" s="265">
        <f>DSUM($Q$3:$R$25,"Value",T7:T8)/1000</f>
        <v>0</v>
      </c>
      <c r="D7" s="266">
        <f t="shared" si="1"/>
        <v>0</v>
      </c>
      <c r="E7" s="263"/>
      <c r="F7" s="263"/>
      <c r="G7" s="265">
        <v>2016</v>
      </c>
      <c r="H7" s="265">
        <f>DSUM($Q$3:$R$25,"Value",U13:U14)/1000</f>
        <v>200</v>
      </c>
      <c r="I7" s="266">
        <f t="shared" si="2"/>
        <v>0.1</v>
      </c>
      <c r="J7" s="20"/>
      <c r="K7" s="5"/>
      <c r="L7" s="5"/>
      <c r="M7" s="5"/>
      <c r="N7" s="5"/>
      <c r="P7" s="62">
        <f>YEAR(Income!D9)</f>
        <v>2019</v>
      </c>
      <c r="Q7" s="56">
        <f t="shared" si="0"/>
        <v>2019</v>
      </c>
      <c r="R7" s="243">
        <f>IF(Proposal!I10="y",Proposal!A10*Proposal!G10*10,Proposal!A10*1000)</f>
        <v>200000</v>
      </c>
      <c r="S7" s="61"/>
      <c r="T7" s="241" t="s">
        <v>56</v>
      </c>
      <c r="U7" s="241" t="s">
        <v>56</v>
      </c>
      <c r="V7" s="242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5">
        <v>2002</v>
      </c>
      <c r="C8" s="265">
        <f>DSUM($Q$3:$R$25,"Value",T9:T10)/1000</f>
        <v>0</v>
      </c>
      <c r="D8" s="266">
        <f t="shared" si="1"/>
        <v>0</v>
      </c>
      <c r="E8" s="263"/>
      <c r="F8" s="263"/>
      <c r="G8" s="265">
        <v>2017</v>
      </c>
      <c r="H8" s="265">
        <f>DSUM($Q$3:$R$25,"Value",U15:U16)/1000</f>
        <v>200</v>
      </c>
      <c r="I8" s="266">
        <f t="shared" si="2"/>
        <v>0.1</v>
      </c>
      <c r="J8" s="20"/>
      <c r="K8" s="5"/>
      <c r="L8" s="5"/>
      <c r="M8" s="5"/>
      <c r="N8" s="5"/>
      <c r="P8" s="62">
        <f>YEAR(Income!D10)</f>
        <v>2020</v>
      </c>
      <c r="Q8" s="56">
        <f t="shared" si="0"/>
        <v>2020</v>
      </c>
      <c r="R8" s="243">
        <f>IF(Proposal!I11="y",Proposal!A11*Proposal!G11*10,Proposal!A11*1000)</f>
        <v>200000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5">
        <v>2003</v>
      </c>
      <c r="C9" s="265">
        <f>DSUM($Q$3:$R$25,"Value",T11:T12)/1000</f>
        <v>0</v>
      </c>
      <c r="D9" s="266">
        <f t="shared" si="1"/>
        <v>0</v>
      </c>
      <c r="E9" s="263"/>
      <c r="F9" s="263"/>
      <c r="G9" s="265">
        <v>2018</v>
      </c>
      <c r="H9" s="265">
        <f>DSUM($Q$3:$R$25,"Value",U17:U18)/1000</f>
        <v>200</v>
      </c>
      <c r="I9" s="266">
        <f t="shared" si="2"/>
        <v>0.1</v>
      </c>
      <c r="J9" s="20"/>
      <c r="K9" s="5"/>
      <c r="L9" s="5"/>
      <c r="M9" s="5"/>
      <c r="N9" s="5"/>
      <c r="P9" s="62">
        <f>YEAR(Income!D11)</f>
        <v>2021</v>
      </c>
      <c r="Q9" s="56">
        <f t="shared" si="0"/>
        <v>2021</v>
      </c>
      <c r="R9" s="243">
        <f>IF(Proposal!I12="y",Proposal!A12*Proposal!G12*10,Proposal!A12*1000)</f>
        <v>200000</v>
      </c>
      <c r="S9" s="61"/>
      <c r="T9" s="241" t="s">
        <v>56</v>
      </c>
      <c r="U9" s="241" t="s">
        <v>56</v>
      </c>
      <c r="V9" s="242" t="s">
        <v>56</v>
      </c>
    </row>
    <row r="10" spans="1:56" ht="18.75" x14ac:dyDescent="0.3">
      <c r="A10" s="20"/>
      <c r="B10" s="265">
        <v>2004</v>
      </c>
      <c r="C10" s="265">
        <f>DSUM($Q$3:$R$25,"Value",T13:T14)/1000</f>
        <v>0</v>
      </c>
      <c r="D10" s="266">
        <f t="shared" si="1"/>
        <v>0</v>
      </c>
      <c r="E10" s="263"/>
      <c r="F10" s="263"/>
      <c r="G10" s="265">
        <v>2019</v>
      </c>
      <c r="H10" s="265">
        <f>DSUM($Q$3:$R$25,"Value",U19:U20)/1000</f>
        <v>200</v>
      </c>
      <c r="I10" s="266">
        <f t="shared" si="2"/>
        <v>0.1</v>
      </c>
      <c r="J10" s="20"/>
      <c r="K10" s="5"/>
      <c r="L10" s="5"/>
      <c r="M10" s="5"/>
      <c r="N10" s="5"/>
      <c r="P10" s="62">
        <f>YEAR(Income!D12)</f>
        <v>2023</v>
      </c>
      <c r="Q10" s="56">
        <f t="shared" si="0"/>
        <v>2023</v>
      </c>
      <c r="R10" s="243">
        <f>IF(Proposal!I13="y",Proposal!A13*Proposal!G13*10,Proposal!A13*1000)</f>
        <v>200000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5">
        <v>2005</v>
      </c>
      <c r="C11" s="265">
        <f>DSUM($Q$3:$R$25,"Value",T15:T16)/1000</f>
        <v>0</v>
      </c>
      <c r="D11" s="266">
        <f t="shared" si="1"/>
        <v>0</v>
      </c>
      <c r="E11" s="263"/>
      <c r="F11" s="263"/>
      <c r="G11" s="265">
        <v>2020</v>
      </c>
      <c r="H11" s="265">
        <f>DSUM($Q$3:$R$25,"Value",U21:U22)/1000</f>
        <v>200</v>
      </c>
      <c r="I11" s="266">
        <f t="shared" si="2"/>
        <v>0.1</v>
      </c>
      <c r="J11" s="20"/>
      <c r="K11" s="5"/>
      <c r="L11" s="5"/>
      <c r="M11" s="5"/>
      <c r="N11" s="5"/>
      <c r="P11" s="62">
        <f>YEAR(Income!D13)</f>
        <v>2025</v>
      </c>
      <c r="Q11" s="56">
        <f t="shared" si="0"/>
        <v>2025</v>
      </c>
      <c r="R11" s="243">
        <f>IF(Proposal!I14="y",Proposal!A14*Proposal!G14*10,Proposal!A14*1000)</f>
        <v>100000</v>
      </c>
      <c r="S11" s="61"/>
      <c r="T11" s="241" t="s">
        <v>56</v>
      </c>
      <c r="U11" s="241" t="s">
        <v>56</v>
      </c>
      <c r="V11" s="242" t="s">
        <v>56</v>
      </c>
    </row>
    <row r="12" spans="1:56" ht="18.75" x14ac:dyDescent="0.3">
      <c r="A12" s="20"/>
      <c r="B12" s="265">
        <v>2006</v>
      </c>
      <c r="C12" s="265">
        <f>DSUM($Q$3:$R$25,"Value",T17:T18)/1000</f>
        <v>0</v>
      </c>
      <c r="D12" s="266">
        <f t="shared" si="1"/>
        <v>0</v>
      </c>
      <c r="E12" s="263"/>
      <c r="F12" s="263"/>
      <c r="G12" s="265">
        <v>2021</v>
      </c>
      <c r="H12" s="265">
        <f>DSUM($Q$3:$R$25,"Value",U23:U24)/1000</f>
        <v>200</v>
      </c>
      <c r="I12" s="266">
        <f t="shared" si="2"/>
        <v>0.1</v>
      </c>
      <c r="J12" s="20"/>
      <c r="K12" s="5"/>
      <c r="L12" s="5"/>
      <c r="M12" s="5"/>
      <c r="N12" s="5"/>
      <c r="P12" s="62">
        <f>YEAR(Income!D14)</f>
        <v>2025</v>
      </c>
      <c r="Q12" s="56">
        <f t="shared" si="0"/>
        <v>2025</v>
      </c>
      <c r="R12" s="243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5">
        <v>2007</v>
      </c>
      <c r="C13" s="265">
        <f>DSUM($Q$3:$R$25,"Value",T19:T20)/1000</f>
        <v>0</v>
      </c>
      <c r="D13" s="266">
        <f t="shared" si="1"/>
        <v>0</v>
      </c>
      <c r="E13" s="263"/>
      <c r="F13" s="263"/>
      <c r="G13" s="265">
        <v>2022</v>
      </c>
      <c r="H13" s="265">
        <f>DSUM($Q$3:$R$25,"Value",U25:U26)/1000</f>
        <v>0</v>
      </c>
      <c r="I13" s="266">
        <f t="shared" si="2"/>
        <v>0</v>
      </c>
      <c r="J13" s="20"/>
      <c r="K13" s="5"/>
      <c r="L13" s="5"/>
      <c r="M13" s="5"/>
      <c r="N13" s="5"/>
      <c r="P13" s="62">
        <f>YEAR(Income!D15)</f>
        <v>2026</v>
      </c>
      <c r="Q13" s="56">
        <f t="shared" si="0"/>
        <v>2026</v>
      </c>
      <c r="R13" s="243">
        <f>IF(Proposal!I16="y",Proposal!A16*Proposal!G16*10,Proposal!A16*1000)</f>
        <v>200000</v>
      </c>
      <c r="S13" s="61"/>
      <c r="T13" s="241" t="s">
        <v>56</v>
      </c>
      <c r="U13" s="241" t="s">
        <v>56</v>
      </c>
      <c r="V13" s="242" t="s">
        <v>56</v>
      </c>
    </row>
    <row r="14" spans="1:56" ht="18.75" x14ac:dyDescent="0.3">
      <c r="A14" s="20"/>
      <c r="B14" s="265">
        <v>2008</v>
      </c>
      <c r="C14" s="265">
        <f>DSUM($Q$3:$R$25,"Value",T21:T22)/1000</f>
        <v>0</v>
      </c>
      <c r="D14" s="266">
        <f t="shared" si="1"/>
        <v>0</v>
      </c>
      <c r="E14" s="263"/>
      <c r="F14" s="263"/>
      <c r="G14" s="265">
        <v>2023</v>
      </c>
      <c r="H14" s="265">
        <f>DSUM($Q$3:$R$25,"Value",V3:V4)/1000</f>
        <v>200</v>
      </c>
      <c r="I14" s="266">
        <f t="shared" si="2"/>
        <v>0.1</v>
      </c>
      <c r="J14" s="20"/>
      <c r="K14" s="5"/>
      <c r="L14" s="5"/>
      <c r="M14" s="5"/>
      <c r="N14" s="5"/>
      <c r="P14" s="62">
        <f>YEAR(Income!D16)</f>
        <v>2027</v>
      </c>
      <c r="Q14" s="56">
        <f t="shared" si="0"/>
        <v>2027</v>
      </c>
      <c r="R14" s="243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5">
        <v>2009</v>
      </c>
      <c r="C15" s="265">
        <f>DSUM($Q$3:$R$25,"Value",T23:T24)/1000</f>
        <v>0</v>
      </c>
      <c r="D15" s="266">
        <f t="shared" si="1"/>
        <v>0</v>
      </c>
      <c r="E15" s="263"/>
      <c r="F15" s="263"/>
      <c r="G15" s="265">
        <v>2024</v>
      </c>
      <c r="H15" s="265">
        <f>DSUM($Q$3:$R$25,"Value",V5:V6)/1000</f>
        <v>0</v>
      </c>
      <c r="I15" s="266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3">
        <f>IF(Proposal!I18="y",Proposal!A18*Proposal!G18*10,Proposal!A18*1000)</f>
        <v>0</v>
      </c>
      <c r="S15" s="61"/>
      <c r="T15" s="241" t="s">
        <v>56</v>
      </c>
      <c r="U15" s="241" t="s">
        <v>56</v>
      </c>
      <c r="V15" s="67">
        <v>2029</v>
      </c>
    </row>
    <row r="16" spans="1:56" ht="18.75" x14ac:dyDescent="0.3">
      <c r="A16" s="20"/>
      <c r="B16" s="265">
        <v>2010</v>
      </c>
      <c r="C16" s="265">
        <f>DSUM($Q$3:$R$25,"Value",T25:T26)/1000</f>
        <v>0</v>
      </c>
      <c r="D16" s="266">
        <f t="shared" si="1"/>
        <v>0</v>
      </c>
      <c r="E16" s="263"/>
      <c r="F16" s="263"/>
      <c r="G16" s="265">
        <v>2025</v>
      </c>
      <c r="H16" s="265">
        <f>DSUM($Q$3:$R$25,"Value",V7:V8)/1000</f>
        <v>200</v>
      </c>
      <c r="I16" s="266">
        <f t="shared" si="2"/>
        <v>0.1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3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5">
        <v>2011</v>
      </c>
      <c r="C17" s="265">
        <f>DSUM($Q$3:$R$25,"Value",U3:U4)/1000</f>
        <v>0</v>
      </c>
      <c r="D17" s="266">
        <f t="shared" si="1"/>
        <v>0</v>
      </c>
      <c r="E17" s="263"/>
      <c r="F17" s="263"/>
      <c r="G17" s="265">
        <v>2026</v>
      </c>
      <c r="H17" s="265">
        <f>DSUM($Q$3:$R$25,"Value",V9:V10)/1000</f>
        <v>200</v>
      </c>
      <c r="I17" s="266">
        <f t="shared" si="2"/>
        <v>0.1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3">
        <f>IF(Proposal!I20="y",Proposal!A20*Proposal!G20*10,Proposal!A20*1000)</f>
        <v>0</v>
      </c>
      <c r="S17" s="61"/>
      <c r="T17" s="241" t="s">
        <v>56</v>
      </c>
      <c r="U17" s="241" t="s">
        <v>56</v>
      </c>
      <c r="V17" s="67">
        <v>2031</v>
      </c>
    </row>
    <row r="18" spans="1:22" ht="18.75" x14ac:dyDescent="0.3">
      <c r="A18" s="20"/>
      <c r="B18" s="265">
        <v>2012</v>
      </c>
      <c r="C18" s="265">
        <f>DSUM($Q$3:$R$25,"Value",U5:U6)/1000</f>
        <v>0</v>
      </c>
      <c r="D18" s="266">
        <f t="shared" si="1"/>
        <v>0</v>
      </c>
      <c r="E18" s="263"/>
      <c r="F18" s="263"/>
      <c r="G18" s="265">
        <v>2027</v>
      </c>
      <c r="H18" s="265">
        <f>DSUM($Q$3:$R$25,"Value",V11:V12)/1000</f>
        <v>200</v>
      </c>
      <c r="I18" s="266">
        <f t="shared" si="2"/>
        <v>0.1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3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5">
        <v>2013</v>
      </c>
      <c r="C19" s="265">
        <f>DSUM($Q$3:$R$25,"Value",U7:U8)/1000</f>
        <v>0</v>
      </c>
      <c r="D19" s="266">
        <f t="shared" si="1"/>
        <v>0</v>
      </c>
      <c r="E19" s="263"/>
      <c r="F19" s="263"/>
      <c r="G19" s="265" t="s">
        <v>61</v>
      </c>
      <c r="H19" s="265">
        <f>DSUM($Q$3:$R$25,"Value",V13:V27)/1000</f>
        <v>0</v>
      </c>
      <c r="I19" s="266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3">
        <f>IF(Proposal!I22="y",Proposal!A22*Proposal!G22*10,Proposal!A22*1000)</f>
        <v>0</v>
      </c>
      <c r="S19" s="61"/>
      <c r="T19" s="241" t="s">
        <v>56</v>
      </c>
      <c r="U19" s="241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3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3">
        <f>IF(Proposal!I24="y",Proposal!A24*Proposal!G24*10,Proposal!A24*1000)</f>
        <v>0</v>
      </c>
      <c r="S21" s="61"/>
      <c r="T21" s="241" t="s">
        <v>56</v>
      </c>
      <c r="U21" s="241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3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3">
        <f>IF(Proposal!I26="y",Proposal!A26*Proposal!G26*10,Proposal!A26*1000)</f>
        <v>0</v>
      </c>
      <c r="S23" s="61"/>
      <c r="T23" s="241" t="s">
        <v>56</v>
      </c>
      <c r="U23" s="241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3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4">
        <f>IF(Proposal!I28="y",Proposal!A28*Proposal!G28*10,Proposal!A28*1000)</f>
        <v>0</v>
      </c>
      <c r="S25" s="61"/>
      <c r="T25" s="241" t="s">
        <v>56</v>
      </c>
      <c r="U25" s="241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3">
        <f>SUM(R4:R25)/1000</f>
        <v>2000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3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4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5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5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5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5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5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5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5"/>
      <c r="S41" s="2"/>
    </row>
    <row r="42" spans="1:19" x14ac:dyDescent="0.2">
      <c r="P42" s="5"/>
      <c r="R42" s="245"/>
      <c r="S42" s="2"/>
    </row>
    <row r="43" spans="1:19" x14ac:dyDescent="0.2">
      <c r="P43" s="5"/>
      <c r="R43" s="245"/>
      <c r="S43" s="2"/>
    </row>
    <row r="44" spans="1:19" x14ac:dyDescent="0.2">
      <c r="P44" s="5"/>
      <c r="R44" s="245"/>
      <c r="S44" s="2"/>
    </row>
    <row r="45" spans="1:19" x14ac:dyDescent="0.2">
      <c r="P45" s="5"/>
      <c r="R45" s="245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7" customWidth="1"/>
    <col min="2" max="2" width="17.5703125" style="317" customWidth="1"/>
    <col min="3" max="3" width="3.28515625" style="317" bestFit="1" customWidth="1"/>
    <col min="4" max="4" width="10" style="317" customWidth="1"/>
    <col min="5" max="5" width="13.28515625" style="317" customWidth="1"/>
    <col min="6" max="6" width="21.5703125" style="317" bestFit="1" customWidth="1"/>
    <col min="7" max="7" width="10.42578125" style="317" customWidth="1"/>
    <col min="8" max="8" width="11.140625" style="317" customWidth="1"/>
    <col min="9" max="9" width="11.85546875" style="317" customWidth="1"/>
    <col min="10" max="10" width="13.7109375" style="317" customWidth="1"/>
    <col min="11" max="11" width="12.5703125" style="317" customWidth="1"/>
    <col min="12" max="12" width="10.42578125" style="317" customWidth="1"/>
    <col min="13" max="13" width="12.28515625" style="317" customWidth="1"/>
    <col min="14" max="14" width="12.140625" style="317" customWidth="1"/>
    <col min="15" max="15" width="11.85546875" style="317" customWidth="1"/>
    <col min="16" max="16" width="12" style="317" customWidth="1"/>
    <col min="17" max="17" width="14" style="317" bestFit="1" customWidth="1"/>
    <col min="18" max="16384" width="9.140625" style="317"/>
  </cols>
  <sheetData>
    <row r="1" spans="1:17" ht="55.5" customHeight="1" thickBot="1" x14ac:dyDescent="0.25">
      <c r="A1" s="316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19.5" x14ac:dyDescent="0.35">
      <c r="D2" s="378" t="s">
        <v>142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18"/>
      <c r="P2" s="319" t="s">
        <v>148</v>
      </c>
      <c r="Q2" s="320">
        <f>Enter!C27</f>
        <v>37211</v>
      </c>
    </row>
    <row r="3" spans="1:17" ht="15.75" x14ac:dyDescent="0.25">
      <c r="A3" s="367" t="s">
        <v>0</v>
      </c>
      <c r="B3" s="368" t="s">
        <v>20</v>
      </c>
      <c r="C3" s="20"/>
      <c r="D3" s="371" t="str">
        <f>Proposal!A5</f>
        <v>($000's)</v>
      </c>
      <c r="E3" s="353">
        <f>Proposal!B5</f>
        <v>0</v>
      </c>
      <c r="F3" s="360">
        <f>Proposal!C5</f>
        <v>0</v>
      </c>
      <c r="G3" s="353">
        <f>Proposal!D5</f>
        <v>0</v>
      </c>
      <c r="H3" s="353">
        <f>Proposal!E5</f>
        <v>0</v>
      </c>
      <c r="I3" s="353" t="str">
        <f>Proposal!F5</f>
        <v>Prem.</v>
      </c>
      <c r="J3" s="353" t="str">
        <f>Proposal!G5</f>
        <v>Prem. Call</v>
      </c>
      <c r="K3" s="353" t="str">
        <f>Proposal!H5</f>
        <v>Par</v>
      </c>
      <c r="L3" s="353" t="str">
        <f>Proposal!I5</f>
        <v>Pre-Re</v>
      </c>
      <c r="M3" s="353">
        <f>Proposal!J5</f>
        <v>0</v>
      </c>
      <c r="N3" s="353">
        <f>Proposal!K5</f>
        <v>0</v>
      </c>
      <c r="O3" s="353">
        <f>Proposal!L5</f>
        <v>0</v>
      </c>
      <c r="P3" s="353">
        <f>Proposal!M5</f>
        <v>0</v>
      </c>
      <c r="Q3" s="372">
        <f>Proposal!N5</f>
        <v>0</v>
      </c>
    </row>
    <row r="4" spans="1:17" ht="19.5" x14ac:dyDescent="0.35">
      <c r="A4" s="369" t="str">
        <f>Enter!E27</f>
        <v>Scott Neal Muni Ladder</v>
      </c>
      <c r="B4" s="370">
        <f ca="1">NOW()</f>
        <v>41887.54949085648</v>
      </c>
      <c r="C4" s="20"/>
      <c r="D4" s="373" t="str">
        <f>Proposal!A6</f>
        <v>Par</v>
      </c>
      <c r="E4" s="361" t="str">
        <f>Proposal!B6</f>
        <v>Rating</v>
      </c>
      <c r="F4" s="361" t="str">
        <f>Proposal!C6</f>
        <v>Description</v>
      </c>
      <c r="G4" s="361" t="str">
        <f>Proposal!D6</f>
        <v>Coupon</v>
      </c>
      <c r="H4" s="361" t="str">
        <f>Proposal!E6</f>
        <v>Maturity</v>
      </c>
      <c r="I4" s="361" t="str">
        <f>Proposal!F6</f>
        <v>Call</v>
      </c>
      <c r="J4" s="361" t="str">
        <f>Proposal!G6</f>
        <v>Price</v>
      </c>
      <c r="K4" s="361" t="str">
        <f>Proposal!H6</f>
        <v>Call</v>
      </c>
      <c r="L4" s="361" t="str">
        <f>Proposal!I6</f>
        <v>Y/N</v>
      </c>
      <c r="M4" s="361" t="str">
        <f>Proposal!J6</f>
        <v>Price</v>
      </c>
      <c r="N4" s="357" t="str">
        <f>Proposal!K6</f>
        <v>YTC</v>
      </c>
      <c r="O4" s="357" t="str">
        <f>Proposal!L6</f>
        <v>YTM</v>
      </c>
      <c r="P4" s="358" t="str">
        <f>Proposal!M6</f>
        <v>CY</v>
      </c>
      <c r="Q4" s="374" t="str">
        <f>Proposal!N6</f>
        <v>TEY*</v>
      </c>
    </row>
    <row r="5" spans="1:17" ht="16.5" x14ac:dyDescent="0.25">
      <c r="C5" s="275"/>
      <c r="D5" s="276">
        <f>Proposal!A7</f>
        <v>200</v>
      </c>
      <c r="E5" s="277" t="str">
        <f>Proposal!B7</f>
        <v>AAA/AAA</v>
      </c>
      <c r="F5" s="278" t="str">
        <f>Proposal!C7</f>
        <v>SPRING TX ISD PSF</v>
      </c>
      <c r="G5" s="279">
        <f>Proposal!D7</f>
        <v>0.05</v>
      </c>
      <c r="H5" s="280">
        <f>Proposal!E7</f>
        <v>42597</v>
      </c>
      <c r="I5" s="280">
        <f>Proposal!F7</f>
        <v>40770</v>
      </c>
      <c r="J5" s="281">
        <f>Proposal!G7</f>
        <v>100</v>
      </c>
      <c r="K5" s="280">
        <f>Proposal!H7</f>
        <v>0</v>
      </c>
      <c r="L5" s="282">
        <f>Proposal!I7</f>
        <v>0</v>
      </c>
      <c r="M5" s="282">
        <f>Proposal!J7</f>
        <v>104.70699999999999</v>
      </c>
      <c r="N5" s="283">
        <f>Proposal!K7</f>
        <v>4.4000789567477272E-2</v>
      </c>
      <c r="O5" s="283">
        <f>Proposal!L7</f>
        <v>4.5574833942321015E-2</v>
      </c>
      <c r="P5" s="284">
        <f>Proposal!M7</f>
        <v>4.7752299273210008E-2</v>
      </c>
      <c r="Q5" s="283">
        <f>Proposal!N7</f>
        <v>7.2249296469797678E-2</v>
      </c>
    </row>
    <row r="6" spans="1:17" ht="16.5" x14ac:dyDescent="0.25">
      <c r="C6" s="286"/>
      <c r="D6" s="287">
        <f>Proposal!A8</f>
        <v>200</v>
      </c>
      <c r="E6" s="288" t="str">
        <f>Proposal!B8</f>
        <v>AAA/AAA</v>
      </c>
      <c r="F6" s="289" t="str">
        <f>Proposal!C8</f>
        <v>PORT HOUSTON</v>
      </c>
      <c r="G6" s="290">
        <f>Proposal!D8</f>
        <v>4.7500000000000001E-2</v>
      </c>
      <c r="H6" s="291">
        <f>Proposal!E8</f>
        <v>43009</v>
      </c>
      <c r="I6" s="291">
        <f>Proposal!F8</f>
        <v>40817</v>
      </c>
      <c r="J6" s="292">
        <f>Proposal!G8</f>
        <v>100</v>
      </c>
      <c r="K6" s="291">
        <f>Proposal!H8</f>
        <v>0</v>
      </c>
      <c r="L6" s="293">
        <f>Proposal!I8</f>
        <v>0</v>
      </c>
      <c r="M6" s="294">
        <f>Proposal!J8</f>
        <v>101.566</v>
      </c>
      <c r="N6" s="283">
        <f>Proposal!K8</f>
        <v>4.5500440824577805E-2</v>
      </c>
      <c r="O6" s="283">
        <f>Proposal!L8</f>
        <v>4.6090725004782437E-2</v>
      </c>
      <c r="P6" s="283">
        <f>Proposal!M8</f>
        <v>4.6767619085126916E-2</v>
      </c>
      <c r="Q6" s="283">
        <f>Proposal!N8</f>
        <v>7.4711723833956745E-2</v>
      </c>
    </row>
    <row r="7" spans="1:17" ht="16.5" x14ac:dyDescent="0.25">
      <c r="A7" s="318"/>
      <c r="C7" s="286"/>
      <c r="D7" s="287">
        <f>Proposal!A9</f>
        <v>200</v>
      </c>
      <c r="E7" s="288" t="str">
        <f>Proposal!B9</f>
        <v>AAA/AAA</v>
      </c>
      <c r="F7" s="289" t="str">
        <f>Proposal!C9</f>
        <v>MONROE WISC SCH</v>
      </c>
      <c r="G7" s="290">
        <f>Proposal!D9</f>
        <v>4.8750000000000002E-2</v>
      </c>
      <c r="H7" s="291">
        <f>Proposal!E9</f>
        <v>43191</v>
      </c>
      <c r="I7" s="291">
        <f>Proposal!F9</f>
        <v>40634</v>
      </c>
      <c r="J7" s="292">
        <f>Proposal!G9</f>
        <v>100</v>
      </c>
      <c r="K7" s="291">
        <f>Proposal!H9</f>
        <v>0</v>
      </c>
      <c r="L7" s="293">
        <f>Proposal!I9</f>
        <v>0</v>
      </c>
      <c r="M7" s="294">
        <f>Proposal!J9</f>
        <v>101.309</v>
      </c>
      <c r="N7" s="283">
        <f>Proposal!K9</f>
        <v>4.7000461142918989E-2</v>
      </c>
      <c r="O7" s="283">
        <f>Proposal!L9</f>
        <v>4.7585356373638601E-2</v>
      </c>
      <c r="P7" s="283">
        <f>Proposal!M9</f>
        <v>4.8120107789041446E-2</v>
      </c>
      <c r="Q7" s="283">
        <f>Proposal!N9</f>
        <v>7.717475719667298E-2</v>
      </c>
    </row>
    <row r="8" spans="1:17" ht="16.5" x14ac:dyDescent="0.25">
      <c r="A8" s="318"/>
      <c r="B8" s="320"/>
      <c r="C8" s="296"/>
      <c r="D8" s="287">
        <f>Proposal!A10</f>
        <v>200</v>
      </c>
      <c r="E8" s="288" t="str">
        <f>Proposal!B10</f>
        <v>AAA/AA+</v>
      </c>
      <c r="F8" s="289" t="str">
        <f>Proposal!C10</f>
        <v>TROY MICH</v>
      </c>
      <c r="G8" s="290">
        <f>Proposal!D10</f>
        <v>4.5999999999999999E-2</v>
      </c>
      <c r="H8" s="291">
        <f>Proposal!E10</f>
        <v>43739</v>
      </c>
      <c r="I8" s="291">
        <f>Proposal!F10</f>
        <v>40452</v>
      </c>
      <c r="J8" s="292">
        <f>Proposal!G10</f>
        <v>100.5</v>
      </c>
      <c r="K8" s="291">
        <f>Proposal!H10</f>
        <v>41183</v>
      </c>
      <c r="L8" s="293">
        <f>Proposal!I10</f>
        <v>0</v>
      </c>
      <c r="M8" s="294">
        <f>Proposal!J10</f>
        <v>99.266999999999996</v>
      </c>
      <c r="N8" s="283">
        <f>Proposal!K10</f>
        <v>0</v>
      </c>
      <c r="O8" s="283">
        <f>Proposal!L10</f>
        <v>4.6604700544822679E-2</v>
      </c>
      <c r="P8" s="283">
        <f>Proposal!M10</f>
        <v>4.6339669779483617E-2</v>
      </c>
      <c r="Q8" s="283">
        <f>Proposal!N10</f>
        <v>7.6524918294598829E-2</v>
      </c>
    </row>
    <row r="9" spans="1:17" ht="19.5" x14ac:dyDescent="0.35">
      <c r="A9" s="378" t="s">
        <v>141</v>
      </c>
      <c r="B9" s="378"/>
      <c r="C9" s="275"/>
      <c r="D9" s="287">
        <f>Proposal!A11</f>
        <v>200</v>
      </c>
      <c r="E9" s="288" t="str">
        <f>Proposal!B11</f>
        <v>AAA/AAA</v>
      </c>
      <c r="F9" s="289" t="str">
        <f>Proposal!C11</f>
        <v>PASADENA TX COMB</v>
      </c>
      <c r="G9" s="290">
        <f>Proposal!D11</f>
        <v>0.05</v>
      </c>
      <c r="H9" s="291">
        <f>Proposal!E11</f>
        <v>43876</v>
      </c>
      <c r="I9" s="291">
        <f>Proposal!F11</f>
        <v>40224</v>
      </c>
      <c r="J9" s="292">
        <f>Proposal!G11</f>
        <v>100</v>
      </c>
      <c r="K9" s="291">
        <f>Proposal!H11</f>
        <v>0</v>
      </c>
      <c r="L9" s="293">
        <f>Proposal!I11</f>
        <v>0</v>
      </c>
      <c r="M9" s="294">
        <f>Proposal!J11</f>
        <v>101.68</v>
      </c>
      <c r="N9" s="283">
        <f>Proposal!K11</f>
        <v>4.7500586515454503E-2</v>
      </c>
      <c r="O9" s="283">
        <f>Proposal!L11</f>
        <v>4.8594360187443369E-2</v>
      </c>
      <c r="P9" s="283">
        <f>Proposal!M11</f>
        <v>4.9173878835562547E-2</v>
      </c>
      <c r="Q9" s="283">
        <f>Proposal!N11</f>
        <v>7.7995963058376291E-2</v>
      </c>
    </row>
    <row r="10" spans="1:17" ht="16.5" x14ac:dyDescent="0.25">
      <c r="C10" s="275"/>
      <c r="D10" s="287">
        <f>Proposal!A12</f>
        <v>200</v>
      </c>
      <c r="E10" s="288" t="str">
        <f>Proposal!B12</f>
        <v>AAA/AAA</v>
      </c>
      <c r="F10" s="289" t="str">
        <f>Proposal!C12</f>
        <v>N.HARRIS MONT CCD</v>
      </c>
      <c r="G10" s="290">
        <f>Proposal!D12</f>
        <v>0.05</v>
      </c>
      <c r="H10" s="291">
        <f>Proposal!E12</f>
        <v>44242</v>
      </c>
      <c r="I10" s="291">
        <f>Proposal!F12</f>
        <v>40224</v>
      </c>
      <c r="J10" s="292">
        <f>Proposal!G12</f>
        <v>100</v>
      </c>
      <c r="K10" s="291">
        <f>Proposal!H12</f>
        <v>0</v>
      </c>
      <c r="L10" s="293">
        <f>Proposal!I12</f>
        <v>0</v>
      </c>
      <c r="M10" s="294">
        <f>Proposal!J12</f>
        <v>101.002</v>
      </c>
      <c r="N10" s="283">
        <f>Proposal!K12</f>
        <v>4.8500299553935262E-2</v>
      </c>
      <c r="O10" s="283">
        <f>Proposal!L12</f>
        <v>4.9182622476135932E-2</v>
      </c>
      <c r="P10" s="283">
        <f>Proposal!M12</f>
        <v>4.9503970218411526E-2</v>
      </c>
      <c r="Q10" s="283">
        <f>Proposal!N12</f>
        <v>7.9637491867561694E-2</v>
      </c>
    </row>
    <row r="11" spans="1:17" ht="16.5" x14ac:dyDescent="0.25">
      <c r="A11" s="273" t="str">
        <f>Summary!A11</f>
        <v xml:space="preserve">Par Amount </v>
      </c>
      <c r="B11" s="274">
        <f>Summary!B11</f>
        <v>2000000</v>
      </c>
      <c r="C11" s="275"/>
      <c r="D11" s="287">
        <f>Proposal!A13</f>
        <v>200</v>
      </c>
      <c r="E11" s="288" t="str">
        <f>Proposal!B13</f>
        <v>AAA/AAA</v>
      </c>
      <c r="F11" s="289" t="str">
        <f>Proposal!C13</f>
        <v>PHILADELPHIA PA SCH</v>
      </c>
      <c r="G11" s="290">
        <f>Proposal!D13</f>
        <v>4.4999999999999998E-2</v>
      </c>
      <c r="H11" s="291">
        <f>Proposal!E13</f>
        <v>45017</v>
      </c>
      <c r="I11" s="291">
        <f>Proposal!F13</f>
        <v>39904</v>
      </c>
      <c r="J11" s="292">
        <f>Proposal!G13</f>
        <v>100</v>
      </c>
      <c r="K11" s="291">
        <f>Proposal!H13</f>
        <v>0</v>
      </c>
      <c r="L11" s="293">
        <f>Proposal!I13</f>
        <v>0</v>
      </c>
      <c r="M11" s="294">
        <f>Proposal!J13</f>
        <v>96.012</v>
      </c>
      <c r="N11" s="283">
        <f>Proposal!K13</f>
        <v>0</v>
      </c>
      <c r="O11" s="283">
        <f>Proposal!L13</f>
        <v>4.800043130257959E-2</v>
      </c>
      <c r="P11" s="283">
        <f>Proposal!M13</f>
        <v>4.6869141357330335E-2</v>
      </c>
      <c r="Q11" s="283">
        <f>Proposal!N13</f>
        <v>7.8816708198835683E-2</v>
      </c>
    </row>
    <row r="12" spans="1:17" ht="16.5" x14ac:dyDescent="0.25">
      <c r="A12" s="273" t="str">
        <f>Summary!A12</f>
        <v>Average Coupon</v>
      </c>
      <c r="B12" s="285">
        <f>Summary!B12</f>
        <v>4.8752100538083036E-2</v>
      </c>
      <c r="C12" s="275"/>
      <c r="D12" s="287">
        <f>Proposal!A14</f>
        <v>100</v>
      </c>
      <c r="E12" s="288" t="str">
        <f>Proposal!B14</f>
        <v>AAA/AAA</v>
      </c>
      <c r="F12" s="289" t="str">
        <f>Proposal!C14</f>
        <v>TEXAS TURNPIKE</v>
      </c>
      <c r="G12" s="290">
        <f>Proposal!D14</f>
        <v>0.05</v>
      </c>
      <c r="H12" s="291">
        <f>Proposal!E14</f>
        <v>45658</v>
      </c>
      <c r="I12" s="291">
        <f>Proposal!F14</f>
        <v>38718</v>
      </c>
      <c r="J12" s="292">
        <f>Proposal!G14</f>
        <v>102</v>
      </c>
      <c r="K12" s="291">
        <f>Proposal!H14</f>
        <v>39448</v>
      </c>
      <c r="L12" s="293">
        <f>Proposal!I14</f>
        <v>0</v>
      </c>
      <c r="M12" s="294">
        <f>Proposal!J14</f>
        <v>100.517</v>
      </c>
      <c r="N12" s="283">
        <f>Proposal!K14</f>
        <v>4.9001843414157857E-2</v>
      </c>
      <c r="O12" s="283">
        <f>Proposal!L14</f>
        <v>4.961747272547868E-2</v>
      </c>
      <c r="P12" s="283">
        <f>Proposal!M14</f>
        <v>4.9742829571117329E-2</v>
      </c>
      <c r="Q12" s="283">
        <f>Proposal!N14</f>
        <v>8.0461026886047199E-2</v>
      </c>
    </row>
    <row r="13" spans="1:17" ht="16.5" x14ac:dyDescent="0.25">
      <c r="A13" s="273" t="str">
        <f>Summary!A13</f>
        <v>Projected Annual Income</v>
      </c>
      <c r="B13" s="274">
        <f>Summary!B13</f>
        <v>97450</v>
      </c>
      <c r="C13" s="275"/>
      <c r="D13" s="287">
        <f>Proposal!A15</f>
        <v>100</v>
      </c>
      <c r="E13" s="288" t="str">
        <f>Proposal!B15</f>
        <v>AAA/AAA</v>
      </c>
      <c r="F13" s="289" t="str">
        <f>Proposal!C15</f>
        <v>HOUSTON TX CCD</v>
      </c>
      <c r="G13" s="290">
        <f>Proposal!D15</f>
        <v>0.05</v>
      </c>
      <c r="H13" s="291">
        <f>Proposal!E15</f>
        <v>45762</v>
      </c>
      <c r="I13" s="291">
        <f>Proposal!F15</f>
        <v>40648</v>
      </c>
      <c r="J13" s="292">
        <f>Proposal!G15</f>
        <v>100</v>
      </c>
      <c r="K13" s="291">
        <f>Proposal!H15</f>
        <v>0</v>
      </c>
      <c r="L13" s="293">
        <f>Proposal!I15</f>
        <v>0</v>
      </c>
      <c r="M13" s="294">
        <f>Proposal!J15</f>
        <v>101.111</v>
      </c>
      <c r="N13" s="283">
        <f>Proposal!K15</f>
        <v>4.8510212358435521E-2</v>
      </c>
      <c r="O13" s="283">
        <f>Proposal!L15</f>
        <v>4.9192554722216585E-2</v>
      </c>
      <c r="P13" s="283">
        <f>Proposal!M15</f>
        <v>4.9450603791872307E-2</v>
      </c>
      <c r="Q13" s="283">
        <f>Proposal!N15</f>
        <v>7.9653768692551127E-2</v>
      </c>
    </row>
    <row r="14" spans="1:17" ht="16.5" x14ac:dyDescent="0.25">
      <c r="A14" s="273">
        <f>Summary!A14</f>
        <v>0</v>
      </c>
      <c r="B14" s="295">
        <f>Summary!B14</f>
        <v>0</v>
      </c>
      <c r="C14" s="275"/>
      <c r="D14" s="287">
        <f>Proposal!A16</f>
        <v>200</v>
      </c>
      <c r="E14" s="288" t="str">
        <f>Proposal!B16</f>
        <v>AAA/AAA</v>
      </c>
      <c r="F14" s="289" t="str">
        <f>Proposal!C16</f>
        <v>SEATTLE WASH WTR</v>
      </c>
      <c r="G14" s="290">
        <f>Proposal!D16</f>
        <v>0.05</v>
      </c>
      <c r="H14" s="291">
        <f>Proposal!E16</f>
        <v>46327</v>
      </c>
      <c r="I14" s="291">
        <f>Proposal!F16</f>
        <v>40848</v>
      </c>
      <c r="J14" s="292">
        <f>Proposal!G16</f>
        <v>100</v>
      </c>
      <c r="K14" s="291">
        <f>Proposal!H16</f>
        <v>0</v>
      </c>
      <c r="L14" s="293">
        <f>Proposal!I16</f>
        <v>0</v>
      </c>
      <c r="M14" s="294">
        <f>Proposal!J16</f>
        <v>100.919</v>
      </c>
      <c r="N14" s="283">
        <f>Proposal!K16</f>
        <v>4.8819066195941202E-2</v>
      </c>
      <c r="O14" s="283">
        <f>Proposal!L16</f>
        <v>4.9353428932541007E-2</v>
      </c>
      <c r="P14" s="283">
        <f>Proposal!M16</f>
        <v>4.9544684350816E-2</v>
      </c>
      <c r="Q14" s="283">
        <f>Proposal!N16</f>
        <v>8.0160906693735448E-2</v>
      </c>
    </row>
    <row r="15" spans="1:17" ht="16.5" x14ac:dyDescent="0.25">
      <c r="A15" s="273" t="str">
        <f>Summary!A15</f>
        <v>Estimated Market Value</v>
      </c>
      <c r="B15" s="274">
        <f>Summary!B15</f>
        <v>2015674</v>
      </c>
      <c r="C15" s="275"/>
      <c r="D15" s="287">
        <f>Proposal!A17</f>
        <v>200</v>
      </c>
      <c r="E15" s="288" t="str">
        <f>Proposal!B17</f>
        <v>AAA/AAA</v>
      </c>
      <c r="F15" s="289" t="str">
        <f>Proposal!C17</f>
        <v>SAN ANTONIO ISD</v>
      </c>
      <c r="G15" s="290">
        <f>Proposal!D17</f>
        <v>0.05</v>
      </c>
      <c r="H15" s="291">
        <f>Proposal!E17</f>
        <v>46614</v>
      </c>
      <c r="I15" s="291">
        <f>Proposal!F17</f>
        <v>39675</v>
      </c>
      <c r="J15" s="292">
        <f>Proposal!G17</f>
        <v>100</v>
      </c>
      <c r="K15" s="291">
        <f>Proposal!H17</f>
        <v>0</v>
      </c>
      <c r="L15" s="293">
        <f>Proposal!I17</f>
        <v>0</v>
      </c>
      <c r="M15" s="294">
        <f>Proposal!J17</f>
        <v>100.56100000000001</v>
      </c>
      <c r="N15" s="283">
        <f>Proposal!K17</f>
        <v>4.9000187922203224E-2</v>
      </c>
      <c r="O15" s="283">
        <f>Proposal!L17</f>
        <v>4.9606466107895895E-2</v>
      </c>
      <c r="P15" s="283">
        <f>Proposal!M17</f>
        <v>4.9721064826324317E-2</v>
      </c>
      <c r="Q15" s="283">
        <f>Proposal!N17</f>
        <v>8.0458308568257683E-2</v>
      </c>
    </row>
    <row r="16" spans="1:17" ht="16.5" x14ac:dyDescent="0.25">
      <c r="A16" s="273" t="str">
        <f>Summary!A16</f>
        <v>Accrued Interest</v>
      </c>
      <c r="B16" s="274">
        <f>Summary!B16</f>
        <v>10042.361111111084</v>
      </c>
      <c r="C16" s="275"/>
      <c r="D16" s="287">
        <f>Proposal!A18</f>
        <v>0</v>
      </c>
      <c r="E16" s="288">
        <f>Proposal!B18</f>
        <v>0</v>
      </c>
      <c r="F16" s="289">
        <f>Proposal!C18</f>
        <v>0</v>
      </c>
      <c r="G16" s="290">
        <f>Proposal!D18</f>
        <v>0</v>
      </c>
      <c r="H16" s="291">
        <f>Proposal!E18</f>
        <v>0</v>
      </c>
      <c r="I16" s="291">
        <f>Proposal!F18</f>
        <v>0</v>
      </c>
      <c r="J16" s="292">
        <f>Proposal!G18</f>
        <v>0</v>
      </c>
      <c r="K16" s="291">
        <f>Proposal!H18</f>
        <v>0</v>
      </c>
      <c r="L16" s="293">
        <f>Proposal!I18</f>
        <v>0</v>
      </c>
      <c r="M16" s="294">
        <f>Proposal!J18</f>
        <v>0</v>
      </c>
      <c r="N16" s="283">
        <f>Proposal!K18</f>
        <v>0</v>
      </c>
      <c r="O16" s="283">
        <f>Proposal!L18</f>
        <v>0</v>
      </c>
      <c r="P16" s="283">
        <f>Proposal!M18</f>
        <v>0</v>
      </c>
      <c r="Q16" s="283">
        <f>Proposal!N18</f>
        <v>0</v>
      </c>
    </row>
    <row r="17" spans="1:18" ht="16.5" x14ac:dyDescent="0.25">
      <c r="A17" s="273" t="str">
        <f>Summary!A17</f>
        <v>Total Market Value</v>
      </c>
      <c r="B17" s="274">
        <f>Summary!B17</f>
        <v>2025716.361111111</v>
      </c>
      <c r="C17" s="275"/>
      <c r="D17" s="287">
        <f>Proposal!A19</f>
        <v>0</v>
      </c>
      <c r="E17" s="288">
        <f>Proposal!B19</f>
        <v>0</v>
      </c>
      <c r="F17" s="289">
        <f>Proposal!C19</f>
        <v>0</v>
      </c>
      <c r="G17" s="290">
        <f>Proposal!D19</f>
        <v>0</v>
      </c>
      <c r="H17" s="291">
        <f>Proposal!E19</f>
        <v>0</v>
      </c>
      <c r="I17" s="291">
        <f>Proposal!F19</f>
        <v>0</v>
      </c>
      <c r="J17" s="292">
        <f>Proposal!G19</f>
        <v>0</v>
      </c>
      <c r="K17" s="291">
        <f>Proposal!H19</f>
        <v>0</v>
      </c>
      <c r="L17" s="293">
        <f>Proposal!I19</f>
        <v>0</v>
      </c>
      <c r="M17" s="294">
        <f>Proposal!J19</f>
        <v>0</v>
      </c>
      <c r="N17" s="283">
        <f>Proposal!K19</f>
        <v>0</v>
      </c>
      <c r="O17" s="283">
        <f>Proposal!L19</f>
        <v>0</v>
      </c>
      <c r="P17" s="283">
        <f>Proposal!M19</f>
        <v>0</v>
      </c>
      <c r="Q17" s="283">
        <f>Proposal!N19</f>
        <v>0</v>
      </c>
    </row>
    <row r="18" spans="1:18" ht="16.5" x14ac:dyDescent="0.25">
      <c r="A18" s="275"/>
      <c r="B18" s="275"/>
      <c r="C18" s="321"/>
      <c r="D18" s="287">
        <f>Proposal!A20</f>
        <v>0</v>
      </c>
      <c r="E18" s="288">
        <f>Proposal!B20</f>
        <v>0</v>
      </c>
      <c r="F18" s="289">
        <f>Proposal!C20</f>
        <v>0</v>
      </c>
      <c r="G18" s="290">
        <f>Proposal!D20</f>
        <v>0</v>
      </c>
      <c r="H18" s="291">
        <f>Proposal!E20</f>
        <v>0</v>
      </c>
      <c r="I18" s="291">
        <f>Proposal!F20</f>
        <v>0</v>
      </c>
      <c r="J18" s="292">
        <f>Proposal!G20</f>
        <v>0</v>
      </c>
      <c r="K18" s="291">
        <f>Proposal!H20</f>
        <v>0</v>
      </c>
      <c r="L18" s="293">
        <f>Proposal!I20</f>
        <v>0</v>
      </c>
      <c r="M18" s="294">
        <f>Proposal!J20</f>
        <v>0</v>
      </c>
      <c r="N18" s="283">
        <f>Proposal!K20</f>
        <v>0</v>
      </c>
      <c r="O18" s="283">
        <f>Proposal!L20</f>
        <v>0</v>
      </c>
      <c r="P18" s="283">
        <f>Proposal!M20</f>
        <v>0</v>
      </c>
      <c r="Q18" s="283">
        <f>Proposal!N20</f>
        <v>0</v>
      </c>
    </row>
    <row r="19" spans="1:18" ht="16.5" x14ac:dyDescent="0.25">
      <c r="A19" s="273" t="str">
        <f>Summary!A19</f>
        <v>Average Maturity ( Years )</v>
      </c>
      <c r="B19" s="297">
        <f>Summary!B19</f>
        <v>19.734757216031294</v>
      </c>
      <c r="C19" s="321"/>
      <c r="D19" s="287">
        <f>Proposal!A21</f>
        <v>0</v>
      </c>
      <c r="E19" s="288">
        <f>Proposal!B21</f>
        <v>0</v>
      </c>
      <c r="F19" s="289">
        <f>Proposal!C21</f>
        <v>0</v>
      </c>
      <c r="G19" s="290">
        <f>Proposal!D21</f>
        <v>0</v>
      </c>
      <c r="H19" s="291">
        <f>Proposal!E21</f>
        <v>0</v>
      </c>
      <c r="I19" s="291">
        <f>Proposal!F21</f>
        <v>0</v>
      </c>
      <c r="J19" s="292">
        <f>Proposal!G21</f>
        <v>0</v>
      </c>
      <c r="K19" s="291">
        <f>Proposal!H21</f>
        <v>0</v>
      </c>
      <c r="L19" s="293">
        <f>Proposal!I21</f>
        <v>0</v>
      </c>
      <c r="M19" s="294">
        <f>Proposal!J21</f>
        <v>0</v>
      </c>
      <c r="N19" s="283">
        <f>Proposal!K21</f>
        <v>0</v>
      </c>
      <c r="O19" s="283">
        <f>Proposal!L21</f>
        <v>0</v>
      </c>
      <c r="P19" s="283">
        <f>Proposal!M21</f>
        <v>0</v>
      </c>
      <c r="Q19" s="283">
        <f>Proposal!N21</f>
        <v>0</v>
      </c>
    </row>
    <row r="20" spans="1:18" ht="16.5" x14ac:dyDescent="0.25">
      <c r="A20" s="273" t="str">
        <f>Summary!A20</f>
        <v>Average Duration ( Modified )</v>
      </c>
      <c r="B20" s="297">
        <f>Summary!B20</f>
        <v>8.0732870449453777</v>
      </c>
      <c r="C20" s="321"/>
      <c r="D20" s="287">
        <f>Proposal!A22</f>
        <v>0</v>
      </c>
      <c r="E20" s="288">
        <f>Proposal!B22</f>
        <v>0</v>
      </c>
      <c r="F20" s="289">
        <f>Proposal!C22</f>
        <v>0</v>
      </c>
      <c r="G20" s="290">
        <f>Proposal!D22</f>
        <v>0</v>
      </c>
      <c r="H20" s="291">
        <f>Proposal!E22</f>
        <v>0</v>
      </c>
      <c r="I20" s="291">
        <f>Proposal!F22</f>
        <v>0</v>
      </c>
      <c r="J20" s="292">
        <f>Proposal!G22</f>
        <v>0</v>
      </c>
      <c r="K20" s="291">
        <f>Proposal!H22</f>
        <v>0</v>
      </c>
      <c r="L20" s="293">
        <f>Proposal!I22</f>
        <v>0</v>
      </c>
      <c r="M20" s="294">
        <f>Proposal!J22</f>
        <v>0</v>
      </c>
      <c r="N20" s="283">
        <f>Proposal!K22</f>
        <v>0</v>
      </c>
      <c r="O20" s="283">
        <f>Proposal!L22</f>
        <v>0</v>
      </c>
      <c r="P20" s="283">
        <f>Proposal!M22</f>
        <v>0</v>
      </c>
      <c r="Q20" s="283">
        <f>Proposal!N22</f>
        <v>0</v>
      </c>
    </row>
    <row r="21" spans="1:18" ht="16.5" x14ac:dyDescent="0.25">
      <c r="A21" s="273" t="str">
        <f>Summary!A21</f>
        <v>Average Current Yield</v>
      </c>
      <c r="B21" s="298">
        <f>Summary!B21</f>
        <v>4.8346111523986511E-2</v>
      </c>
      <c r="C21" s="321"/>
      <c r="D21" s="287">
        <f>Proposal!A23</f>
        <v>0</v>
      </c>
      <c r="E21" s="288">
        <f>Proposal!B23</f>
        <v>0</v>
      </c>
      <c r="F21" s="289">
        <f>Proposal!C23</f>
        <v>0</v>
      </c>
      <c r="G21" s="290">
        <f>Proposal!D23</f>
        <v>0</v>
      </c>
      <c r="H21" s="291">
        <f>Proposal!E23</f>
        <v>0</v>
      </c>
      <c r="I21" s="291">
        <f>Proposal!F23</f>
        <v>0</v>
      </c>
      <c r="J21" s="292">
        <f>Proposal!G23</f>
        <v>0</v>
      </c>
      <c r="K21" s="291">
        <f>Proposal!H23</f>
        <v>0</v>
      </c>
      <c r="L21" s="293">
        <f>Proposal!I23</f>
        <v>0</v>
      </c>
      <c r="M21" s="294">
        <f>Proposal!J23</f>
        <v>0</v>
      </c>
      <c r="N21" s="283">
        <f>Proposal!K23</f>
        <v>0</v>
      </c>
      <c r="O21" s="283">
        <f>Proposal!L23</f>
        <v>0</v>
      </c>
      <c r="P21" s="283">
        <f>Proposal!M23</f>
        <v>0</v>
      </c>
      <c r="Q21" s="283">
        <f>Proposal!N23</f>
        <v>0</v>
      </c>
    </row>
    <row r="22" spans="1:18" ht="16.5" x14ac:dyDescent="0.25">
      <c r="A22" s="273" t="str">
        <f>Summary!A22</f>
        <v>Average Market Yield</v>
      </c>
      <c r="B22" s="298">
        <f>Summary!B22</f>
        <v>4.7351871089068236E-2</v>
      </c>
      <c r="C22" s="321"/>
      <c r="D22" s="287">
        <f>Proposal!A24</f>
        <v>0</v>
      </c>
      <c r="E22" s="288">
        <f>Proposal!B24</f>
        <v>0</v>
      </c>
      <c r="F22" s="289">
        <f>Proposal!C24</f>
        <v>0</v>
      </c>
      <c r="G22" s="290">
        <f>Proposal!D24</f>
        <v>0</v>
      </c>
      <c r="H22" s="291">
        <f>Proposal!E24</f>
        <v>0</v>
      </c>
      <c r="I22" s="291">
        <f>Proposal!F24</f>
        <v>0</v>
      </c>
      <c r="J22" s="292">
        <f>Proposal!G24</f>
        <v>0</v>
      </c>
      <c r="K22" s="291">
        <f>Proposal!H24</f>
        <v>0</v>
      </c>
      <c r="L22" s="293">
        <f>Proposal!I24</f>
        <v>0</v>
      </c>
      <c r="M22" s="294">
        <f>Proposal!J24</f>
        <v>0</v>
      </c>
      <c r="N22" s="283">
        <f>Proposal!K24</f>
        <v>0</v>
      </c>
      <c r="O22" s="283">
        <f>Proposal!L24</f>
        <v>0</v>
      </c>
      <c r="P22" s="283">
        <f>Proposal!M24</f>
        <v>0</v>
      </c>
      <c r="Q22" s="283">
        <f>Proposal!N24</f>
        <v>0</v>
      </c>
    </row>
    <row r="23" spans="1:18" ht="16.5" x14ac:dyDescent="0.25">
      <c r="A23" s="273" t="str">
        <f>Summary!A23</f>
        <v>Average Cost</v>
      </c>
      <c r="B23" s="274">
        <f>Summary!B23</f>
        <v>100.7837</v>
      </c>
      <c r="C23" s="321"/>
      <c r="D23" s="287">
        <f>Proposal!A25</f>
        <v>0</v>
      </c>
      <c r="E23" s="288">
        <f>Proposal!B25</f>
        <v>0</v>
      </c>
      <c r="F23" s="289">
        <f>Proposal!C25</f>
        <v>0</v>
      </c>
      <c r="G23" s="290">
        <f>Proposal!D25</f>
        <v>0</v>
      </c>
      <c r="H23" s="291">
        <f>Proposal!E25</f>
        <v>0</v>
      </c>
      <c r="I23" s="291">
        <f>Proposal!F25</f>
        <v>0</v>
      </c>
      <c r="J23" s="292">
        <f>Proposal!G25</f>
        <v>0</v>
      </c>
      <c r="K23" s="291">
        <f>Proposal!H25</f>
        <v>0</v>
      </c>
      <c r="L23" s="293">
        <f>Proposal!I25</f>
        <v>0</v>
      </c>
      <c r="M23" s="294">
        <f>Proposal!J25</f>
        <v>0</v>
      </c>
      <c r="N23" s="283">
        <f>Proposal!K25</f>
        <v>0</v>
      </c>
      <c r="O23" s="283">
        <f>Proposal!L25</f>
        <v>0</v>
      </c>
      <c r="P23" s="283">
        <f>Proposal!M25</f>
        <v>0</v>
      </c>
      <c r="Q23" s="283">
        <f>Proposal!N25</f>
        <v>0</v>
      </c>
    </row>
    <row r="24" spans="1:18" ht="16.5" x14ac:dyDescent="0.25">
      <c r="A24" s="275"/>
      <c r="B24" s="275"/>
      <c r="C24" s="321"/>
      <c r="D24" s="287">
        <f>Proposal!A26</f>
        <v>0</v>
      </c>
      <c r="E24" s="288">
        <f>Proposal!B26</f>
        <v>0</v>
      </c>
      <c r="F24" s="289">
        <f>Proposal!C26</f>
        <v>0</v>
      </c>
      <c r="G24" s="290">
        <f>Proposal!D26</f>
        <v>0</v>
      </c>
      <c r="H24" s="291">
        <f>Proposal!E26</f>
        <v>0</v>
      </c>
      <c r="I24" s="291">
        <f>Proposal!F26</f>
        <v>0</v>
      </c>
      <c r="J24" s="292">
        <f>Proposal!G26</f>
        <v>0</v>
      </c>
      <c r="K24" s="291">
        <f>Proposal!H26</f>
        <v>0</v>
      </c>
      <c r="L24" s="293">
        <f>Proposal!I26</f>
        <v>0</v>
      </c>
      <c r="M24" s="294">
        <f>Proposal!J26</f>
        <v>0</v>
      </c>
      <c r="N24" s="283">
        <f>Proposal!K26</f>
        <v>0</v>
      </c>
      <c r="O24" s="283">
        <f>Proposal!L26</f>
        <v>0</v>
      </c>
      <c r="P24" s="283">
        <f>Proposal!M26</f>
        <v>0</v>
      </c>
      <c r="Q24" s="283">
        <f>Proposal!N26</f>
        <v>0</v>
      </c>
    </row>
    <row r="25" spans="1:18" ht="16.5" x14ac:dyDescent="0.25">
      <c r="A25" s="275" t="str">
        <f>Summary!A25</f>
        <v>Note:    Averages are weighted by market value</v>
      </c>
      <c r="B25" s="275"/>
      <c r="C25" s="321"/>
      <c r="D25" s="287">
        <f>Proposal!A27</f>
        <v>0</v>
      </c>
      <c r="E25" s="288">
        <f>Proposal!B27</f>
        <v>0</v>
      </c>
      <c r="F25" s="289">
        <f>Proposal!C27</f>
        <v>0</v>
      </c>
      <c r="G25" s="290">
        <f>Proposal!D27</f>
        <v>0</v>
      </c>
      <c r="H25" s="291">
        <f>Proposal!E27</f>
        <v>0</v>
      </c>
      <c r="I25" s="291">
        <f>Proposal!F27</f>
        <v>0</v>
      </c>
      <c r="J25" s="292">
        <f>Proposal!G27</f>
        <v>0</v>
      </c>
      <c r="K25" s="291">
        <f>Proposal!H27</f>
        <v>0</v>
      </c>
      <c r="L25" s="293">
        <f>Proposal!I27</f>
        <v>0</v>
      </c>
      <c r="M25" s="294">
        <f>Proposal!J27</f>
        <v>0</v>
      </c>
      <c r="N25" s="283">
        <f>Proposal!K27</f>
        <v>0</v>
      </c>
      <c r="O25" s="283">
        <f>Proposal!L27</f>
        <v>0</v>
      </c>
      <c r="P25" s="283">
        <f>Proposal!M27</f>
        <v>0</v>
      </c>
      <c r="Q25" s="283">
        <f>Proposal!N27</f>
        <v>0</v>
      </c>
    </row>
    <row r="26" spans="1:18" ht="17.25" thickBot="1" x14ac:dyDescent="0.3">
      <c r="C26" s="321"/>
      <c r="D26" s="299">
        <f>Proposal!A28</f>
        <v>0</v>
      </c>
      <c r="E26" s="300">
        <f>Proposal!B28</f>
        <v>0</v>
      </c>
      <c r="F26" s="301">
        <f>Proposal!C28</f>
        <v>0</v>
      </c>
      <c r="G26" s="302">
        <f>Proposal!D28</f>
        <v>0</v>
      </c>
      <c r="H26" s="303">
        <f>Proposal!E28</f>
        <v>0</v>
      </c>
      <c r="I26" s="303">
        <f>Proposal!F28</f>
        <v>0</v>
      </c>
      <c r="J26" s="304">
        <f>Proposal!G28</f>
        <v>0</v>
      </c>
      <c r="K26" s="303">
        <f>Proposal!H28</f>
        <v>0</v>
      </c>
      <c r="L26" s="305">
        <f>Proposal!I28</f>
        <v>0</v>
      </c>
      <c r="M26" s="306">
        <f>Proposal!J28</f>
        <v>0</v>
      </c>
      <c r="N26" s="307">
        <f>Proposal!K28</f>
        <v>0</v>
      </c>
      <c r="O26" s="307">
        <f>Proposal!L28</f>
        <v>0</v>
      </c>
      <c r="P26" s="307">
        <f>Proposal!M28</f>
        <v>0</v>
      </c>
      <c r="Q26" s="307">
        <f>Proposal!N28</f>
        <v>0</v>
      </c>
    </row>
    <row r="27" spans="1:18" ht="16.5" x14ac:dyDescent="0.25">
      <c r="A27" s="321"/>
      <c r="B27" s="321"/>
      <c r="C27" s="321"/>
      <c r="D27" s="308">
        <f>Proposal!A29</f>
        <v>2000</v>
      </c>
      <c r="E27" s="275">
        <f>Proposal!B29</f>
        <v>0</v>
      </c>
      <c r="F27" s="309">
        <f>Proposal!C29</f>
        <v>0</v>
      </c>
      <c r="G27" s="275">
        <f>Proposal!D29</f>
        <v>0</v>
      </c>
      <c r="H27" s="275">
        <f>Proposal!E29</f>
        <v>0</v>
      </c>
      <c r="I27" s="275">
        <f>Proposal!F29</f>
        <v>0</v>
      </c>
      <c r="J27" s="275">
        <f>Proposal!G29</f>
        <v>0</v>
      </c>
      <c r="K27" s="275">
        <f>Proposal!H29</f>
        <v>0</v>
      </c>
      <c r="L27" s="275">
        <f>Proposal!I29</f>
        <v>0</v>
      </c>
      <c r="M27" s="275">
        <f>Proposal!J29</f>
        <v>0</v>
      </c>
      <c r="N27" s="275">
        <f>Proposal!K29</f>
        <v>0</v>
      </c>
      <c r="O27" s="275">
        <f>Proposal!L29</f>
        <v>0</v>
      </c>
      <c r="P27" s="275">
        <f>Proposal!M29</f>
        <v>0</v>
      </c>
      <c r="Q27" s="275">
        <f>Proposal!N29</f>
        <v>0</v>
      </c>
    </row>
    <row r="28" spans="1:18" ht="13.5" x14ac:dyDescent="0.2">
      <c r="D28" s="269" t="s">
        <v>149</v>
      </c>
      <c r="E28" s="270"/>
      <c r="F28" s="271"/>
      <c r="G28" s="270"/>
      <c r="H28" s="270"/>
      <c r="I28" s="270"/>
      <c r="J28" s="270"/>
      <c r="K28" s="269"/>
      <c r="L28" s="271"/>
      <c r="M28" s="270"/>
      <c r="N28" s="270"/>
      <c r="O28" s="270"/>
      <c r="P28" s="270"/>
      <c r="R28" s="2"/>
    </row>
    <row r="29" spans="1:18" ht="13.5" x14ac:dyDescent="0.2">
      <c r="D29" s="269" t="s">
        <v>150</v>
      </c>
      <c r="E29" s="270"/>
      <c r="F29" s="271"/>
      <c r="G29" s="270"/>
      <c r="H29" s="270"/>
      <c r="I29" s="270"/>
      <c r="J29" s="270"/>
      <c r="K29" s="270"/>
      <c r="L29" s="271"/>
      <c r="M29" s="272"/>
      <c r="N29" s="272"/>
      <c r="O29" s="270"/>
      <c r="P29" s="270"/>
      <c r="R29" s="2"/>
    </row>
    <row r="31" spans="1:18" ht="19.5" x14ac:dyDescent="0.35">
      <c r="A31" s="378" t="s">
        <v>143</v>
      </c>
      <c r="B31" s="378"/>
      <c r="C31" s="378"/>
      <c r="D31" s="378"/>
      <c r="E31" s="378"/>
      <c r="F31" s="378"/>
      <c r="G31" s="378"/>
      <c r="H31" s="378"/>
      <c r="I31" s="378"/>
      <c r="J31" s="378"/>
      <c r="K31" s="378" t="s">
        <v>139</v>
      </c>
      <c r="L31" s="378"/>
      <c r="M31" s="378"/>
      <c r="N31" s="378"/>
      <c r="O31" s="378"/>
      <c r="P31" s="378"/>
      <c r="Q31" s="378"/>
    </row>
    <row r="33" spans="11:17" ht="15.75" x14ac:dyDescent="0.25">
      <c r="K33" s="375">
        <f>Maturity!B3</f>
        <v>0</v>
      </c>
      <c r="L33" s="353" t="str">
        <f>Maturity!C3</f>
        <v>Par Value</v>
      </c>
      <c r="M33" s="353">
        <f>Maturity!D3</f>
        <v>0</v>
      </c>
      <c r="N33" s="353"/>
      <c r="O33" s="353">
        <f>Maturity!G3</f>
        <v>0</v>
      </c>
      <c r="P33" s="353" t="str">
        <f>Maturity!H3</f>
        <v>Par Value</v>
      </c>
      <c r="Q33" s="372">
        <f>Maturity!I3</f>
        <v>0</v>
      </c>
    </row>
    <row r="34" spans="11:17" ht="15.75" x14ac:dyDescent="0.25">
      <c r="K34" s="373" t="str">
        <f>Maturity!B4</f>
        <v xml:space="preserve">Year </v>
      </c>
      <c r="L34" s="361" t="str">
        <f>Maturity!C4</f>
        <v>($000's)</v>
      </c>
      <c r="M34" s="361" t="str">
        <f>Maturity!D4</f>
        <v>% Total</v>
      </c>
      <c r="N34" s="361"/>
      <c r="O34" s="361" t="str">
        <f>Maturity!G4</f>
        <v xml:space="preserve">Year </v>
      </c>
      <c r="P34" s="361" t="str">
        <f>Maturity!H4</f>
        <v>($000's)</v>
      </c>
      <c r="Q34" s="376" t="str">
        <f>Maturity!I4</f>
        <v>% Total</v>
      </c>
    </row>
    <row r="35" spans="11:17" ht="15.75" x14ac:dyDescent="0.25">
      <c r="K35" s="318">
        <f>Maturity!B5</f>
        <v>1999</v>
      </c>
      <c r="L35" s="318">
        <f>Maturity!C5</f>
        <v>0</v>
      </c>
      <c r="M35" s="322">
        <f>Maturity!D5</f>
        <v>0</v>
      </c>
      <c r="N35" s="318"/>
      <c r="O35" s="318">
        <f>Maturity!G5</f>
        <v>2014</v>
      </c>
      <c r="P35" s="318">
        <f>Maturity!H5</f>
        <v>0</v>
      </c>
      <c r="Q35" s="322">
        <f>Maturity!I5</f>
        <v>0</v>
      </c>
    </row>
    <row r="36" spans="11:17" ht="15.75" x14ac:dyDescent="0.25">
      <c r="K36" s="318">
        <f>Maturity!B6</f>
        <v>2000</v>
      </c>
      <c r="L36" s="318">
        <f>Maturity!C6</f>
        <v>0</v>
      </c>
      <c r="M36" s="322">
        <f>Maturity!D6</f>
        <v>0</v>
      </c>
      <c r="N36" s="318"/>
      <c r="O36" s="318">
        <f>Maturity!G6</f>
        <v>2015</v>
      </c>
      <c r="P36" s="318">
        <f>Maturity!H6</f>
        <v>0</v>
      </c>
      <c r="Q36" s="322">
        <f>Maturity!I6</f>
        <v>0</v>
      </c>
    </row>
    <row r="37" spans="11:17" ht="15.75" x14ac:dyDescent="0.25">
      <c r="K37" s="318">
        <f>Maturity!B7</f>
        <v>2001</v>
      </c>
      <c r="L37" s="318">
        <f>Maturity!C7</f>
        <v>0</v>
      </c>
      <c r="M37" s="322">
        <f>Maturity!D7</f>
        <v>0</v>
      </c>
      <c r="N37" s="318"/>
      <c r="O37" s="318">
        <f>Maturity!G7</f>
        <v>2016</v>
      </c>
      <c r="P37" s="318">
        <f>Maturity!H7</f>
        <v>200</v>
      </c>
      <c r="Q37" s="322">
        <f>Maturity!I7</f>
        <v>0.1</v>
      </c>
    </row>
    <row r="38" spans="11:17" ht="15.75" x14ac:dyDescent="0.25">
      <c r="K38" s="318">
        <f>Maturity!B8</f>
        <v>2002</v>
      </c>
      <c r="L38" s="318">
        <f>Maturity!C8</f>
        <v>0</v>
      </c>
      <c r="M38" s="322">
        <f>Maturity!D8</f>
        <v>0</v>
      </c>
      <c r="N38" s="318"/>
      <c r="O38" s="318">
        <f>Maturity!G8</f>
        <v>2017</v>
      </c>
      <c r="P38" s="318">
        <f>Maturity!H8</f>
        <v>200</v>
      </c>
      <c r="Q38" s="322">
        <f>Maturity!I8</f>
        <v>0.1</v>
      </c>
    </row>
    <row r="39" spans="11:17" ht="15.75" x14ac:dyDescent="0.25">
      <c r="K39" s="318">
        <f>Maturity!B9</f>
        <v>2003</v>
      </c>
      <c r="L39" s="318">
        <f>Maturity!C9</f>
        <v>0</v>
      </c>
      <c r="M39" s="322">
        <f>Maturity!D9</f>
        <v>0</v>
      </c>
      <c r="N39" s="318"/>
      <c r="O39" s="318">
        <f>Maturity!G9</f>
        <v>2018</v>
      </c>
      <c r="P39" s="318">
        <f>Maturity!H9</f>
        <v>200</v>
      </c>
      <c r="Q39" s="322">
        <f>Maturity!I9</f>
        <v>0.1</v>
      </c>
    </row>
    <row r="40" spans="11:17" ht="15.75" x14ac:dyDescent="0.25">
      <c r="K40" s="318">
        <f>Maturity!B10</f>
        <v>2004</v>
      </c>
      <c r="L40" s="318">
        <f>Maturity!C10</f>
        <v>0</v>
      </c>
      <c r="M40" s="322">
        <f>Maturity!D10</f>
        <v>0</v>
      </c>
      <c r="N40" s="318"/>
      <c r="O40" s="318">
        <f>Maturity!G10</f>
        <v>2019</v>
      </c>
      <c r="P40" s="318">
        <f>Maturity!H10</f>
        <v>200</v>
      </c>
      <c r="Q40" s="322">
        <f>Maturity!I10</f>
        <v>0.1</v>
      </c>
    </row>
    <row r="41" spans="11:17" ht="15.75" x14ac:dyDescent="0.25">
      <c r="K41" s="318">
        <f>Maturity!B11</f>
        <v>2005</v>
      </c>
      <c r="L41" s="318">
        <f>Maturity!C11</f>
        <v>0</v>
      </c>
      <c r="M41" s="322">
        <f>Maturity!D11</f>
        <v>0</v>
      </c>
      <c r="N41" s="318"/>
      <c r="O41" s="318">
        <f>Maturity!G11</f>
        <v>2020</v>
      </c>
      <c r="P41" s="318">
        <f>Maturity!H11</f>
        <v>200</v>
      </c>
      <c r="Q41" s="322">
        <f>Maturity!I11</f>
        <v>0.1</v>
      </c>
    </row>
    <row r="42" spans="11:17" ht="15.75" x14ac:dyDescent="0.25">
      <c r="K42" s="318">
        <f>Maturity!B12</f>
        <v>2006</v>
      </c>
      <c r="L42" s="318">
        <f>Maturity!C12</f>
        <v>0</v>
      </c>
      <c r="M42" s="322">
        <f>Maturity!D12</f>
        <v>0</v>
      </c>
      <c r="N42" s="318"/>
      <c r="O42" s="318">
        <f>Maturity!G12</f>
        <v>2021</v>
      </c>
      <c r="P42" s="318">
        <f>Maturity!H12</f>
        <v>200</v>
      </c>
      <c r="Q42" s="322">
        <f>Maturity!I12</f>
        <v>0.1</v>
      </c>
    </row>
    <row r="43" spans="11:17" ht="15.75" x14ac:dyDescent="0.25">
      <c r="K43" s="318">
        <f>Maturity!B13</f>
        <v>2007</v>
      </c>
      <c r="L43" s="318">
        <f>Maturity!C13</f>
        <v>0</v>
      </c>
      <c r="M43" s="322">
        <f>Maturity!D13</f>
        <v>0</v>
      </c>
      <c r="N43" s="318"/>
      <c r="O43" s="318">
        <f>Maturity!G13</f>
        <v>2022</v>
      </c>
      <c r="P43" s="318">
        <f>Maturity!H13</f>
        <v>0</v>
      </c>
      <c r="Q43" s="322">
        <f>Maturity!I13</f>
        <v>0</v>
      </c>
    </row>
    <row r="44" spans="11:17" ht="15.75" x14ac:dyDescent="0.25">
      <c r="K44" s="318">
        <f>Maturity!B14</f>
        <v>2008</v>
      </c>
      <c r="L44" s="318">
        <f>Maturity!C14</f>
        <v>0</v>
      </c>
      <c r="M44" s="322">
        <f>Maturity!D14</f>
        <v>0</v>
      </c>
      <c r="N44" s="318"/>
      <c r="O44" s="318">
        <f>Maturity!G14</f>
        <v>2023</v>
      </c>
      <c r="P44" s="318">
        <f>Maturity!H14</f>
        <v>200</v>
      </c>
      <c r="Q44" s="322">
        <f>Maturity!I14</f>
        <v>0.1</v>
      </c>
    </row>
    <row r="45" spans="11:17" ht="15.75" x14ac:dyDescent="0.25">
      <c r="K45" s="318">
        <f>Maturity!B15</f>
        <v>2009</v>
      </c>
      <c r="L45" s="318">
        <f>Maturity!C15</f>
        <v>0</v>
      </c>
      <c r="M45" s="322">
        <f>Maturity!D15</f>
        <v>0</v>
      </c>
      <c r="N45" s="318"/>
      <c r="O45" s="318">
        <f>Maturity!G15</f>
        <v>2024</v>
      </c>
      <c r="P45" s="318">
        <f>Maturity!H15</f>
        <v>0</v>
      </c>
      <c r="Q45" s="322">
        <f>Maturity!I15</f>
        <v>0</v>
      </c>
    </row>
    <row r="46" spans="11:17" ht="15.75" x14ac:dyDescent="0.25">
      <c r="K46" s="318">
        <f>Maturity!B16</f>
        <v>2010</v>
      </c>
      <c r="L46" s="318">
        <f>Maturity!C16</f>
        <v>0</v>
      </c>
      <c r="M46" s="322">
        <f>Maturity!D16</f>
        <v>0</v>
      </c>
      <c r="N46" s="318"/>
      <c r="O46" s="318">
        <f>Maturity!G16</f>
        <v>2025</v>
      </c>
      <c r="P46" s="318">
        <f>Maturity!H16</f>
        <v>200</v>
      </c>
      <c r="Q46" s="322">
        <f>Maturity!I16</f>
        <v>0.1</v>
      </c>
    </row>
    <row r="47" spans="11:17" ht="15.75" x14ac:dyDescent="0.25">
      <c r="K47" s="318">
        <f>Maturity!B17</f>
        <v>2011</v>
      </c>
      <c r="L47" s="318">
        <f>Maturity!C17</f>
        <v>0</v>
      </c>
      <c r="M47" s="322">
        <f>Maturity!D17</f>
        <v>0</v>
      </c>
      <c r="N47" s="318"/>
      <c r="O47" s="318">
        <f>Maturity!G17</f>
        <v>2026</v>
      </c>
      <c r="P47" s="318">
        <f>Maturity!H17</f>
        <v>200</v>
      </c>
      <c r="Q47" s="322">
        <f>Maturity!I17</f>
        <v>0.1</v>
      </c>
    </row>
    <row r="48" spans="11:17" ht="15.75" x14ac:dyDescent="0.25">
      <c r="K48" s="318">
        <f>Maturity!B18</f>
        <v>2012</v>
      </c>
      <c r="L48" s="318">
        <f>Maturity!C18</f>
        <v>0</v>
      </c>
      <c r="M48" s="322">
        <f>Maturity!D18</f>
        <v>0</v>
      </c>
      <c r="N48" s="318"/>
      <c r="O48" s="318">
        <f>Maturity!G18</f>
        <v>2027</v>
      </c>
      <c r="P48" s="318">
        <f>Maturity!H18</f>
        <v>200</v>
      </c>
      <c r="Q48" s="322">
        <f>Maturity!I18</f>
        <v>0.1</v>
      </c>
    </row>
    <row r="49" spans="1:17" ht="15.75" x14ac:dyDescent="0.25">
      <c r="K49" s="318">
        <f>Maturity!B19</f>
        <v>2013</v>
      </c>
      <c r="L49" s="318">
        <f>Maturity!C19</f>
        <v>0</v>
      </c>
      <c r="M49" s="322">
        <f>Maturity!D19</f>
        <v>0</v>
      </c>
      <c r="N49" s="318"/>
      <c r="O49" s="318" t="str">
        <f>Maturity!G19</f>
        <v>2028+</v>
      </c>
      <c r="P49" s="318">
        <f>Maturity!H19</f>
        <v>0</v>
      </c>
      <c r="Q49" s="322">
        <f>Maturity!I19</f>
        <v>0</v>
      </c>
    </row>
    <row r="52" spans="1:17" ht="15.75" x14ac:dyDescent="0.25">
      <c r="A52" s="20" t="s">
        <v>144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145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146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147</v>
      </c>
      <c r="B55" s="21"/>
      <c r="C55" s="21"/>
      <c r="D55" s="21"/>
      <c r="E55" s="21"/>
      <c r="F55" s="21"/>
      <c r="G55" s="21"/>
      <c r="H55" s="21"/>
      <c r="I55" s="21"/>
      <c r="J55" s="316"/>
      <c r="K55" s="316"/>
      <c r="L55" s="316"/>
      <c r="M55" s="316"/>
      <c r="N55" s="316"/>
      <c r="O55" s="316"/>
      <c r="P55" s="316"/>
      <c r="Q55" s="316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Volatility</vt:lpstr>
      <vt:lpstr>Maturity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2001-11-13T15:54:43Z</cp:lastPrinted>
  <dcterms:created xsi:type="dcterms:W3CDTF">1999-01-15T20:16:09Z</dcterms:created>
  <dcterms:modified xsi:type="dcterms:W3CDTF">2014-09-05T11:11:16Z</dcterms:modified>
</cp:coreProperties>
</file>