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10575" windowHeight="6090" activeTab="1"/>
  </bookViews>
  <sheets>
    <sheet name="April01" sheetId="1" r:id="rId1"/>
    <sheet name="May01" sheetId="2" r:id="rId2"/>
    <sheet name="June01" sheetId="3" r:id="rId3"/>
  </sheets>
  <definedNames>
    <definedName name="_xlnm.Print_Area" localSheetId="0">April01!$A$5:$I$100</definedName>
    <definedName name="_xlnm.Print_Area" localSheetId="2">June01!$A$7:$I$167</definedName>
    <definedName name="_xlnm.Print_Area" localSheetId="1">'May01'!$A$6:$I$166</definedName>
    <definedName name="_xlnm.Print_Titles" localSheetId="0">April01!$1:$4</definedName>
    <definedName name="_xlnm.Print_Titles" localSheetId="2">June01!$1:$6</definedName>
    <definedName name="_xlnm.Print_Titles" localSheetId="1">'May01'!$1:$5</definedName>
  </definedNames>
  <calcPr calcId="152511" fullCalcOnLoad="1"/>
</workbook>
</file>

<file path=xl/calcChain.xml><?xml version="1.0" encoding="utf-8"?>
<calcChain xmlns="http://schemas.openxmlformats.org/spreadsheetml/2006/main">
  <c r="E15" i="1" l="1"/>
  <c r="D21" i="1"/>
  <c r="F21" i="1" s="1"/>
  <c r="F32" i="1" s="1"/>
  <c r="E21" i="1"/>
  <c r="F29" i="1"/>
  <c r="D32" i="1"/>
  <c r="I43" i="1" s="1"/>
  <c r="I41" i="1"/>
  <c r="C43" i="1"/>
  <c r="C49" i="1" s="1"/>
  <c r="C47" i="1"/>
  <c r="C56" i="1"/>
  <c r="I68" i="1"/>
  <c r="C71" i="1"/>
  <c r="C73" i="1" s="1"/>
  <c r="C72" i="1"/>
  <c r="C77" i="1"/>
  <c r="C85" i="1"/>
  <c r="O9" i="3"/>
  <c r="O10" i="3"/>
  <c r="O11" i="3"/>
  <c r="O40" i="3" s="1"/>
  <c r="O12" i="3"/>
  <c r="O13" i="3"/>
  <c r="O14" i="3"/>
  <c r="E15" i="3"/>
  <c r="E20" i="3" s="1"/>
  <c r="O15" i="3"/>
  <c r="O16" i="3"/>
  <c r="O17" i="3"/>
  <c r="O18" i="3"/>
  <c r="O19" i="3"/>
  <c r="D20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E37" i="3"/>
  <c r="E42" i="3" s="1"/>
  <c r="F42" i="3" s="1"/>
  <c r="O37" i="3"/>
  <c r="O38" i="3"/>
  <c r="M40" i="3"/>
  <c r="D42" i="3"/>
  <c r="D46" i="3"/>
  <c r="I57" i="3" s="1"/>
  <c r="I55" i="3"/>
  <c r="C57" i="3"/>
  <c r="C63" i="3" s="1"/>
  <c r="C61" i="3"/>
  <c r="C70" i="3"/>
  <c r="I80" i="3"/>
  <c r="C83" i="3"/>
  <c r="C85" i="3" s="1"/>
  <c r="C84" i="3"/>
  <c r="C89" i="3"/>
  <c r="C97" i="3"/>
  <c r="C116" i="3"/>
  <c r="C118" i="3" s="1"/>
  <c r="F130" i="3" s="1"/>
  <c r="C117" i="3"/>
  <c r="H122" i="3"/>
  <c r="H123" i="3"/>
  <c r="C124" i="3"/>
  <c r="H125" i="3"/>
  <c r="H126" i="3"/>
  <c r="C128" i="3"/>
  <c r="H133" i="3"/>
  <c r="H134" i="3"/>
  <c r="H135" i="3"/>
  <c r="C142" i="3"/>
  <c r="C144" i="3" s="1"/>
  <c r="F153" i="3" s="1"/>
  <c r="C143" i="3"/>
  <c r="C151" i="3"/>
  <c r="F160" i="3"/>
  <c r="E15" i="2"/>
  <c r="E20" i="2" s="1"/>
  <c r="D20" i="2"/>
  <c r="F28" i="2"/>
  <c r="E37" i="2"/>
  <c r="E42" i="2" s="1"/>
  <c r="D42" i="2"/>
  <c r="F42" i="2" s="1"/>
  <c r="I55" i="2"/>
  <c r="C57" i="2"/>
  <c r="C63" i="2" s="1"/>
  <c r="C61" i="2"/>
  <c r="C70" i="2"/>
  <c r="I80" i="2"/>
  <c r="C83" i="2"/>
  <c r="C91" i="2" s="1"/>
  <c r="C84" i="2"/>
  <c r="C85" i="2"/>
  <c r="C89" i="2"/>
  <c r="C97" i="2"/>
  <c r="C116" i="2"/>
  <c r="C118" i="2" s="1"/>
  <c r="F130" i="2" s="1"/>
  <c r="C117" i="2"/>
  <c r="C124" i="2"/>
  <c r="C128" i="2"/>
  <c r="C142" i="2"/>
  <c r="C143" i="2"/>
  <c r="C144" i="2"/>
  <c r="F153" i="2" s="1"/>
  <c r="C151" i="2"/>
  <c r="F20" i="2" l="1"/>
  <c r="F46" i="2" s="1"/>
  <c r="F155" i="3"/>
  <c r="F20" i="3"/>
  <c r="F46" i="3" s="1"/>
  <c r="I44" i="1"/>
  <c r="I45" i="1"/>
  <c r="F155" i="2"/>
  <c r="I58" i="3"/>
  <c r="I59" i="3"/>
  <c r="E32" i="1"/>
  <c r="N40" i="3"/>
  <c r="F28" i="3"/>
  <c r="E28" i="3" s="1"/>
  <c r="D46" i="2"/>
  <c r="I57" i="2" s="1"/>
  <c r="C91" i="3"/>
  <c r="C79" i="1"/>
  <c r="I58" i="2" l="1"/>
  <c r="I59" i="2"/>
  <c r="E46" i="3"/>
  <c r="C66" i="3"/>
  <c r="C72" i="3" s="1"/>
  <c r="F74" i="3" s="1"/>
  <c r="I82" i="3"/>
  <c r="I70" i="1"/>
  <c r="C52" i="1"/>
  <c r="C58" i="1" s="1"/>
  <c r="F60" i="1" s="1"/>
  <c r="E46" i="2"/>
  <c r="I83" i="3" l="1"/>
  <c r="I84" i="3" s="1"/>
  <c r="C99" i="3" s="1"/>
  <c r="C101" i="3" s="1"/>
  <c r="F103" i="3" s="1"/>
  <c r="F105" i="3" s="1"/>
  <c r="F158" i="3" s="1"/>
  <c r="F161" i="3" s="1"/>
  <c r="F166" i="3" s="1"/>
  <c r="I82" i="2"/>
  <c r="C66" i="2"/>
  <c r="C72" i="2" s="1"/>
  <c r="F74" i="2" s="1"/>
  <c r="I71" i="1"/>
  <c r="I72" i="1" s="1"/>
  <c r="C87" i="1" s="1"/>
  <c r="C89" i="1" s="1"/>
  <c r="F91" i="1" s="1"/>
  <c r="F93" i="1" s="1"/>
  <c r="F95" i="1" s="1"/>
  <c r="F99" i="1" s="1"/>
  <c r="I83" i="2" l="1"/>
  <c r="I84" i="2"/>
  <c r="C99" i="2" s="1"/>
  <c r="C101" i="2" s="1"/>
  <c r="F103" i="2" s="1"/>
  <c r="F105" i="2" s="1"/>
  <c r="F158" i="2" s="1"/>
  <c r="F162" i="2" s="1"/>
</calcChain>
</file>

<file path=xl/sharedStrings.xml><?xml version="1.0" encoding="utf-8"?>
<sst xmlns="http://schemas.openxmlformats.org/spreadsheetml/2006/main" count="336" uniqueCount="91">
  <si>
    <t>Gas Cost Section</t>
  </si>
  <si>
    <t>Baseload Price</t>
  </si>
  <si>
    <t>CIG: Rocky Mountian Index Price</t>
  </si>
  <si>
    <t xml:space="preserve">Discount </t>
  </si>
  <si>
    <t>Nomination</t>
  </si>
  <si>
    <t>Baseload</t>
  </si>
  <si>
    <t>Days in</t>
  </si>
  <si>
    <t>Month</t>
  </si>
  <si>
    <t>Monthly</t>
  </si>
  <si>
    <t>Volumes</t>
  </si>
  <si>
    <t xml:space="preserve">Baseload </t>
  </si>
  <si>
    <t>Amount</t>
  </si>
  <si>
    <t>Rate</t>
  </si>
  <si>
    <t>A. Baseload Volume and Cost</t>
  </si>
  <si>
    <t>Total</t>
  </si>
  <si>
    <t xml:space="preserve">Swing </t>
  </si>
  <si>
    <t>Swing</t>
  </si>
  <si>
    <t>B. Swing Volume and Cost (See Daily Swing Pricing Sheet For Details)</t>
  </si>
  <si>
    <t>Transportation Section</t>
  </si>
  <si>
    <t>A. Colorado Interstate Gas - Contract No. 33222000</t>
  </si>
  <si>
    <t>Demand Charges</t>
  </si>
  <si>
    <t xml:space="preserve"> Demand Capacity</t>
  </si>
  <si>
    <t xml:space="preserve"> Demand Rate</t>
  </si>
  <si>
    <t xml:space="preserve"> Days in Month</t>
  </si>
  <si>
    <t>Monthly Demand Charge</t>
  </si>
  <si>
    <t>Commodity Charges</t>
  </si>
  <si>
    <t xml:space="preserve"> Commodity Volumes</t>
  </si>
  <si>
    <t xml:space="preserve"> Commodity Rate</t>
  </si>
  <si>
    <t>Monthly Commodity Charge</t>
  </si>
  <si>
    <t>Third Party Utilization Volumes</t>
  </si>
  <si>
    <t>Third Party Utilization Rate</t>
  </si>
  <si>
    <t xml:space="preserve">  Third Party Utilization Credits</t>
  </si>
  <si>
    <t>Total Monthly Reservation Charges</t>
  </si>
  <si>
    <t>Total CIG Transportation Charges</t>
  </si>
  <si>
    <t>Columbia Exit Fee</t>
  </si>
  <si>
    <t xml:space="preserve"> Columbia Exit Fee</t>
  </si>
  <si>
    <t>Reservation Charge</t>
  </si>
  <si>
    <t xml:space="preserve">  Monthly Demand Fee</t>
  </si>
  <si>
    <t xml:space="preserve"> Commodity </t>
  </si>
  <si>
    <t xml:space="preserve"> Comodity ACA</t>
  </si>
  <si>
    <t xml:space="preserve"> Commodity GRI</t>
  </si>
  <si>
    <t>Commodity Rate</t>
  </si>
  <si>
    <t>Commodity Volumes</t>
  </si>
  <si>
    <t>CIG L&amp;U</t>
  </si>
  <si>
    <t>CIG Fuel</t>
  </si>
  <si>
    <t>CIG Fuel &amp; LU Deductions</t>
  </si>
  <si>
    <t>Gross Nominations</t>
  </si>
  <si>
    <t>Less: Fuel - LU Deductions</t>
  </si>
  <si>
    <t>Deliveries to WIC at Baxter</t>
  </si>
  <si>
    <t>WIC Fuel</t>
  </si>
  <si>
    <t>WIC L&amp;U</t>
  </si>
  <si>
    <t>WIC Fuel &amp; LU Deductions</t>
  </si>
  <si>
    <t>Deliveries at Owl Creek</t>
  </si>
  <si>
    <t>Total WIC Transportation Charges</t>
  </si>
  <si>
    <t>B. Wyoming Interstate Gas - Contract No. 41059001</t>
  </si>
  <si>
    <t>Total Transportation Costs</t>
  </si>
  <si>
    <t xml:space="preserve"> Total Gas Costs</t>
  </si>
  <si>
    <t>Total Gas Costs &amp; Transportation Costs</t>
  </si>
  <si>
    <t xml:space="preserve">Per Enron Invoice </t>
  </si>
  <si>
    <t>Difference</t>
  </si>
  <si>
    <t>Greeley Gas Company</t>
  </si>
  <si>
    <t xml:space="preserve">Enron Worksheet </t>
  </si>
  <si>
    <t xml:space="preserve">Northeast Colorado </t>
  </si>
  <si>
    <t xml:space="preserve"> Commodity ACA</t>
  </si>
  <si>
    <t>CIG Commodity Rate</t>
  </si>
  <si>
    <t>Young Storage and Associated Transportation (Per Storage Plan)</t>
  </si>
  <si>
    <t>A. Colorado Interstate Gas - Contract No. 33191011</t>
  </si>
  <si>
    <t>Planned Net Storage Injections</t>
  </si>
  <si>
    <t>A. Young Storage  - Contract No. 17003002</t>
  </si>
  <si>
    <t>Total Young Storage Charges</t>
  </si>
  <si>
    <t xml:space="preserve"> Storage Capacity</t>
  </si>
  <si>
    <t xml:space="preserve"> Demand Capacity Fee</t>
  </si>
  <si>
    <t xml:space="preserve"> Storage Capacity Fee</t>
  </si>
  <si>
    <t>Storage Charge</t>
  </si>
  <si>
    <t xml:space="preserve"> Injection Fee</t>
  </si>
  <si>
    <t>Total Young Storage and Associated Transportation Costs</t>
  </si>
  <si>
    <t>Total Commodity Gas,Transportation, &amp; Storage  Costs</t>
  </si>
  <si>
    <t xml:space="preserve"> Total Gas Costs - System Supply &amp; Storage</t>
  </si>
  <si>
    <t>A. Baseload Volume and Cost - System Supply</t>
  </si>
  <si>
    <t>B. Swing Volume and Cost - System Supply (See Daily Swing Pricing Sheet For Details)</t>
  </si>
  <si>
    <t xml:space="preserve">A. Baseload Volume and Cost - Planned Storage </t>
  </si>
  <si>
    <t xml:space="preserve">Planned </t>
  </si>
  <si>
    <t xml:space="preserve">Daily </t>
  </si>
  <si>
    <t>Injections</t>
  </si>
  <si>
    <t>Planned</t>
  </si>
  <si>
    <t>Storage</t>
  </si>
  <si>
    <t>Day</t>
  </si>
  <si>
    <t>Qty</t>
  </si>
  <si>
    <t>Price</t>
  </si>
  <si>
    <t>Amt.</t>
  </si>
  <si>
    <t>Adjustment - Demand Fees on CIG 33222000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</si>
</sst>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.000"/>
    <numFmt numFmtId="167" formatCode="0.000%"/>
    <numFmt numFmtId="169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u/>
      <sz val="12"/>
      <name val="Arial Narrow"/>
      <family val="2"/>
    </font>
    <font>
      <u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165" fontId="5" fillId="0" borderId="0" xfId="0" applyNumberFormat="1" applyFont="1"/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169" fontId="8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60</v>
      </c>
    </row>
    <row r="2" spans="1:5" ht="18" x14ac:dyDescent="0.25">
      <c r="A2" s="18" t="s">
        <v>61</v>
      </c>
    </row>
    <row r="3" spans="1:5" ht="18" x14ac:dyDescent="0.25">
      <c r="A3" s="18" t="s">
        <v>62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13</v>
      </c>
    </row>
    <row r="10" spans="1:5" x14ac:dyDescent="0.2">
      <c r="A10" s="2"/>
    </row>
    <row r="11" spans="1:5" x14ac:dyDescent="0.2">
      <c r="A11" s="2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4.49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4.4775</v>
      </c>
    </row>
    <row r="19" spans="1:6" x14ac:dyDescent="0.2">
      <c r="B19" s="9" t="s">
        <v>5</v>
      </c>
      <c r="C19" s="9" t="s">
        <v>6</v>
      </c>
      <c r="D19" s="9" t="s">
        <v>8</v>
      </c>
      <c r="E19" s="9"/>
      <c r="F19" s="9" t="s">
        <v>10</v>
      </c>
    </row>
    <row r="20" spans="1:6" x14ac:dyDescent="0.2">
      <c r="B20" s="10" t="s">
        <v>4</v>
      </c>
      <c r="C20" s="10" t="s">
        <v>7</v>
      </c>
      <c r="D20" s="10" t="s">
        <v>9</v>
      </c>
      <c r="E20" s="10" t="s">
        <v>12</v>
      </c>
      <c r="F20" s="10" t="s">
        <v>11</v>
      </c>
    </row>
    <row r="21" spans="1:6" x14ac:dyDescent="0.2">
      <c r="B21" s="7">
        <v>6500</v>
      </c>
      <c r="C21" s="7">
        <v>30</v>
      </c>
      <c r="D21" s="7">
        <f>B21*C21</f>
        <v>195000</v>
      </c>
      <c r="E21" s="5">
        <f>E15</f>
        <v>4.4775</v>
      </c>
      <c r="F21" s="8">
        <f>ROUND(D21*E21,2)</f>
        <v>873112.5</v>
      </c>
    </row>
    <row r="24" spans="1:6" x14ac:dyDescent="0.2">
      <c r="A24" s="2" t="s">
        <v>17</v>
      </c>
    </row>
    <row r="26" spans="1:6" x14ac:dyDescent="0.2">
      <c r="D26" s="9" t="s">
        <v>14</v>
      </c>
      <c r="E26" s="9"/>
      <c r="F26" s="9"/>
    </row>
    <row r="27" spans="1:6" x14ac:dyDescent="0.2">
      <c r="D27" s="9" t="s">
        <v>15</v>
      </c>
      <c r="E27" s="9"/>
      <c r="F27" s="9" t="s">
        <v>16</v>
      </c>
    </row>
    <row r="28" spans="1:6" x14ac:dyDescent="0.2">
      <c r="D28" s="10" t="s">
        <v>9</v>
      </c>
      <c r="E28" s="10" t="s">
        <v>12</v>
      </c>
      <c r="F28" s="10" t="s">
        <v>11</v>
      </c>
    </row>
    <row r="29" spans="1:6" x14ac:dyDescent="0.2">
      <c r="D29" s="7">
        <v>76500</v>
      </c>
      <c r="E29" s="5">
        <v>4.3944999999999999</v>
      </c>
      <c r="F29" s="8">
        <f>ROUND(D29*E29,2)</f>
        <v>336179.25</v>
      </c>
    </row>
    <row r="32" spans="1:6" x14ac:dyDescent="0.2">
      <c r="A32" s="2" t="s">
        <v>56</v>
      </c>
      <c r="D32" s="7">
        <f>D21+D29</f>
        <v>271500</v>
      </c>
      <c r="E32" s="11">
        <f>ROUND(F32/D32,3)</f>
        <v>4.4539999999999997</v>
      </c>
      <c r="F32" s="8">
        <f>F21+F29</f>
        <v>1209291.75</v>
      </c>
    </row>
    <row r="34" spans="1:9" ht="15.75" x14ac:dyDescent="0.25">
      <c r="A34" s="3" t="s">
        <v>18</v>
      </c>
    </row>
    <row r="36" spans="1:9" x14ac:dyDescent="0.2">
      <c r="A36" s="1" t="s">
        <v>19</v>
      </c>
    </row>
    <row r="38" spans="1:9" x14ac:dyDescent="0.2">
      <c r="A38" t="s">
        <v>20</v>
      </c>
    </row>
    <row r="39" spans="1:9" x14ac:dyDescent="0.2">
      <c r="A39" t="s">
        <v>21</v>
      </c>
      <c r="C39" s="7">
        <v>20000</v>
      </c>
      <c r="H39" t="s">
        <v>44</v>
      </c>
      <c r="I39" s="13">
        <v>0</v>
      </c>
    </row>
    <row r="40" spans="1:9" x14ac:dyDescent="0.2">
      <c r="A40" t="s">
        <v>22</v>
      </c>
      <c r="C40" s="11">
        <v>7.4999999999999997E-2</v>
      </c>
      <c r="H40" t="s">
        <v>43</v>
      </c>
      <c r="I40" s="15">
        <v>7.8157000000000001E-3</v>
      </c>
    </row>
    <row r="41" spans="1:9" x14ac:dyDescent="0.2">
      <c r="A41" t="s">
        <v>23</v>
      </c>
      <c r="C41">
        <v>30</v>
      </c>
      <c r="H41" t="s">
        <v>45</v>
      </c>
      <c r="I41" s="14">
        <f>I39+I40</f>
        <v>7.8157000000000001E-3</v>
      </c>
    </row>
    <row r="43" spans="1:9" x14ac:dyDescent="0.2">
      <c r="A43" t="s">
        <v>24</v>
      </c>
      <c r="C43" s="8">
        <f>ROUND((C39*C40)*C41,2)</f>
        <v>45000</v>
      </c>
      <c r="H43" t="s">
        <v>46</v>
      </c>
      <c r="I43" s="7">
        <f>D32</f>
        <v>271500</v>
      </c>
    </row>
    <row r="44" spans="1:9" x14ac:dyDescent="0.2">
      <c r="C44" s="8"/>
      <c r="H44" t="s">
        <v>47</v>
      </c>
      <c r="I44" s="16">
        <f>ROUND(I43*I41,0)</f>
        <v>2122</v>
      </c>
    </row>
    <row r="45" spans="1:9" x14ac:dyDescent="0.2">
      <c r="A45" t="s">
        <v>29</v>
      </c>
      <c r="C45" s="7">
        <v>8029</v>
      </c>
      <c r="H45" t="s">
        <v>48</v>
      </c>
      <c r="I45" s="7">
        <f>I43-I44</f>
        <v>269378</v>
      </c>
    </row>
    <row r="46" spans="1:9" x14ac:dyDescent="0.2">
      <c r="A46" t="s">
        <v>30</v>
      </c>
      <c r="C46" s="12">
        <v>-0.01</v>
      </c>
    </row>
    <row r="47" spans="1:9" x14ac:dyDescent="0.2">
      <c r="A47" t="s">
        <v>31</v>
      </c>
      <c r="C47" s="8">
        <f>ROUND(C45*C46,2)</f>
        <v>-80.290000000000006</v>
      </c>
    </row>
    <row r="49" spans="1:6" x14ac:dyDescent="0.2">
      <c r="A49" t="s">
        <v>32</v>
      </c>
      <c r="C49" s="8">
        <f>C43+C47</f>
        <v>44919.71</v>
      </c>
    </row>
    <row r="51" spans="1:6" x14ac:dyDescent="0.2">
      <c r="A51" t="s">
        <v>25</v>
      </c>
    </row>
    <row r="52" spans="1:6" x14ac:dyDescent="0.2">
      <c r="A52" t="s">
        <v>26</v>
      </c>
      <c r="C52" s="7">
        <f>I45</f>
        <v>269378</v>
      </c>
    </row>
    <row r="53" spans="1:6" x14ac:dyDescent="0.2">
      <c r="C53" s="7"/>
    </row>
    <row r="54" spans="1:6" x14ac:dyDescent="0.2">
      <c r="A54" t="s">
        <v>27</v>
      </c>
      <c r="C54" s="5">
        <v>2.4500000000000001E-2</v>
      </c>
    </row>
    <row r="55" spans="1:6" x14ac:dyDescent="0.2">
      <c r="A55" t="s">
        <v>63</v>
      </c>
      <c r="C55" s="6">
        <v>2.2000000000000001E-3</v>
      </c>
    </row>
    <row r="56" spans="1:6" x14ac:dyDescent="0.2">
      <c r="A56" t="s">
        <v>64</v>
      </c>
      <c r="C56" s="5">
        <f>C54+C55</f>
        <v>2.6700000000000002E-2</v>
      </c>
    </row>
    <row r="57" spans="1:6" x14ac:dyDescent="0.2">
      <c r="C57" s="5"/>
    </row>
    <row r="58" spans="1:6" x14ac:dyDescent="0.2">
      <c r="A58" t="s">
        <v>28</v>
      </c>
      <c r="C58" s="8">
        <f>ROUND(C52*C56,2)</f>
        <v>7192.39</v>
      </c>
    </row>
    <row r="60" spans="1:6" x14ac:dyDescent="0.2">
      <c r="A60" t="s">
        <v>33</v>
      </c>
      <c r="F60" s="8">
        <f>C49+C58</f>
        <v>52112.1</v>
      </c>
    </row>
    <row r="64" spans="1:6" x14ac:dyDescent="0.2">
      <c r="A64" s="1" t="s">
        <v>54</v>
      </c>
    </row>
    <row r="66" spans="1:9" x14ac:dyDescent="0.2">
      <c r="A66" t="s">
        <v>20</v>
      </c>
      <c r="H66" t="s">
        <v>49</v>
      </c>
      <c r="I66" s="13">
        <v>6.3232999999999996E-3</v>
      </c>
    </row>
    <row r="67" spans="1:9" x14ac:dyDescent="0.2">
      <c r="A67" t="s">
        <v>21</v>
      </c>
      <c r="C67" s="7">
        <v>20000</v>
      </c>
      <c r="H67" t="s">
        <v>50</v>
      </c>
      <c r="I67" s="15">
        <v>0</v>
      </c>
    </row>
    <row r="68" spans="1:9" x14ac:dyDescent="0.2">
      <c r="A68" t="s">
        <v>22</v>
      </c>
      <c r="C68" s="11">
        <v>2.9413999999999998</v>
      </c>
      <c r="H68" t="s">
        <v>51</v>
      </c>
      <c r="I68" s="14">
        <f>I66+I67</f>
        <v>6.3232999999999996E-3</v>
      </c>
    </row>
    <row r="69" spans="1:9" x14ac:dyDescent="0.2">
      <c r="A69" t="s">
        <v>35</v>
      </c>
      <c r="C69" s="5">
        <v>-9.8799999999999999E-2</v>
      </c>
    </row>
    <row r="70" spans="1:9" x14ac:dyDescent="0.2">
      <c r="H70" t="s">
        <v>48</v>
      </c>
      <c r="I70" s="7">
        <f>I45</f>
        <v>269378</v>
      </c>
    </row>
    <row r="71" spans="1:9" x14ac:dyDescent="0.2">
      <c r="A71" t="s">
        <v>36</v>
      </c>
      <c r="C71" s="8">
        <f>ROUND(C67*C68,2)</f>
        <v>58828</v>
      </c>
      <c r="H71" t="s">
        <v>47</v>
      </c>
      <c r="I71" s="16">
        <f>ROUND(I70*I68,0)</f>
        <v>1703</v>
      </c>
    </row>
    <row r="72" spans="1:9" x14ac:dyDescent="0.2">
      <c r="A72" t="s">
        <v>34</v>
      </c>
      <c r="C72" s="12">
        <f>ROUND(C67*C69,2)</f>
        <v>-1976</v>
      </c>
      <c r="H72" t="s">
        <v>52</v>
      </c>
      <c r="I72" s="7">
        <f>I70-I71</f>
        <v>267675</v>
      </c>
    </row>
    <row r="73" spans="1:9" x14ac:dyDescent="0.2">
      <c r="A73" t="s">
        <v>37</v>
      </c>
      <c r="C73" s="8">
        <f>C71+C72</f>
        <v>56852</v>
      </c>
    </row>
    <row r="74" spans="1:9" x14ac:dyDescent="0.2">
      <c r="C74" s="8"/>
    </row>
    <row r="75" spans="1:9" x14ac:dyDescent="0.2">
      <c r="A75" t="s">
        <v>29</v>
      </c>
      <c r="C75" s="7">
        <v>167723</v>
      </c>
    </row>
    <row r="76" spans="1:9" x14ac:dyDescent="0.2">
      <c r="A76" t="s">
        <v>30</v>
      </c>
      <c r="C76" s="12">
        <v>-0.01</v>
      </c>
    </row>
    <row r="77" spans="1:9" x14ac:dyDescent="0.2">
      <c r="A77" t="s">
        <v>31</v>
      </c>
      <c r="C77" s="8">
        <f>ROUND(C75*C76,2)</f>
        <v>-1677.23</v>
      </c>
    </row>
    <row r="79" spans="1:9" x14ac:dyDescent="0.2">
      <c r="A79" t="s">
        <v>32</v>
      </c>
      <c r="C79" s="8">
        <f>C71+C77</f>
        <v>57150.77</v>
      </c>
    </row>
    <row r="81" spans="1:6" x14ac:dyDescent="0.2">
      <c r="A81" t="s">
        <v>25</v>
      </c>
    </row>
    <row r="82" spans="1:6" x14ac:dyDescent="0.2">
      <c r="A82" t="s">
        <v>38</v>
      </c>
      <c r="C82" s="5">
        <v>2.5999999999999999E-3</v>
      </c>
    </row>
    <row r="83" spans="1:6" x14ac:dyDescent="0.2">
      <c r="A83" t="s">
        <v>39</v>
      </c>
      <c r="C83" s="5">
        <v>2.2000000000000001E-3</v>
      </c>
    </row>
    <row r="84" spans="1:6" x14ac:dyDescent="0.2">
      <c r="A84" t="s">
        <v>40</v>
      </c>
      <c r="C84" s="6">
        <v>7.0000000000000001E-3</v>
      </c>
    </row>
    <row r="85" spans="1:6" x14ac:dyDescent="0.2">
      <c r="A85" t="s">
        <v>41</v>
      </c>
      <c r="C85" s="5">
        <f>SUM(C82:C84)</f>
        <v>1.1800000000000001E-2</v>
      </c>
    </row>
    <row r="86" spans="1:6" x14ac:dyDescent="0.2">
      <c r="C86" s="11"/>
    </row>
    <row r="87" spans="1:6" x14ac:dyDescent="0.2">
      <c r="A87" t="s">
        <v>42</v>
      </c>
      <c r="C87" s="7">
        <f>I72</f>
        <v>267675</v>
      </c>
    </row>
    <row r="89" spans="1:6" x14ac:dyDescent="0.2">
      <c r="A89" t="s">
        <v>28</v>
      </c>
      <c r="C89" s="8">
        <f>ROUND(C85*C87,2)</f>
        <v>3158.57</v>
      </c>
    </row>
    <row r="91" spans="1:6" x14ac:dyDescent="0.2">
      <c r="A91" t="s">
        <v>53</v>
      </c>
      <c r="F91" s="8">
        <f>C79+C89</f>
        <v>60309.34</v>
      </c>
    </row>
    <row r="93" spans="1:6" x14ac:dyDescent="0.2">
      <c r="A93" s="1" t="s">
        <v>55</v>
      </c>
      <c r="F93" s="8">
        <f>F60+F91</f>
        <v>112421.44</v>
      </c>
    </row>
    <row r="95" spans="1:6" ht="15.75" x14ac:dyDescent="0.25">
      <c r="A95" s="17" t="s">
        <v>57</v>
      </c>
      <c r="F95" s="8">
        <f>F32+F93</f>
        <v>1321713.19</v>
      </c>
    </row>
    <row r="97" spans="1:6" ht="15.75" x14ac:dyDescent="0.25">
      <c r="A97" s="17" t="s">
        <v>58</v>
      </c>
      <c r="F97" s="8">
        <v>1342822.28</v>
      </c>
    </row>
    <row r="99" spans="1:6" ht="15.75" x14ac:dyDescent="0.25">
      <c r="A99" s="17" t="s">
        <v>59</v>
      </c>
      <c r="F99" s="8">
        <f>F95-F97</f>
        <v>-21109.090000000084</v>
      </c>
    </row>
  </sheetData>
  <pageMargins left="0.5" right="0.25" top="0.75" bottom="0.5" header="0.5" footer="0.25"/>
  <pageSetup scale="8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60</v>
      </c>
    </row>
    <row r="2" spans="1:5" ht="18" x14ac:dyDescent="0.25">
      <c r="A2" s="18" t="s">
        <v>61</v>
      </c>
    </row>
    <row r="3" spans="1:5" ht="18" x14ac:dyDescent="0.25">
      <c r="A3" s="18" t="s">
        <v>62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78</v>
      </c>
    </row>
    <row r="10" spans="1:5" x14ac:dyDescent="0.2">
      <c r="A10" s="2"/>
    </row>
    <row r="11" spans="1:5" x14ac:dyDescent="0.2">
      <c r="A11" s="2"/>
      <c r="B11" s="1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3.91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3.8975</v>
      </c>
    </row>
    <row r="18" spans="1:6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</row>
    <row r="19" spans="1:6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</row>
    <row r="20" spans="1:6" x14ac:dyDescent="0.2">
      <c r="B20" s="7">
        <v>3000</v>
      </c>
      <c r="C20" s="7">
        <v>31</v>
      </c>
      <c r="D20" s="7">
        <f>B20*C20</f>
        <v>93000</v>
      </c>
      <c r="E20" s="5">
        <f>E15</f>
        <v>3.8975</v>
      </c>
      <c r="F20" s="8">
        <f>ROUND(D20*E20,2)</f>
        <v>362467.5</v>
      </c>
    </row>
    <row r="23" spans="1:6" x14ac:dyDescent="0.2">
      <c r="A23" s="2" t="s">
        <v>79</v>
      </c>
    </row>
    <row r="25" spans="1:6" x14ac:dyDescent="0.2">
      <c r="D25" s="9" t="s">
        <v>14</v>
      </c>
      <c r="E25" s="9"/>
      <c r="F25" s="9"/>
    </row>
    <row r="26" spans="1:6" x14ac:dyDescent="0.2">
      <c r="D26" s="9" t="s">
        <v>15</v>
      </c>
      <c r="E26" s="9"/>
      <c r="F26" s="9" t="s">
        <v>16</v>
      </c>
    </row>
    <row r="27" spans="1:6" x14ac:dyDescent="0.2">
      <c r="D27" s="10" t="s">
        <v>9</v>
      </c>
      <c r="E27" s="10" t="s">
        <v>12</v>
      </c>
      <c r="F27" s="10" t="s">
        <v>11</v>
      </c>
    </row>
    <row r="28" spans="1:6" x14ac:dyDescent="0.2">
      <c r="D28" s="7">
        <v>30450</v>
      </c>
      <c r="E28" s="5">
        <v>3.3610000000000002</v>
      </c>
      <c r="F28" s="8">
        <f>ROUND(D28*E28,2)</f>
        <v>102342.45</v>
      </c>
    </row>
    <row r="31" spans="1:6" x14ac:dyDescent="0.2">
      <c r="A31" s="2" t="s">
        <v>80</v>
      </c>
    </row>
    <row r="32" spans="1:6" x14ac:dyDescent="0.2">
      <c r="A32" s="2"/>
    </row>
    <row r="33" spans="1:6" x14ac:dyDescent="0.2">
      <c r="A33" s="2"/>
      <c r="B33" s="1"/>
    </row>
    <row r="34" spans="1:6" x14ac:dyDescent="0.2">
      <c r="A34" s="2"/>
      <c r="B34" s="4" t="s">
        <v>1</v>
      </c>
    </row>
    <row r="35" spans="1:6" x14ac:dyDescent="0.2">
      <c r="B35" t="s">
        <v>2</v>
      </c>
      <c r="E35" s="5">
        <v>3.91</v>
      </c>
    </row>
    <row r="36" spans="1:6" x14ac:dyDescent="0.2">
      <c r="B36" t="s">
        <v>3</v>
      </c>
      <c r="E36" s="6">
        <v>-1.2500000000000001E-2</v>
      </c>
    </row>
    <row r="37" spans="1:6" x14ac:dyDescent="0.2">
      <c r="E37" s="5">
        <f>SUM(E35:E36)</f>
        <v>3.8975</v>
      </c>
    </row>
    <row r="39" spans="1:6" x14ac:dyDescent="0.2">
      <c r="B39" s="9" t="s">
        <v>81</v>
      </c>
      <c r="D39" s="9" t="s">
        <v>84</v>
      </c>
    </row>
    <row r="40" spans="1:6" x14ac:dyDescent="0.2">
      <c r="B40" s="9" t="s">
        <v>82</v>
      </c>
      <c r="C40" s="9" t="s">
        <v>6</v>
      </c>
      <c r="D40" s="9" t="s">
        <v>8</v>
      </c>
      <c r="E40" s="9"/>
      <c r="F40" s="9" t="s">
        <v>85</v>
      </c>
    </row>
    <row r="41" spans="1:6" x14ac:dyDescent="0.2">
      <c r="B41" s="10" t="s">
        <v>83</v>
      </c>
      <c r="C41" s="10" t="s">
        <v>7</v>
      </c>
      <c r="D41" s="10" t="s">
        <v>83</v>
      </c>
      <c r="E41" s="10" t="s">
        <v>12</v>
      </c>
      <c r="F41" s="10" t="s">
        <v>11</v>
      </c>
    </row>
    <row r="42" spans="1:6" x14ac:dyDescent="0.2">
      <c r="B42" s="7">
        <v>1300</v>
      </c>
      <c r="C42" s="7">
        <v>31</v>
      </c>
      <c r="D42" s="7">
        <f>B42*C42</f>
        <v>40300</v>
      </c>
      <c r="E42" s="5">
        <f>E37</f>
        <v>3.8975</v>
      </c>
      <c r="F42" s="8">
        <f>ROUND(D42*E42,2)</f>
        <v>157069.25</v>
      </c>
    </row>
    <row r="43" spans="1:6" x14ac:dyDescent="0.2">
      <c r="B43" s="7"/>
      <c r="C43" s="7"/>
      <c r="D43" s="7"/>
      <c r="E43" s="5"/>
      <c r="F43" s="8"/>
    </row>
    <row r="44" spans="1:6" x14ac:dyDescent="0.2">
      <c r="B44" s="7"/>
      <c r="C44" s="7"/>
      <c r="D44" s="7"/>
      <c r="E44" s="5"/>
      <c r="F44" s="8"/>
    </row>
    <row r="46" spans="1:6" x14ac:dyDescent="0.2">
      <c r="A46" s="2" t="s">
        <v>77</v>
      </c>
      <c r="D46" s="7">
        <f>D20+D28+D42</f>
        <v>163750</v>
      </c>
      <c r="E46" s="11">
        <f>ROUND(F46/D46,3)</f>
        <v>3.798</v>
      </c>
      <c r="F46" s="8">
        <f>F20+F28+F42</f>
        <v>621879.19999999995</v>
      </c>
    </row>
    <row r="48" spans="1:6" ht="15.75" x14ac:dyDescent="0.25">
      <c r="A48" s="3" t="s">
        <v>18</v>
      </c>
    </row>
    <row r="50" spans="1:9" x14ac:dyDescent="0.2">
      <c r="A50" s="1" t="s">
        <v>19</v>
      </c>
    </row>
    <row r="52" spans="1:9" x14ac:dyDescent="0.2">
      <c r="A52" t="s">
        <v>20</v>
      </c>
    </row>
    <row r="53" spans="1:9" x14ac:dyDescent="0.2">
      <c r="A53" t="s">
        <v>21</v>
      </c>
      <c r="C53" s="7">
        <v>20000</v>
      </c>
      <c r="H53" t="s">
        <v>44</v>
      </c>
      <c r="I53" s="13">
        <v>0</v>
      </c>
    </row>
    <row r="54" spans="1:9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2">
      <c r="A55" t="s">
        <v>23</v>
      </c>
      <c r="C55">
        <v>31</v>
      </c>
      <c r="H55" t="s">
        <v>45</v>
      </c>
      <c r="I55" s="14">
        <f>I53+I54</f>
        <v>7.8157000000000001E-3</v>
      </c>
    </row>
    <row r="57" spans="1:9" x14ac:dyDescent="0.2">
      <c r="A57" t="s">
        <v>24</v>
      </c>
      <c r="C57" s="8">
        <f>ROUND((C53*C54)*C55,2)</f>
        <v>46500</v>
      </c>
      <c r="H57" t="s">
        <v>46</v>
      </c>
      <c r="I57" s="7">
        <f>D46</f>
        <v>163750</v>
      </c>
    </row>
    <row r="58" spans="1:9" x14ac:dyDescent="0.2">
      <c r="C58" s="8"/>
      <c r="H58" t="s">
        <v>47</v>
      </c>
      <c r="I58" s="16">
        <f>ROUND(I57*I55,0)</f>
        <v>1280</v>
      </c>
    </row>
    <row r="59" spans="1:9" x14ac:dyDescent="0.2">
      <c r="A59" t="s">
        <v>29</v>
      </c>
      <c r="C59" s="7">
        <v>0</v>
      </c>
      <c r="H59" t="s">
        <v>48</v>
      </c>
      <c r="I59" s="7">
        <f>I57-I58</f>
        <v>162470</v>
      </c>
    </row>
    <row r="60" spans="1:9" x14ac:dyDescent="0.2">
      <c r="A60" t="s">
        <v>30</v>
      </c>
      <c r="C60" s="12">
        <v>-0.01</v>
      </c>
    </row>
    <row r="61" spans="1:9" x14ac:dyDescent="0.2">
      <c r="A61" t="s">
        <v>31</v>
      </c>
      <c r="C61" s="8">
        <f>ROUND(C59*C60,2)</f>
        <v>0</v>
      </c>
    </row>
    <row r="63" spans="1:9" x14ac:dyDescent="0.2">
      <c r="A63" t="s">
        <v>32</v>
      </c>
      <c r="C63" s="8">
        <f>C57+C61</f>
        <v>46500</v>
      </c>
    </row>
    <row r="65" spans="1:9" x14ac:dyDescent="0.2">
      <c r="A65" t="s">
        <v>25</v>
      </c>
    </row>
    <row r="66" spans="1:9" x14ac:dyDescent="0.2">
      <c r="A66" t="s">
        <v>26</v>
      </c>
      <c r="C66" s="7">
        <f>I59</f>
        <v>162470</v>
      </c>
    </row>
    <row r="67" spans="1:9" x14ac:dyDescent="0.2">
      <c r="C67" s="7"/>
    </row>
    <row r="68" spans="1:9" x14ac:dyDescent="0.2">
      <c r="A68" t="s">
        <v>27</v>
      </c>
      <c r="C68" s="5">
        <v>2.4500000000000001E-2</v>
      </c>
      <c r="E68" s="5"/>
    </row>
    <row r="69" spans="1:9" x14ac:dyDescent="0.2">
      <c r="A69" t="s">
        <v>63</v>
      </c>
      <c r="C69" s="6">
        <v>2.2000000000000001E-3</v>
      </c>
      <c r="E69" s="6"/>
    </row>
    <row r="70" spans="1:9" x14ac:dyDescent="0.2">
      <c r="A70" t="s">
        <v>64</v>
      </c>
      <c r="C70" s="5">
        <f>C68+C69</f>
        <v>2.6700000000000002E-2</v>
      </c>
      <c r="E70" s="5"/>
    </row>
    <row r="71" spans="1:9" x14ac:dyDescent="0.2">
      <c r="C71" s="5"/>
      <c r="E71" s="5"/>
    </row>
    <row r="72" spans="1:9" x14ac:dyDescent="0.2">
      <c r="A72" t="s">
        <v>28</v>
      </c>
      <c r="C72" s="8">
        <f>ROUND(C66*C70,2)</f>
        <v>4337.95</v>
      </c>
      <c r="E72" s="8"/>
    </row>
    <row r="74" spans="1:9" x14ac:dyDescent="0.2">
      <c r="A74" t="s">
        <v>33</v>
      </c>
      <c r="F74" s="8">
        <f>C63+C72</f>
        <v>50837.95</v>
      </c>
    </row>
    <row r="76" spans="1:9" x14ac:dyDescent="0.2">
      <c r="A76" s="1" t="s">
        <v>54</v>
      </c>
    </row>
    <row r="78" spans="1:9" x14ac:dyDescent="0.2">
      <c r="A78" t="s">
        <v>20</v>
      </c>
      <c r="H78" t="s">
        <v>49</v>
      </c>
      <c r="I78" s="13">
        <v>6.3232999999999996E-3</v>
      </c>
    </row>
    <row r="79" spans="1:9" x14ac:dyDescent="0.2">
      <c r="A79" t="s">
        <v>21</v>
      </c>
      <c r="C79" s="7">
        <v>20000</v>
      </c>
      <c r="H79" t="s">
        <v>50</v>
      </c>
      <c r="I79" s="15">
        <v>0</v>
      </c>
    </row>
    <row r="80" spans="1:9" x14ac:dyDescent="0.2">
      <c r="A80" t="s">
        <v>22</v>
      </c>
      <c r="C80" s="11">
        <v>2.9413999999999998</v>
      </c>
      <c r="H80" t="s">
        <v>51</v>
      </c>
      <c r="I80" s="14">
        <f>I78+I79</f>
        <v>6.3232999999999996E-3</v>
      </c>
    </row>
    <row r="81" spans="1:9" x14ac:dyDescent="0.2">
      <c r="A81" t="s">
        <v>35</v>
      </c>
      <c r="C81" s="5">
        <v>-9.8799999999999999E-2</v>
      </c>
    </row>
    <row r="82" spans="1:9" x14ac:dyDescent="0.2">
      <c r="H82" t="s">
        <v>48</v>
      </c>
      <c r="I82" s="7">
        <f>I59</f>
        <v>162470</v>
      </c>
    </row>
    <row r="83" spans="1:9" x14ac:dyDescent="0.2">
      <c r="A83" t="s">
        <v>36</v>
      </c>
      <c r="C83" s="8">
        <f>ROUND(C79*C80,2)</f>
        <v>58828</v>
      </c>
      <c r="H83" t="s">
        <v>47</v>
      </c>
      <c r="I83" s="16">
        <f>ROUND(I82*I80,0)</f>
        <v>1027</v>
      </c>
    </row>
    <row r="84" spans="1:9" x14ac:dyDescent="0.2">
      <c r="A84" t="s">
        <v>34</v>
      </c>
      <c r="C84" s="12">
        <f>ROUND(C79*C81,2)</f>
        <v>-1976</v>
      </c>
      <c r="H84" t="s">
        <v>52</v>
      </c>
      <c r="I84" s="7">
        <f>I82-I83</f>
        <v>161443</v>
      </c>
    </row>
    <row r="85" spans="1:9" x14ac:dyDescent="0.2">
      <c r="A85" t="s">
        <v>37</v>
      </c>
      <c r="C85" s="8">
        <f>C83+C84</f>
        <v>56852</v>
      </c>
    </row>
    <row r="86" spans="1:9" x14ac:dyDescent="0.2">
      <c r="C86" s="8"/>
    </row>
    <row r="87" spans="1:9" x14ac:dyDescent="0.2">
      <c r="A87" t="s">
        <v>29</v>
      </c>
      <c r="C87" s="7">
        <v>104306</v>
      </c>
    </row>
    <row r="88" spans="1:9" x14ac:dyDescent="0.2">
      <c r="A88" t="s">
        <v>30</v>
      </c>
      <c r="C88" s="12">
        <v>-0.01</v>
      </c>
    </row>
    <row r="89" spans="1:9" x14ac:dyDescent="0.2">
      <c r="A89" t="s">
        <v>31</v>
      </c>
      <c r="C89" s="8">
        <f>ROUND(C87*C88,2)</f>
        <v>-1043.06</v>
      </c>
    </row>
    <row r="91" spans="1:9" x14ac:dyDescent="0.2">
      <c r="A91" t="s">
        <v>32</v>
      </c>
      <c r="C91" s="8">
        <f>C83+C89</f>
        <v>57784.94</v>
      </c>
    </row>
    <row r="93" spans="1:9" x14ac:dyDescent="0.2">
      <c r="A93" t="s">
        <v>25</v>
      </c>
    </row>
    <row r="94" spans="1:9" x14ac:dyDescent="0.2">
      <c r="A94" t="s">
        <v>38</v>
      </c>
      <c r="C94" s="5">
        <v>2.5999999999999999E-3</v>
      </c>
    </row>
    <row r="95" spans="1:9" x14ac:dyDescent="0.2">
      <c r="A95" t="s">
        <v>39</v>
      </c>
      <c r="C95" s="5">
        <v>2.2000000000000001E-3</v>
      </c>
    </row>
    <row r="96" spans="1:9" x14ac:dyDescent="0.2">
      <c r="A96" t="s">
        <v>40</v>
      </c>
      <c r="C96" s="6">
        <v>7.0000000000000001E-3</v>
      </c>
    </row>
    <row r="97" spans="1:6" x14ac:dyDescent="0.2">
      <c r="A97" t="s">
        <v>41</v>
      </c>
      <c r="C97" s="5">
        <f>SUM(C94:C96)</f>
        <v>1.1800000000000001E-2</v>
      </c>
    </row>
    <row r="98" spans="1:6" x14ac:dyDescent="0.2">
      <c r="C98" s="11"/>
    </row>
    <row r="99" spans="1:6" x14ac:dyDescent="0.2">
      <c r="A99" t="s">
        <v>42</v>
      </c>
      <c r="C99" s="7">
        <f>I84</f>
        <v>161443</v>
      </c>
    </row>
    <row r="101" spans="1:6" x14ac:dyDescent="0.2">
      <c r="A101" t="s">
        <v>28</v>
      </c>
      <c r="C101" s="8">
        <f>ROUND(C97*C99,2)</f>
        <v>1905.03</v>
      </c>
    </row>
    <row r="103" spans="1:6" x14ac:dyDescent="0.2">
      <c r="A103" t="s">
        <v>53</v>
      </c>
      <c r="F103" s="8">
        <f>C91+C101</f>
        <v>59689.97</v>
      </c>
    </row>
    <row r="105" spans="1:6" x14ac:dyDescent="0.2">
      <c r="A105" s="2" t="s">
        <v>55</v>
      </c>
      <c r="F105" s="8">
        <f>F74+F103</f>
        <v>110527.92</v>
      </c>
    </row>
    <row r="107" spans="1:6" ht="15.75" x14ac:dyDescent="0.25">
      <c r="A107" s="3" t="s">
        <v>65</v>
      </c>
    </row>
    <row r="109" spans="1:6" x14ac:dyDescent="0.2">
      <c r="A109" s="1" t="s">
        <v>66</v>
      </c>
    </row>
    <row r="111" spans="1:6" x14ac:dyDescent="0.2">
      <c r="A111" t="s">
        <v>20</v>
      </c>
    </row>
    <row r="112" spans="1:6" x14ac:dyDescent="0.2">
      <c r="A112" t="s">
        <v>21</v>
      </c>
      <c r="C112" s="7">
        <v>28679</v>
      </c>
    </row>
    <row r="113" spans="1:6" x14ac:dyDescent="0.2">
      <c r="A113" t="s">
        <v>22</v>
      </c>
      <c r="C113" s="11">
        <v>3.1076000000000001</v>
      </c>
    </row>
    <row r="114" spans="1:6" x14ac:dyDescent="0.2">
      <c r="A114" t="s">
        <v>35</v>
      </c>
      <c r="C114" s="5">
        <v>0</v>
      </c>
    </row>
    <row r="116" spans="1:6" x14ac:dyDescent="0.2">
      <c r="A116" t="s">
        <v>36</v>
      </c>
      <c r="C116" s="8">
        <f>ROUND(C112*C113,2)</f>
        <v>89122.86</v>
      </c>
    </row>
    <row r="117" spans="1:6" x14ac:dyDescent="0.2">
      <c r="A117" t="s">
        <v>34</v>
      </c>
      <c r="C117" s="12">
        <f>ROUND(C112*C114,2)</f>
        <v>0</v>
      </c>
    </row>
    <row r="118" spans="1:6" x14ac:dyDescent="0.2">
      <c r="A118" t="s">
        <v>37</v>
      </c>
      <c r="C118" s="8">
        <f>C116+C117</f>
        <v>89122.86</v>
      </c>
    </row>
    <row r="120" spans="1:6" x14ac:dyDescent="0.2">
      <c r="A120" t="s">
        <v>25</v>
      </c>
    </row>
    <row r="121" spans="1:6" x14ac:dyDescent="0.2">
      <c r="A121" t="s">
        <v>38</v>
      </c>
      <c r="C121" s="5">
        <v>2.4500000000000001E-2</v>
      </c>
      <c r="F121" s="8"/>
    </row>
    <row r="122" spans="1:6" x14ac:dyDescent="0.2">
      <c r="A122" t="s">
        <v>39</v>
      </c>
      <c r="C122" s="5">
        <v>0</v>
      </c>
    </row>
    <row r="123" spans="1:6" x14ac:dyDescent="0.2">
      <c r="A123" t="s">
        <v>40</v>
      </c>
      <c r="C123" s="6">
        <v>0</v>
      </c>
      <c r="F123" s="8"/>
    </row>
    <row r="124" spans="1:6" x14ac:dyDescent="0.2">
      <c r="A124" t="s">
        <v>41</v>
      </c>
      <c r="C124" s="5">
        <f>SUM(C121:C123)</f>
        <v>2.4500000000000001E-2</v>
      </c>
    </row>
    <row r="125" spans="1:6" x14ac:dyDescent="0.2">
      <c r="C125" s="11"/>
      <c r="F125" s="8"/>
    </row>
    <row r="126" spans="1:6" x14ac:dyDescent="0.2">
      <c r="A126" t="s">
        <v>67</v>
      </c>
      <c r="C126" s="7">
        <v>41354</v>
      </c>
    </row>
    <row r="128" spans="1:6" x14ac:dyDescent="0.2">
      <c r="A128" t="s">
        <v>28</v>
      </c>
      <c r="C128" s="8">
        <f>ROUND(C124*C126,2)</f>
        <v>1013.17</v>
      </c>
    </row>
    <row r="130" spans="1:6" x14ac:dyDescent="0.2">
      <c r="A130" t="s">
        <v>33</v>
      </c>
      <c r="F130" s="8">
        <f>C118+C128</f>
        <v>90136.03</v>
      </c>
    </row>
    <row r="133" spans="1:6" x14ac:dyDescent="0.2">
      <c r="A133" s="1" t="s">
        <v>68</v>
      </c>
    </row>
    <row r="135" spans="1:6" x14ac:dyDescent="0.2">
      <c r="A135" t="s">
        <v>20</v>
      </c>
    </row>
    <row r="136" spans="1:6" x14ac:dyDescent="0.2">
      <c r="A136" t="s">
        <v>21</v>
      </c>
      <c r="C136" s="7">
        <v>28219</v>
      </c>
    </row>
    <row r="137" spans="1:6" x14ac:dyDescent="0.2">
      <c r="A137" t="s">
        <v>70</v>
      </c>
      <c r="C137" s="7">
        <v>747811</v>
      </c>
    </row>
    <row r="138" spans="1:6" x14ac:dyDescent="0.2">
      <c r="C138" s="7"/>
    </row>
    <row r="139" spans="1:6" x14ac:dyDescent="0.2">
      <c r="A139" t="s">
        <v>71</v>
      </c>
      <c r="C139" s="5">
        <v>1.5620000000000001</v>
      </c>
    </row>
    <row r="140" spans="1:6" x14ac:dyDescent="0.2">
      <c r="A140" t="s">
        <v>72</v>
      </c>
      <c r="C140" s="5">
        <v>5.8999999999999997E-2</v>
      </c>
    </row>
    <row r="142" spans="1:6" x14ac:dyDescent="0.2">
      <c r="A142" t="s">
        <v>36</v>
      </c>
      <c r="C142" s="8">
        <f>ROUND(C136*C139,2)</f>
        <v>44078.080000000002</v>
      </c>
    </row>
    <row r="143" spans="1:6" x14ac:dyDescent="0.2">
      <c r="A143" t="s">
        <v>73</v>
      </c>
      <c r="C143" s="12">
        <f>ROUND(C137*C140,2)</f>
        <v>44120.85</v>
      </c>
    </row>
    <row r="144" spans="1:6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74</v>
      </c>
      <c r="C147" s="5">
        <v>0.02</v>
      </c>
    </row>
    <row r="148" spans="1:6" x14ac:dyDescent="0.2">
      <c r="C148" s="11"/>
    </row>
    <row r="149" spans="1:6" x14ac:dyDescent="0.2">
      <c r="A149" t="s">
        <v>67</v>
      </c>
      <c r="C149" s="7">
        <v>40300</v>
      </c>
    </row>
    <row r="151" spans="1:6" x14ac:dyDescent="0.2">
      <c r="A151" t="s">
        <v>28</v>
      </c>
      <c r="C151" s="8">
        <f>ROUND(C147*C149,2)</f>
        <v>806</v>
      </c>
    </row>
    <row r="153" spans="1:6" x14ac:dyDescent="0.2">
      <c r="A153" t="s">
        <v>69</v>
      </c>
      <c r="F153" s="8">
        <f>C144+C151</f>
        <v>89004.93</v>
      </c>
    </row>
    <row r="155" spans="1:6" x14ac:dyDescent="0.2">
      <c r="A155" s="2" t="s">
        <v>75</v>
      </c>
      <c r="F155" s="8">
        <f>F130+F153</f>
        <v>179140.96</v>
      </c>
    </row>
    <row r="158" spans="1:6" ht="15.75" x14ac:dyDescent="0.25">
      <c r="A158" s="17" t="s">
        <v>76</v>
      </c>
      <c r="F158" s="8">
        <f>F46+F105+F155</f>
        <v>911548.08</v>
      </c>
    </row>
    <row r="160" spans="1:6" ht="15.75" x14ac:dyDescent="0.25">
      <c r="A160" s="17" t="s">
        <v>58</v>
      </c>
      <c r="F160" s="8">
        <v>920816.65</v>
      </c>
    </row>
    <row r="162" spans="1:6" ht="15.75" x14ac:dyDescent="0.25">
      <c r="A162" s="17" t="s">
        <v>59</v>
      </c>
      <c r="F162" s="8">
        <f>F158-F160</f>
        <v>-9268.5700000000652</v>
      </c>
    </row>
  </sheetData>
  <pageMargins left="0.75" right="0" top="0.5" bottom="0.5" header="0.25" footer="0.25"/>
  <pageSetup scale="85" orientation="portrait" r:id="rId1"/>
  <headerFooter alignWithMargins="0"/>
  <rowBreaks count="2" manualBreakCount="2">
    <brk id="46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workbookViewId="0">
      <selection activeCell="A92" sqref="A92:IV92"/>
    </sheetView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  <col min="12" max="12" width="6.33203125" customWidth="1"/>
    <col min="14" max="14" width="10.33203125" customWidth="1"/>
    <col min="15" max="15" width="13" customWidth="1"/>
  </cols>
  <sheetData>
    <row r="1" spans="1:15" ht="18" x14ac:dyDescent="0.25">
      <c r="A1" s="18" t="s">
        <v>60</v>
      </c>
    </row>
    <row r="2" spans="1:15" ht="18" x14ac:dyDescent="0.25">
      <c r="A2" s="18" t="s">
        <v>61</v>
      </c>
    </row>
    <row r="3" spans="1:15" ht="18" x14ac:dyDescent="0.25">
      <c r="A3" s="18" t="s">
        <v>62</v>
      </c>
    </row>
    <row r="7" spans="1:15" ht="15.75" x14ac:dyDescent="0.25">
      <c r="A7" s="3" t="s">
        <v>0</v>
      </c>
    </row>
    <row r="8" spans="1:15" ht="15.75" x14ac:dyDescent="0.25">
      <c r="A8" s="3"/>
      <c r="L8" s="9" t="s">
        <v>86</v>
      </c>
      <c r="M8" s="9" t="s">
        <v>87</v>
      </c>
      <c r="N8" s="9" t="s">
        <v>88</v>
      </c>
      <c r="O8" s="9" t="s">
        <v>89</v>
      </c>
    </row>
    <row r="9" spans="1:15" x14ac:dyDescent="0.2">
      <c r="A9" s="2" t="s">
        <v>78</v>
      </c>
      <c r="L9">
        <v>1</v>
      </c>
      <c r="M9">
        <v>1000</v>
      </c>
      <c r="N9" s="19">
        <v>2.68</v>
      </c>
      <c r="O9" s="8">
        <f>ROUND(M9*N9,2)</f>
        <v>2680</v>
      </c>
    </row>
    <row r="10" spans="1:15" x14ac:dyDescent="0.2">
      <c r="A10" s="2"/>
      <c r="L10">
        <v>2</v>
      </c>
      <c r="M10">
        <v>1000</v>
      </c>
      <c r="N10" s="19">
        <v>2.62</v>
      </c>
      <c r="O10" s="8">
        <f t="shared" ref="O10:O38" si="0">ROUND(M10*N10,2)</f>
        <v>2620</v>
      </c>
    </row>
    <row r="11" spans="1:15" x14ac:dyDescent="0.2">
      <c r="A11" s="2"/>
      <c r="B11" s="1"/>
      <c r="L11">
        <v>3</v>
      </c>
      <c r="M11">
        <v>1000</v>
      </c>
      <c r="N11" s="19">
        <v>2.62</v>
      </c>
      <c r="O11" s="8">
        <f t="shared" si="0"/>
        <v>2620</v>
      </c>
    </row>
    <row r="12" spans="1:15" x14ac:dyDescent="0.2">
      <c r="A12" s="2"/>
      <c r="B12" s="4" t="s">
        <v>1</v>
      </c>
      <c r="L12">
        <v>4</v>
      </c>
      <c r="M12">
        <v>1000</v>
      </c>
      <c r="N12" s="19">
        <v>2.62</v>
      </c>
      <c r="O12" s="8">
        <f t="shared" si="0"/>
        <v>2620</v>
      </c>
    </row>
    <row r="13" spans="1:15" x14ac:dyDescent="0.2">
      <c r="B13" t="s">
        <v>2</v>
      </c>
      <c r="E13" s="5">
        <v>2.4300000000000002</v>
      </c>
      <c r="L13">
        <v>5</v>
      </c>
      <c r="M13">
        <v>1000</v>
      </c>
      <c r="N13" s="19">
        <v>2.76</v>
      </c>
      <c r="O13" s="8">
        <f t="shared" si="0"/>
        <v>2760</v>
      </c>
    </row>
    <row r="14" spans="1:15" x14ac:dyDescent="0.2">
      <c r="B14" t="s">
        <v>3</v>
      </c>
      <c r="E14" s="6">
        <v>-1.2500000000000001E-2</v>
      </c>
      <c r="L14">
        <v>6</v>
      </c>
      <c r="M14">
        <v>1000</v>
      </c>
      <c r="N14" s="19">
        <v>2.84</v>
      </c>
      <c r="O14" s="8">
        <f t="shared" si="0"/>
        <v>2840</v>
      </c>
    </row>
    <row r="15" spans="1:15" x14ac:dyDescent="0.2">
      <c r="E15" s="5">
        <f>SUM(E13:E14)</f>
        <v>2.4175</v>
      </c>
      <c r="L15">
        <v>7</v>
      </c>
      <c r="M15">
        <v>3000</v>
      </c>
      <c r="N15" s="19">
        <v>2.57</v>
      </c>
      <c r="O15" s="8">
        <f t="shared" si="0"/>
        <v>7710</v>
      </c>
    </row>
    <row r="16" spans="1:15" x14ac:dyDescent="0.2">
      <c r="L16">
        <v>8</v>
      </c>
      <c r="M16">
        <v>3000</v>
      </c>
      <c r="N16" s="19">
        <v>2.2050000000000001</v>
      </c>
      <c r="O16" s="8">
        <f t="shared" si="0"/>
        <v>6615</v>
      </c>
    </row>
    <row r="17" spans="1:15" x14ac:dyDescent="0.2">
      <c r="L17">
        <v>9</v>
      </c>
      <c r="M17">
        <v>3000</v>
      </c>
      <c r="N17" s="19">
        <v>1.625</v>
      </c>
      <c r="O17" s="8">
        <f t="shared" si="0"/>
        <v>4875</v>
      </c>
    </row>
    <row r="18" spans="1:15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  <c r="L18">
        <v>10</v>
      </c>
      <c r="M18">
        <v>3000</v>
      </c>
      <c r="N18" s="19">
        <v>1.625</v>
      </c>
      <c r="O18" s="8">
        <f t="shared" si="0"/>
        <v>4875</v>
      </c>
    </row>
    <row r="19" spans="1:15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  <c r="L19">
        <v>11</v>
      </c>
      <c r="M19">
        <v>3000</v>
      </c>
      <c r="N19" s="19">
        <v>1.625</v>
      </c>
      <c r="O19" s="8">
        <f t="shared" si="0"/>
        <v>4875</v>
      </c>
    </row>
    <row r="20" spans="1:15" x14ac:dyDescent="0.2">
      <c r="B20" s="7">
        <v>2600</v>
      </c>
      <c r="C20" s="7">
        <v>30</v>
      </c>
      <c r="D20" s="7">
        <f>B20*C20</f>
        <v>78000</v>
      </c>
      <c r="E20" s="5">
        <f>E15</f>
        <v>2.4175</v>
      </c>
      <c r="F20" s="8">
        <f>ROUND(D20*E20,2)</f>
        <v>188565</v>
      </c>
      <c r="L20">
        <v>12</v>
      </c>
      <c r="M20">
        <v>3000</v>
      </c>
      <c r="N20" s="19">
        <v>2.2200000000000002</v>
      </c>
      <c r="O20" s="8">
        <f t="shared" si="0"/>
        <v>6660</v>
      </c>
    </row>
    <row r="21" spans="1:15" x14ac:dyDescent="0.2">
      <c r="L21">
        <v>13</v>
      </c>
      <c r="M21">
        <v>3000</v>
      </c>
      <c r="N21" s="19">
        <v>2.4950000000000001</v>
      </c>
      <c r="O21" s="8">
        <f t="shared" si="0"/>
        <v>7485</v>
      </c>
    </row>
    <row r="22" spans="1:15" x14ac:dyDescent="0.2">
      <c r="L22">
        <v>14</v>
      </c>
      <c r="M22">
        <v>1500</v>
      </c>
      <c r="N22" s="19">
        <v>2.855</v>
      </c>
      <c r="O22" s="8">
        <f t="shared" si="0"/>
        <v>4282.5</v>
      </c>
    </row>
    <row r="23" spans="1:15" x14ac:dyDescent="0.2">
      <c r="A23" s="2" t="s">
        <v>79</v>
      </c>
      <c r="L23">
        <v>15</v>
      </c>
      <c r="M23">
        <v>1500</v>
      </c>
      <c r="N23" s="19">
        <v>2.8849999999999998</v>
      </c>
      <c r="O23" s="8">
        <f t="shared" si="0"/>
        <v>4327.5</v>
      </c>
    </row>
    <row r="24" spans="1:15" x14ac:dyDescent="0.2">
      <c r="L24">
        <v>16</v>
      </c>
      <c r="M24">
        <v>1500</v>
      </c>
      <c r="N24" s="19">
        <v>2.2599999999999998</v>
      </c>
      <c r="O24" s="8">
        <f t="shared" si="0"/>
        <v>3390</v>
      </c>
    </row>
    <row r="25" spans="1:15" x14ac:dyDescent="0.2">
      <c r="D25" s="9" t="s">
        <v>14</v>
      </c>
      <c r="E25" s="9"/>
      <c r="F25" s="9"/>
      <c r="L25">
        <v>17</v>
      </c>
      <c r="M25">
        <v>1500</v>
      </c>
      <c r="N25" s="19">
        <v>2.2599999999999998</v>
      </c>
      <c r="O25" s="8">
        <f t="shared" si="0"/>
        <v>3390</v>
      </c>
    </row>
    <row r="26" spans="1:15" x14ac:dyDescent="0.2">
      <c r="D26" s="9" t="s">
        <v>15</v>
      </c>
      <c r="E26" s="9"/>
      <c r="F26" s="9" t="s">
        <v>16</v>
      </c>
      <c r="L26">
        <v>18</v>
      </c>
      <c r="M26">
        <v>1500</v>
      </c>
      <c r="N26" s="19">
        <v>2.2599999999999998</v>
      </c>
      <c r="O26" s="8">
        <f t="shared" si="0"/>
        <v>3390</v>
      </c>
    </row>
    <row r="27" spans="1:15" x14ac:dyDescent="0.2">
      <c r="D27" s="10" t="s">
        <v>9</v>
      </c>
      <c r="E27" s="10" t="s">
        <v>12</v>
      </c>
      <c r="F27" s="10" t="s">
        <v>11</v>
      </c>
      <c r="L27">
        <v>19</v>
      </c>
      <c r="M27">
        <v>1500</v>
      </c>
      <c r="N27" s="19">
        <v>3.07</v>
      </c>
      <c r="O27" s="8">
        <f t="shared" si="0"/>
        <v>4605</v>
      </c>
    </row>
    <row r="28" spans="1:15" x14ac:dyDescent="0.2">
      <c r="D28" s="7">
        <v>52499</v>
      </c>
      <c r="E28" s="5">
        <f>ROUND(F28/D28,4)</f>
        <v>2.3029999999999999</v>
      </c>
      <c r="F28" s="8">
        <f>O40</f>
        <v>120904.82</v>
      </c>
      <c r="L28">
        <v>20</v>
      </c>
      <c r="M28">
        <v>1500</v>
      </c>
      <c r="N28" s="19">
        <v>2.9950000000000001</v>
      </c>
      <c r="O28" s="8">
        <f t="shared" si="0"/>
        <v>4492.5</v>
      </c>
    </row>
    <row r="29" spans="1:15" x14ac:dyDescent="0.2">
      <c r="L29">
        <v>21</v>
      </c>
      <c r="M29">
        <v>1500</v>
      </c>
      <c r="N29" s="19">
        <v>2.5</v>
      </c>
      <c r="O29" s="8">
        <f t="shared" si="0"/>
        <v>3750</v>
      </c>
    </row>
    <row r="30" spans="1:15" x14ac:dyDescent="0.2">
      <c r="L30">
        <v>22</v>
      </c>
      <c r="M30">
        <v>1500</v>
      </c>
      <c r="N30" s="19">
        <v>2.19</v>
      </c>
      <c r="O30" s="8">
        <f t="shared" si="0"/>
        <v>3285</v>
      </c>
    </row>
    <row r="31" spans="1:15" x14ac:dyDescent="0.2">
      <c r="A31" s="2" t="s">
        <v>80</v>
      </c>
      <c r="L31">
        <v>23</v>
      </c>
      <c r="M31">
        <v>1500</v>
      </c>
      <c r="N31" s="19">
        <v>2.02</v>
      </c>
      <c r="O31" s="8">
        <f t="shared" si="0"/>
        <v>3030</v>
      </c>
    </row>
    <row r="32" spans="1:15" x14ac:dyDescent="0.2">
      <c r="A32" s="2"/>
      <c r="L32">
        <v>24</v>
      </c>
      <c r="M32">
        <v>1500</v>
      </c>
      <c r="N32" s="19">
        <v>2.02</v>
      </c>
      <c r="O32" s="8">
        <f t="shared" si="0"/>
        <v>3030</v>
      </c>
    </row>
    <row r="33" spans="1:15" x14ac:dyDescent="0.2">
      <c r="A33" s="2"/>
      <c r="B33" s="1"/>
      <c r="L33">
        <v>25</v>
      </c>
      <c r="M33">
        <v>1500</v>
      </c>
      <c r="N33" s="19">
        <v>2.02</v>
      </c>
      <c r="O33" s="8">
        <f t="shared" si="0"/>
        <v>3030</v>
      </c>
    </row>
    <row r="34" spans="1:15" x14ac:dyDescent="0.2">
      <c r="A34" s="2"/>
      <c r="B34" s="4" t="s">
        <v>1</v>
      </c>
      <c r="L34">
        <v>26</v>
      </c>
      <c r="M34">
        <v>1499</v>
      </c>
      <c r="N34" s="19">
        <v>2.68</v>
      </c>
      <c r="O34" s="8">
        <f t="shared" si="0"/>
        <v>4017.32</v>
      </c>
    </row>
    <row r="35" spans="1:15" x14ac:dyDescent="0.2">
      <c r="B35" t="s">
        <v>2</v>
      </c>
      <c r="E35" s="5">
        <v>2.4300000000000002</v>
      </c>
      <c r="L35">
        <v>27</v>
      </c>
      <c r="M35">
        <v>1500</v>
      </c>
      <c r="N35" s="19">
        <v>2.17</v>
      </c>
      <c r="O35" s="8">
        <f t="shared" si="0"/>
        <v>3255</v>
      </c>
    </row>
    <row r="36" spans="1:15" x14ac:dyDescent="0.2">
      <c r="B36" t="s">
        <v>3</v>
      </c>
      <c r="E36" s="6">
        <v>-1.2500000000000001E-2</v>
      </c>
      <c r="L36">
        <v>28</v>
      </c>
      <c r="M36">
        <v>1500</v>
      </c>
      <c r="N36" s="19">
        <v>2.33</v>
      </c>
      <c r="O36" s="8">
        <f t="shared" si="0"/>
        <v>3495</v>
      </c>
    </row>
    <row r="37" spans="1:15" x14ac:dyDescent="0.2">
      <c r="E37" s="5">
        <f>SUM(E35:E36)</f>
        <v>2.4175</v>
      </c>
      <c r="L37">
        <v>29</v>
      </c>
      <c r="M37">
        <v>1500</v>
      </c>
      <c r="N37" s="19">
        <v>2.2999999999999998</v>
      </c>
      <c r="O37" s="8">
        <f t="shared" si="0"/>
        <v>3450</v>
      </c>
    </row>
    <row r="38" spans="1:15" x14ac:dyDescent="0.2">
      <c r="L38">
        <v>30</v>
      </c>
      <c r="M38">
        <v>1500</v>
      </c>
      <c r="N38" s="19">
        <v>2.2999999999999998</v>
      </c>
      <c r="O38" s="8">
        <f t="shared" si="0"/>
        <v>3450</v>
      </c>
    </row>
    <row r="39" spans="1:15" x14ac:dyDescent="0.2">
      <c r="B39" s="9" t="s">
        <v>81</v>
      </c>
      <c r="D39" s="9" t="s">
        <v>84</v>
      </c>
      <c r="L39">
        <v>31</v>
      </c>
    </row>
    <row r="40" spans="1:15" x14ac:dyDescent="0.2">
      <c r="B40" s="9" t="s">
        <v>82</v>
      </c>
      <c r="C40" s="9" t="s">
        <v>6</v>
      </c>
      <c r="D40" s="9" t="s">
        <v>8</v>
      </c>
      <c r="E40" s="9"/>
      <c r="F40" s="9" t="s">
        <v>85</v>
      </c>
      <c r="M40">
        <f>SUM(M9:M39)</f>
        <v>52499</v>
      </c>
      <c r="N40" s="5">
        <f>ROUND(O40/M40,4)</f>
        <v>2.3029999999999999</v>
      </c>
      <c r="O40" s="8">
        <f>SUM(O9:O39)</f>
        <v>120904.82</v>
      </c>
    </row>
    <row r="41" spans="1:15" x14ac:dyDescent="0.2">
      <c r="B41" s="10" t="s">
        <v>83</v>
      </c>
      <c r="C41" s="10" t="s">
        <v>7</v>
      </c>
      <c r="D41" s="10" t="s">
        <v>83</v>
      </c>
      <c r="E41" s="10" t="s">
        <v>12</v>
      </c>
      <c r="F41" s="10" t="s">
        <v>11</v>
      </c>
    </row>
    <row r="42" spans="1:15" x14ac:dyDescent="0.2">
      <c r="B42" s="7">
        <v>5000</v>
      </c>
      <c r="C42" s="7">
        <v>30</v>
      </c>
      <c r="D42" s="7">
        <f>B42*C42</f>
        <v>150000</v>
      </c>
      <c r="E42" s="5">
        <f>E37</f>
        <v>2.4175</v>
      </c>
      <c r="F42" s="8">
        <f>ROUND(D42*E42,2)</f>
        <v>362625</v>
      </c>
    </row>
    <row r="43" spans="1:15" x14ac:dyDescent="0.2">
      <c r="B43" s="7"/>
      <c r="C43" s="7"/>
      <c r="D43" s="7"/>
      <c r="E43" s="5"/>
      <c r="F43" s="8"/>
    </row>
    <row r="44" spans="1:15" x14ac:dyDescent="0.2">
      <c r="B44" s="7"/>
      <c r="C44" s="7"/>
      <c r="D44" s="7"/>
      <c r="E44" s="5"/>
      <c r="F44" s="8"/>
    </row>
    <row r="46" spans="1:15" x14ac:dyDescent="0.2">
      <c r="A46" s="2" t="s">
        <v>77</v>
      </c>
      <c r="D46" s="7">
        <f>D20+D28+D42</f>
        <v>280499</v>
      </c>
      <c r="E46" s="11">
        <f>ROUND(F46/D46,3)</f>
        <v>2.3959999999999999</v>
      </c>
      <c r="F46" s="8">
        <f>F20+F28+F42</f>
        <v>672094.82000000007</v>
      </c>
    </row>
    <row r="48" spans="1:15" ht="15.75" x14ac:dyDescent="0.25">
      <c r="A48" s="3" t="s">
        <v>18</v>
      </c>
    </row>
    <row r="50" spans="1:9" x14ac:dyDescent="0.2">
      <c r="A50" s="1" t="s">
        <v>19</v>
      </c>
    </row>
    <row r="52" spans="1:9" x14ac:dyDescent="0.2">
      <c r="A52" t="s">
        <v>20</v>
      </c>
    </row>
    <row r="53" spans="1:9" x14ac:dyDescent="0.2">
      <c r="A53" t="s">
        <v>21</v>
      </c>
      <c r="C53" s="7">
        <v>20000</v>
      </c>
      <c r="H53" t="s">
        <v>44</v>
      </c>
      <c r="I53" s="13">
        <v>0</v>
      </c>
    </row>
    <row r="54" spans="1:9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2">
      <c r="A55" t="s">
        <v>23</v>
      </c>
      <c r="C55">
        <v>31</v>
      </c>
      <c r="H55" t="s">
        <v>45</v>
      </c>
      <c r="I55" s="14">
        <f>I53+I54</f>
        <v>7.8157000000000001E-3</v>
      </c>
    </row>
    <row r="57" spans="1:9" x14ac:dyDescent="0.2">
      <c r="A57" t="s">
        <v>24</v>
      </c>
      <c r="C57" s="8">
        <f>ROUND((C53*C54)*C55,2)</f>
        <v>46500</v>
      </c>
      <c r="H57" t="s">
        <v>46</v>
      </c>
      <c r="I57" s="7">
        <f>D46</f>
        <v>280499</v>
      </c>
    </row>
    <row r="58" spans="1:9" x14ac:dyDescent="0.2">
      <c r="C58" s="8"/>
      <c r="H58" t="s">
        <v>47</v>
      </c>
      <c r="I58" s="16">
        <f>ROUND(I57*I55,0)</f>
        <v>2192</v>
      </c>
    </row>
    <row r="59" spans="1:9" x14ac:dyDescent="0.2">
      <c r="A59" t="s">
        <v>29</v>
      </c>
      <c r="C59" s="7">
        <v>43014</v>
      </c>
      <c r="H59" t="s">
        <v>48</v>
      </c>
      <c r="I59" s="7">
        <f>I57-I58</f>
        <v>278307</v>
      </c>
    </row>
    <row r="60" spans="1:9" x14ac:dyDescent="0.2">
      <c r="A60" t="s">
        <v>30</v>
      </c>
      <c r="C60" s="12">
        <v>-0.01</v>
      </c>
    </row>
    <row r="61" spans="1:9" x14ac:dyDescent="0.2">
      <c r="A61" t="s">
        <v>31</v>
      </c>
      <c r="C61" s="8">
        <f>ROUND(C59*C60,2)</f>
        <v>-430.14</v>
      </c>
    </row>
    <row r="63" spans="1:9" x14ac:dyDescent="0.2">
      <c r="A63" t="s">
        <v>32</v>
      </c>
      <c r="C63" s="8">
        <f>C57+C61</f>
        <v>46069.86</v>
      </c>
    </row>
    <row r="65" spans="1:9" x14ac:dyDescent="0.2">
      <c r="A65" t="s">
        <v>25</v>
      </c>
    </row>
    <row r="66" spans="1:9" x14ac:dyDescent="0.2">
      <c r="A66" t="s">
        <v>26</v>
      </c>
      <c r="C66" s="7">
        <f>I59</f>
        <v>278307</v>
      </c>
    </row>
    <row r="67" spans="1:9" x14ac:dyDescent="0.2">
      <c r="C67" s="7"/>
    </row>
    <row r="68" spans="1:9" x14ac:dyDescent="0.2">
      <c r="A68" t="s">
        <v>27</v>
      </c>
      <c r="C68" s="5">
        <v>2.4500000000000001E-2</v>
      </c>
      <c r="E68" s="5"/>
    </row>
    <row r="69" spans="1:9" x14ac:dyDescent="0.2">
      <c r="A69" t="s">
        <v>63</v>
      </c>
      <c r="C69" s="6">
        <v>2.2000000000000001E-3</v>
      </c>
      <c r="E69" s="6"/>
    </row>
    <row r="70" spans="1:9" x14ac:dyDescent="0.2">
      <c r="A70" t="s">
        <v>64</v>
      </c>
      <c r="C70" s="5">
        <f>C68+C69</f>
        <v>2.6700000000000002E-2</v>
      </c>
      <c r="E70" s="5"/>
    </row>
    <row r="71" spans="1:9" x14ac:dyDescent="0.2">
      <c r="C71" s="5"/>
      <c r="E71" s="5"/>
    </row>
    <row r="72" spans="1:9" x14ac:dyDescent="0.2">
      <c r="A72" t="s">
        <v>28</v>
      </c>
      <c r="C72" s="8">
        <f>ROUND(C66*C70,2)</f>
        <v>7430.8</v>
      </c>
      <c r="E72" s="8"/>
    </row>
    <row r="74" spans="1:9" x14ac:dyDescent="0.2">
      <c r="A74" t="s">
        <v>33</v>
      </c>
      <c r="F74" s="8">
        <f>C63+C72</f>
        <v>53500.66</v>
      </c>
    </row>
    <row r="76" spans="1:9" x14ac:dyDescent="0.2">
      <c r="A76" s="1" t="s">
        <v>54</v>
      </c>
    </row>
    <row r="78" spans="1:9" x14ac:dyDescent="0.2">
      <c r="A78" t="s">
        <v>20</v>
      </c>
      <c r="H78" t="s">
        <v>49</v>
      </c>
      <c r="I78" s="13">
        <v>6.3232999999999996E-3</v>
      </c>
    </row>
    <row r="79" spans="1:9" x14ac:dyDescent="0.2">
      <c r="A79" t="s">
        <v>21</v>
      </c>
      <c r="C79" s="7">
        <v>20000</v>
      </c>
      <c r="H79" t="s">
        <v>50</v>
      </c>
      <c r="I79" s="15">
        <v>0</v>
      </c>
    </row>
    <row r="80" spans="1:9" x14ac:dyDescent="0.2">
      <c r="A80" t="s">
        <v>22</v>
      </c>
      <c r="C80" s="11">
        <v>2.9413999999999998</v>
      </c>
      <c r="H80" t="s">
        <v>51</v>
      </c>
      <c r="I80" s="14">
        <f>I78+I79</f>
        <v>6.3232999999999996E-3</v>
      </c>
    </row>
    <row r="81" spans="1:9" x14ac:dyDescent="0.2">
      <c r="A81" t="s">
        <v>35</v>
      </c>
      <c r="C81" s="5">
        <v>-9.8799999999999999E-2</v>
      </c>
    </row>
    <row r="82" spans="1:9" x14ac:dyDescent="0.2">
      <c r="H82" t="s">
        <v>48</v>
      </c>
      <c r="I82" s="7">
        <f>I59</f>
        <v>278307</v>
      </c>
    </row>
    <row r="83" spans="1:9" x14ac:dyDescent="0.2">
      <c r="A83" t="s">
        <v>36</v>
      </c>
      <c r="C83" s="8">
        <f>ROUND(C79*C80,2)</f>
        <v>58828</v>
      </c>
      <c r="H83" t="s">
        <v>47</v>
      </c>
      <c r="I83" s="16">
        <f>ROUND(I82*I80,0)</f>
        <v>1760</v>
      </c>
    </row>
    <row r="84" spans="1:9" x14ac:dyDescent="0.2">
      <c r="A84" t="s">
        <v>34</v>
      </c>
      <c r="C84" s="12">
        <f>ROUND(C79*C81,2)</f>
        <v>-1976</v>
      </c>
      <c r="H84" t="s">
        <v>52</v>
      </c>
      <c r="I84" s="7">
        <f>I82-I83</f>
        <v>276547</v>
      </c>
    </row>
    <row r="85" spans="1:9" x14ac:dyDescent="0.2">
      <c r="A85" t="s">
        <v>37</v>
      </c>
      <c r="C85" s="8">
        <f>C83+C84</f>
        <v>56852</v>
      </c>
    </row>
    <row r="86" spans="1:9" x14ac:dyDescent="0.2">
      <c r="C86" s="8"/>
    </row>
    <row r="87" spans="1:9" x14ac:dyDescent="0.2">
      <c r="A87" t="s">
        <v>29</v>
      </c>
      <c r="C87" s="7">
        <v>104306</v>
      </c>
    </row>
    <row r="88" spans="1:9" x14ac:dyDescent="0.2">
      <c r="A88" t="s">
        <v>30</v>
      </c>
      <c r="C88" s="12">
        <v>-0.01</v>
      </c>
    </row>
    <row r="89" spans="1:9" x14ac:dyDescent="0.2">
      <c r="A89" t="s">
        <v>31</v>
      </c>
      <c r="C89" s="8">
        <f>ROUND(C87*C88,2)</f>
        <v>-1043.06</v>
      </c>
    </row>
    <row r="91" spans="1:9" x14ac:dyDescent="0.2">
      <c r="A91" t="s">
        <v>32</v>
      </c>
      <c r="C91" s="8">
        <f>C83+C89</f>
        <v>57784.94</v>
      </c>
    </row>
    <row r="93" spans="1:9" x14ac:dyDescent="0.2">
      <c r="A93" t="s">
        <v>25</v>
      </c>
    </row>
    <row r="94" spans="1:9" x14ac:dyDescent="0.2">
      <c r="A94" t="s">
        <v>38</v>
      </c>
      <c r="C94" s="5">
        <v>2.5999999999999999E-3</v>
      </c>
    </row>
    <row r="95" spans="1:9" x14ac:dyDescent="0.2">
      <c r="A95" t="s">
        <v>39</v>
      </c>
      <c r="C95" s="5">
        <v>2.2000000000000001E-3</v>
      </c>
    </row>
    <row r="96" spans="1:9" x14ac:dyDescent="0.2">
      <c r="A96" t="s">
        <v>40</v>
      </c>
      <c r="C96" s="6">
        <v>7.0000000000000001E-3</v>
      </c>
    </row>
    <row r="97" spans="1:6" x14ac:dyDescent="0.2">
      <c r="A97" t="s">
        <v>41</v>
      </c>
      <c r="C97" s="5">
        <f>SUM(C94:C96)</f>
        <v>1.1800000000000001E-2</v>
      </c>
    </row>
    <row r="98" spans="1:6" x14ac:dyDescent="0.2">
      <c r="C98" s="11"/>
    </row>
    <row r="99" spans="1:6" x14ac:dyDescent="0.2">
      <c r="A99" t="s">
        <v>42</v>
      </c>
      <c r="C99" s="7">
        <f>I84</f>
        <v>276547</v>
      </c>
    </row>
    <row r="101" spans="1:6" x14ac:dyDescent="0.2">
      <c r="A101" t="s">
        <v>28</v>
      </c>
      <c r="C101" s="8">
        <f>ROUND(C97*C99,2)</f>
        <v>3263.25</v>
      </c>
    </row>
    <row r="103" spans="1:6" x14ac:dyDescent="0.2">
      <c r="A103" t="s">
        <v>53</v>
      </c>
      <c r="F103" s="8">
        <f>C91+C101</f>
        <v>61048.19</v>
      </c>
    </row>
    <row r="105" spans="1:6" x14ac:dyDescent="0.2">
      <c r="A105" s="2" t="s">
        <v>55</v>
      </c>
      <c r="F105" s="8">
        <f>F74+F103</f>
        <v>114548.85</v>
      </c>
    </row>
    <row r="107" spans="1:6" ht="15.75" x14ac:dyDescent="0.25">
      <c r="A107" s="3" t="s">
        <v>65</v>
      </c>
    </row>
    <row r="109" spans="1:6" x14ac:dyDescent="0.2">
      <c r="A109" s="1" t="s">
        <v>66</v>
      </c>
    </row>
    <row r="111" spans="1:6" x14ac:dyDescent="0.2">
      <c r="A111" t="s">
        <v>20</v>
      </c>
    </row>
    <row r="112" spans="1:6" x14ac:dyDescent="0.2">
      <c r="A112" t="s">
        <v>21</v>
      </c>
      <c r="C112" s="7">
        <v>28679</v>
      </c>
    </row>
    <row r="113" spans="1:8" x14ac:dyDescent="0.2">
      <c r="A113" t="s">
        <v>22</v>
      </c>
      <c r="C113" s="11">
        <v>2.9409999999999998</v>
      </c>
    </row>
    <row r="114" spans="1:8" x14ac:dyDescent="0.2">
      <c r="A114" t="s">
        <v>35</v>
      </c>
      <c r="C114" s="5">
        <v>0</v>
      </c>
    </row>
    <row r="116" spans="1:8" x14ac:dyDescent="0.2">
      <c r="A116" t="s">
        <v>36</v>
      </c>
      <c r="C116" s="8">
        <f>ROUND(C112*C113,2)</f>
        <v>84344.94</v>
      </c>
    </row>
    <row r="117" spans="1:8" x14ac:dyDescent="0.2">
      <c r="A117" t="s">
        <v>34</v>
      </c>
      <c r="C117" s="12">
        <f>ROUND(C112*C114,2)</f>
        <v>0</v>
      </c>
    </row>
    <row r="118" spans="1:8" x14ac:dyDescent="0.2">
      <c r="A118" t="s">
        <v>37</v>
      </c>
      <c r="C118" s="8">
        <f>C116+C117</f>
        <v>84344.94</v>
      </c>
    </row>
    <row r="120" spans="1:8" x14ac:dyDescent="0.2">
      <c r="A120" t="s">
        <v>25</v>
      </c>
    </row>
    <row r="121" spans="1:8" x14ac:dyDescent="0.2">
      <c r="A121" t="s">
        <v>38</v>
      </c>
      <c r="C121" s="5">
        <v>2.4500000000000001E-2</v>
      </c>
      <c r="F121" s="8"/>
    </row>
    <row r="122" spans="1:8" x14ac:dyDescent="0.2">
      <c r="A122" t="s">
        <v>39</v>
      </c>
      <c r="C122" s="5">
        <v>0</v>
      </c>
      <c r="H122">
        <f>4732*30</f>
        <v>141960</v>
      </c>
    </row>
    <row r="123" spans="1:8" x14ac:dyDescent="0.2">
      <c r="A123" t="s">
        <v>40</v>
      </c>
      <c r="C123" s="6">
        <v>0</v>
      </c>
      <c r="F123" s="8"/>
      <c r="H123">
        <f>5000-268</f>
        <v>4732</v>
      </c>
    </row>
    <row r="124" spans="1:8" x14ac:dyDescent="0.2">
      <c r="A124" t="s">
        <v>41</v>
      </c>
      <c r="C124" s="5">
        <f>SUM(C121:C123)</f>
        <v>2.4500000000000001E-2</v>
      </c>
    </row>
    <row r="125" spans="1:8" x14ac:dyDescent="0.2">
      <c r="C125" s="11"/>
      <c r="F125" s="8"/>
      <c r="H125">
        <f>5000*0.0536</f>
        <v>268</v>
      </c>
    </row>
    <row r="126" spans="1:8" x14ac:dyDescent="0.2">
      <c r="A126" t="s">
        <v>67</v>
      </c>
      <c r="C126" s="7">
        <v>141960</v>
      </c>
      <c r="H126">
        <f>0.0063+0.0107+0.0366</f>
        <v>5.3600000000000002E-2</v>
      </c>
    </row>
    <row r="128" spans="1:8" x14ac:dyDescent="0.2">
      <c r="A128" t="s">
        <v>28</v>
      </c>
      <c r="C128" s="8">
        <f>ROUND(C124*C126,2)</f>
        <v>3478.02</v>
      </c>
    </row>
    <row r="130" spans="1:8" x14ac:dyDescent="0.2">
      <c r="A130" t="s">
        <v>33</v>
      </c>
      <c r="F130" s="8">
        <f>C118+C128</f>
        <v>87822.96</v>
      </c>
    </row>
    <row r="133" spans="1:8" x14ac:dyDescent="0.2">
      <c r="A133" s="1" t="s">
        <v>68</v>
      </c>
      <c r="H133">
        <f>4732*0.0266</f>
        <v>125.87119999999999</v>
      </c>
    </row>
    <row r="134" spans="1:8" x14ac:dyDescent="0.2">
      <c r="H134">
        <f>4732-126</f>
        <v>4606</v>
      </c>
    </row>
    <row r="135" spans="1:8" x14ac:dyDescent="0.2">
      <c r="A135" t="s">
        <v>20</v>
      </c>
      <c r="H135">
        <f>4606*30</f>
        <v>138180</v>
      </c>
    </row>
    <row r="136" spans="1:8" x14ac:dyDescent="0.2">
      <c r="A136" t="s">
        <v>21</v>
      </c>
      <c r="C136" s="7">
        <v>28219</v>
      </c>
    </row>
    <row r="137" spans="1:8" x14ac:dyDescent="0.2">
      <c r="A137" t="s">
        <v>70</v>
      </c>
      <c r="C137" s="7">
        <v>747811</v>
      </c>
    </row>
    <row r="138" spans="1:8" x14ac:dyDescent="0.2">
      <c r="C138" s="7"/>
    </row>
    <row r="139" spans="1:8" x14ac:dyDescent="0.2">
      <c r="A139" t="s">
        <v>71</v>
      </c>
      <c r="C139" s="5">
        <v>1.5620000000000001</v>
      </c>
    </row>
    <row r="140" spans="1:8" x14ac:dyDescent="0.2">
      <c r="A140" t="s">
        <v>72</v>
      </c>
      <c r="C140" s="5">
        <v>5.8999999999999997E-2</v>
      </c>
    </row>
    <row r="142" spans="1:8" x14ac:dyDescent="0.2">
      <c r="A142" t="s">
        <v>36</v>
      </c>
      <c r="C142" s="8">
        <f>ROUND(C136*C139,2)</f>
        <v>44078.080000000002</v>
      </c>
    </row>
    <row r="143" spans="1:8" x14ac:dyDescent="0.2">
      <c r="A143" t="s">
        <v>73</v>
      </c>
      <c r="C143" s="12">
        <f>ROUND(C137*C140,2)</f>
        <v>44120.85</v>
      </c>
    </row>
    <row r="144" spans="1:8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74</v>
      </c>
      <c r="C147" s="5">
        <v>0.02</v>
      </c>
    </row>
    <row r="148" spans="1:6" x14ac:dyDescent="0.2">
      <c r="C148" s="11"/>
    </row>
    <row r="149" spans="1:6" x14ac:dyDescent="0.2">
      <c r="A149" t="s">
        <v>67</v>
      </c>
      <c r="C149" s="7">
        <v>138180</v>
      </c>
    </row>
    <row r="151" spans="1:6" x14ac:dyDescent="0.2">
      <c r="A151" t="s">
        <v>28</v>
      </c>
      <c r="C151" s="8">
        <f>ROUND(C147*C149,2)</f>
        <v>2763.6</v>
      </c>
    </row>
    <row r="153" spans="1:6" x14ac:dyDescent="0.2">
      <c r="A153" t="s">
        <v>69</v>
      </c>
      <c r="F153" s="8">
        <f>C144+C151</f>
        <v>90962.53</v>
      </c>
    </row>
    <row r="155" spans="1:6" x14ac:dyDescent="0.2">
      <c r="A155" s="2" t="s">
        <v>75</v>
      </c>
      <c r="F155" s="8">
        <f>F130+F153</f>
        <v>178785.49</v>
      </c>
    </row>
    <row r="158" spans="1:6" ht="15.75" x14ac:dyDescent="0.25">
      <c r="A158" s="17" t="s">
        <v>76</v>
      </c>
      <c r="F158" s="8">
        <f>F46+F105+F155</f>
        <v>965429.16</v>
      </c>
    </row>
    <row r="159" spans="1:6" x14ac:dyDescent="0.2">
      <c r="A159" s="1"/>
      <c r="F159" s="8"/>
    </row>
    <row r="160" spans="1:6" x14ac:dyDescent="0.2">
      <c r="A160" s="1" t="s">
        <v>90</v>
      </c>
      <c r="F160" s="12">
        <f>-C57</f>
        <v>-46500</v>
      </c>
    </row>
    <row r="161" spans="1:6" x14ac:dyDescent="0.2">
      <c r="A161" s="1"/>
      <c r="F161" s="8">
        <f>F158+F160</f>
        <v>918929.16</v>
      </c>
    </row>
    <row r="162" spans="1:6" x14ac:dyDescent="0.2">
      <c r="A162" s="1"/>
      <c r="F162" s="8"/>
    </row>
    <row r="164" spans="1:6" ht="15.75" x14ac:dyDescent="0.25">
      <c r="A164" s="17" t="s">
        <v>58</v>
      </c>
      <c r="F164" s="8">
        <v>958475.12</v>
      </c>
    </row>
    <row r="166" spans="1:6" ht="15.75" x14ac:dyDescent="0.25">
      <c r="A166" s="17" t="s">
        <v>59</v>
      </c>
      <c r="F166" s="8">
        <f>F161-F164</f>
        <v>-39545.959999999963</v>
      </c>
    </row>
  </sheetData>
  <pageMargins left="0.5" right="0.25" top="1" bottom="0.25" header="0.5" footer="0"/>
  <pageSetup scale="90" orientation="portrait" r:id="rId1"/>
  <headerFooter alignWithMargins="0"/>
  <rowBreaks count="2" manualBreakCount="2">
    <brk id="46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April01</vt:lpstr>
      <vt:lpstr>May01</vt:lpstr>
      <vt:lpstr>June01</vt:lpstr>
      <vt:lpstr>April01!Print_Area</vt:lpstr>
      <vt:lpstr>June01!Print_Area</vt:lpstr>
      <vt:lpstr>May01!Print_Area</vt:lpstr>
      <vt:lpstr>April01!Print_Titles</vt:lpstr>
      <vt:lpstr>June01!Print_Titles</vt:lpstr>
      <vt:lpstr>May01!Print_Titles</vt:lpstr>
    </vt:vector>
  </TitlesOfParts>
  <Company>ATMOS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 </dc:creator>
  <cp:lastModifiedBy>Felienne</cp:lastModifiedBy>
  <cp:lastPrinted>2001-07-31T20:48:26Z</cp:lastPrinted>
  <dcterms:created xsi:type="dcterms:W3CDTF">2001-05-23T19:26:19Z</dcterms:created>
  <dcterms:modified xsi:type="dcterms:W3CDTF">2014-09-04T09:47:08Z</dcterms:modified>
</cp:coreProperties>
</file>