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8135" windowHeight="11700"/>
  </bookViews>
  <sheets>
    <sheet name="Kennedy Summary" sheetId="1" r:id="rId1"/>
    <sheet name="Box Draw Detail" sheetId="2" r:id="rId2"/>
    <sheet name="S Kitty Detail" sheetId="3" r:id="rId3"/>
  </sheets>
  <externalReferences>
    <externalReference r:id="rId4"/>
    <externalReference r:id="rId5"/>
  </externalReferences>
  <definedNames>
    <definedName name="_xlnm.Print_Area" localSheetId="1">'Box Draw Detail'!$A$1:$W$60</definedName>
    <definedName name="_xlnm.Print_Area" localSheetId="0">'Kennedy Summary'!$A$1:$I$44</definedName>
    <definedName name="_xlnm.Print_Area" localSheetId="2">'S Kitty Detail'!$A$1:$W$61</definedName>
  </definedNames>
  <calcPr calcId="152511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D11" i="2"/>
  <c r="C11" i="2" s="1"/>
  <c r="C12" i="2" s="1"/>
  <c r="E11" i="2"/>
  <c r="B12" i="2"/>
  <c r="D12" i="2"/>
  <c r="E12" i="2"/>
  <c r="F15" i="2"/>
  <c r="D16" i="2"/>
  <c r="D17" i="2"/>
  <c r="E17" i="2"/>
  <c r="F17" i="2"/>
  <c r="D18" i="2"/>
  <c r="D19" i="2"/>
  <c r="D20" i="2"/>
  <c r="F20" i="2"/>
  <c r="F24" i="2"/>
  <c r="A26" i="2"/>
  <c r="B26" i="2"/>
  <c r="L26" i="2"/>
  <c r="O26" i="2"/>
  <c r="A27" i="2"/>
  <c r="B27" i="2"/>
  <c r="D27" i="2"/>
  <c r="J27" i="2"/>
  <c r="L27" i="2"/>
  <c r="N27" i="2"/>
  <c r="O27" i="2"/>
  <c r="F27" i="2" s="1"/>
  <c r="A28" i="2"/>
  <c r="B28" i="2"/>
  <c r="F28" i="2"/>
  <c r="L28" i="2"/>
  <c r="O28" i="2"/>
  <c r="N28" i="2" s="1"/>
  <c r="A29" i="2"/>
  <c r="B29" i="2"/>
  <c r="D29" i="2"/>
  <c r="J29" i="2"/>
  <c r="L29" i="2"/>
  <c r="N29" i="2"/>
  <c r="O29" i="2"/>
  <c r="F29" i="2" s="1"/>
  <c r="A30" i="2"/>
  <c r="B30" i="2"/>
  <c r="F30" i="2"/>
  <c r="L30" i="2"/>
  <c r="N30" i="2"/>
  <c r="O30" i="2"/>
  <c r="A31" i="2"/>
  <c r="B31" i="2"/>
  <c r="D31" i="2"/>
  <c r="J31" i="2"/>
  <c r="L31" i="2"/>
  <c r="N31" i="2"/>
  <c r="O31" i="2"/>
  <c r="F31" i="2" s="1"/>
  <c r="A32" i="2"/>
  <c r="B32" i="2"/>
  <c r="L32" i="2"/>
  <c r="O32" i="2"/>
  <c r="A33" i="2"/>
  <c r="B33" i="2"/>
  <c r="D33" i="2"/>
  <c r="J33" i="2"/>
  <c r="L33" i="2"/>
  <c r="N33" i="2"/>
  <c r="O33" i="2"/>
  <c r="F33" i="2" s="1"/>
  <c r="A34" i="2"/>
  <c r="B34" i="2"/>
  <c r="F34" i="2"/>
  <c r="L34" i="2"/>
  <c r="N34" i="2"/>
  <c r="O34" i="2"/>
  <c r="A35" i="2"/>
  <c r="B35" i="2"/>
  <c r="D35" i="2"/>
  <c r="J35" i="2"/>
  <c r="L35" i="2"/>
  <c r="N35" i="2"/>
  <c r="O35" i="2"/>
  <c r="F35" i="2" s="1"/>
  <c r="A36" i="2"/>
  <c r="B36" i="2"/>
  <c r="L36" i="2"/>
  <c r="O36" i="2"/>
  <c r="F36" i="2" s="1"/>
  <c r="A37" i="2"/>
  <c r="B37" i="2"/>
  <c r="D37" i="2"/>
  <c r="H37" i="2"/>
  <c r="J37" i="2"/>
  <c r="L37" i="2"/>
  <c r="N37" i="2"/>
  <c r="O37" i="2"/>
  <c r="F37" i="2" s="1"/>
  <c r="A38" i="2"/>
  <c r="B38" i="2"/>
  <c r="L38" i="2"/>
  <c r="O38" i="2"/>
  <c r="A39" i="2"/>
  <c r="B39" i="2"/>
  <c r="D39" i="2"/>
  <c r="H39" i="2"/>
  <c r="J39" i="2"/>
  <c r="L39" i="2"/>
  <c r="N39" i="2"/>
  <c r="O39" i="2"/>
  <c r="F39" i="2" s="1"/>
  <c r="A40" i="2"/>
  <c r="B40" i="2"/>
  <c r="F40" i="2"/>
  <c r="L40" i="2"/>
  <c r="O40" i="2"/>
  <c r="H40" i="2" s="1"/>
  <c r="A41" i="2"/>
  <c r="B41" i="2"/>
  <c r="D41" i="2"/>
  <c r="H41" i="2"/>
  <c r="J41" i="2"/>
  <c r="L41" i="2"/>
  <c r="N41" i="2"/>
  <c r="O41" i="2"/>
  <c r="F41" i="2" s="1"/>
  <c r="A42" i="2"/>
  <c r="B42" i="2"/>
  <c r="F42" i="2"/>
  <c r="L42" i="2"/>
  <c r="N42" i="2"/>
  <c r="O42" i="2"/>
  <c r="A43" i="2"/>
  <c r="B43" i="2"/>
  <c r="D43" i="2"/>
  <c r="H43" i="2"/>
  <c r="J43" i="2"/>
  <c r="L43" i="2"/>
  <c r="N43" i="2"/>
  <c r="O43" i="2"/>
  <c r="F43" i="2" s="1"/>
  <c r="A44" i="2"/>
  <c r="B44" i="2"/>
  <c r="L44" i="2"/>
  <c r="O44" i="2"/>
  <c r="A45" i="2"/>
  <c r="B45" i="2"/>
  <c r="D45" i="2"/>
  <c r="H45" i="2"/>
  <c r="J45" i="2"/>
  <c r="L45" i="2"/>
  <c r="N45" i="2"/>
  <c r="O45" i="2"/>
  <c r="F45" i="2" s="1"/>
  <c r="A46" i="2"/>
  <c r="B46" i="2"/>
  <c r="L46" i="2"/>
  <c r="O46" i="2"/>
  <c r="F46" i="2" s="1"/>
  <c r="A47" i="2"/>
  <c r="B47" i="2"/>
  <c r="D47" i="2"/>
  <c r="H47" i="2"/>
  <c r="J47" i="2"/>
  <c r="L47" i="2"/>
  <c r="N47" i="2"/>
  <c r="O47" i="2"/>
  <c r="F47" i="2" s="1"/>
  <c r="A48" i="2"/>
  <c r="B48" i="2"/>
  <c r="L48" i="2"/>
  <c r="O48" i="2"/>
  <c r="A49" i="2"/>
  <c r="B49" i="2"/>
  <c r="D49" i="2"/>
  <c r="H49" i="2"/>
  <c r="J49" i="2"/>
  <c r="L49" i="2"/>
  <c r="N49" i="2"/>
  <c r="O49" i="2"/>
  <c r="F49" i="2" s="1"/>
  <c r="A50" i="2"/>
  <c r="B50" i="2"/>
  <c r="F50" i="2"/>
  <c r="L50" i="2"/>
  <c r="N50" i="2"/>
  <c r="O50" i="2"/>
  <c r="H50" i="2" s="1"/>
  <c r="A51" i="2"/>
  <c r="B51" i="2"/>
  <c r="D51" i="2"/>
  <c r="H51" i="2"/>
  <c r="J51" i="2"/>
  <c r="L51" i="2"/>
  <c r="N51" i="2"/>
  <c r="O51" i="2"/>
  <c r="F51" i="2" s="1"/>
  <c r="A52" i="2"/>
  <c r="B52" i="2"/>
  <c r="F52" i="2"/>
  <c r="H52" i="2"/>
  <c r="L52" i="2"/>
  <c r="O52" i="2"/>
  <c r="N52" i="2" s="1"/>
  <c r="A53" i="2"/>
  <c r="B53" i="2"/>
  <c r="D53" i="2"/>
  <c r="H53" i="2"/>
  <c r="J53" i="2"/>
  <c r="L53" i="2"/>
  <c r="N53" i="2"/>
  <c r="O53" i="2"/>
  <c r="F53" i="2" s="1"/>
  <c r="A54" i="2"/>
  <c r="B54" i="2"/>
  <c r="F54" i="2"/>
  <c r="H54" i="2"/>
  <c r="L54" i="2"/>
  <c r="O54" i="2"/>
  <c r="J54" i="2" s="1"/>
  <c r="A55" i="2"/>
  <c r="B55" i="2"/>
  <c r="D55" i="2"/>
  <c r="H55" i="2"/>
  <c r="J55" i="2"/>
  <c r="L55" i="2"/>
  <c r="N55" i="2"/>
  <c r="O55" i="2"/>
  <c r="F55" i="2" s="1"/>
  <c r="M57" i="2"/>
  <c r="G3" i="1"/>
  <c r="A12" i="1"/>
  <c r="E15" i="1"/>
  <c r="E16" i="1"/>
  <c r="E18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S1" i="3"/>
  <c r="A2" i="3"/>
  <c r="C5" i="3"/>
  <c r="C6" i="3"/>
  <c r="C7" i="3"/>
  <c r="C8" i="3"/>
  <c r="B11" i="3"/>
  <c r="C11" i="3"/>
  <c r="D11" i="3"/>
  <c r="B12" i="3"/>
  <c r="C12" i="3"/>
  <c r="D12" i="3"/>
  <c r="F15" i="3"/>
  <c r="D16" i="3"/>
  <c r="D17" i="3"/>
  <c r="E17" i="3"/>
  <c r="F17" i="3"/>
  <c r="D18" i="3"/>
  <c r="D19" i="3"/>
  <c r="D20" i="3"/>
  <c r="F20" i="3"/>
  <c r="F24" i="3"/>
  <c r="A26" i="3"/>
  <c r="B26" i="3"/>
  <c r="F26" i="3"/>
  <c r="O26" i="3"/>
  <c r="D26" i="3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B27" i="3"/>
  <c r="L27" i="3"/>
  <c r="O27" i="3"/>
  <c r="N27" i="3" s="1"/>
  <c r="B28" i="3"/>
  <c r="H28" i="3"/>
  <c r="O28" i="3"/>
  <c r="N28" i="3" s="1"/>
  <c r="B29" i="3"/>
  <c r="D29" i="3"/>
  <c r="F29" i="3"/>
  <c r="J29" i="3"/>
  <c r="O29" i="3"/>
  <c r="N29" i="3" s="1"/>
  <c r="B30" i="3"/>
  <c r="D30" i="3"/>
  <c r="F30" i="3"/>
  <c r="J30" i="3"/>
  <c r="L30" i="3"/>
  <c r="O30" i="3"/>
  <c r="N30" i="3" s="1"/>
  <c r="B31" i="3"/>
  <c r="O31" i="3"/>
  <c r="B32" i="3"/>
  <c r="D32" i="3"/>
  <c r="O32" i="3"/>
  <c r="B33" i="3"/>
  <c r="D33" i="3"/>
  <c r="F33" i="3"/>
  <c r="H33" i="3"/>
  <c r="J33" i="3"/>
  <c r="O33" i="3"/>
  <c r="N33" i="3" s="1"/>
  <c r="B34" i="3"/>
  <c r="D34" i="3"/>
  <c r="F34" i="3"/>
  <c r="H34" i="3"/>
  <c r="J34" i="3"/>
  <c r="L34" i="3"/>
  <c r="O34" i="3"/>
  <c r="N34" i="3" s="1"/>
  <c r="B35" i="3"/>
  <c r="H35" i="3"/>
  <c r="L35" i="3"/>
  <c r="O35" i="3"/>
  <c r="B36" i="3"/>
  <c r="H36" i="3"/>
  <c r="O36" i="3"/>
  <c r="B37" i="3"/>
  <c r="H37" i="3"/>
  <c r="J37" i="3"/>
  <c r="O37" i="3"/>
  <c r="D37" i="3" s="1"/>
  <c r="B38" i="3"/>
  <c r="D38" i="3"/>
  <c r="F38" i="3"/>
  <c r="J38" i="3"/>
  <c r="L38" i="3"/>
  <c r="O38" i="3"/>
  <c r="N38" i="3" s="1"/>
  <c r="B39" i="3"/>
  <c r="H39" i="3"/>
  <c r="O39" i="3"/>
  <c r="F39" i="3" s="1"/>
  <c r="B40" i="3"/>
  <c r="D40" i="3"/>
  <c r="H40" i="3"/>
  <c r="J40" i="3"/>
  <c r="L40" i="3"/>
  <c r="O40" i="3"/>
  <c r="B41" i="3"/>
  <c r="D41" i="3"/>
  <c r="H41" i="3"/>
  <c r="J41" i="3"/>
  <c r="O41" i="3"/>
  <c r="F41" i="3" s="1"/>
  <c r="B42" i="3"/>
  <c r="D42" i="3"/>
  <c r="H42" i="3"/>
  <c r="J42" i="3"/>
  <c r="O42" i="3"/>
  <c r="L42" i="3" s="1"/>
  <c r="A43" i="3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B43" i="3"/>
  <c r="F43" i="3"/>
  <c r="J43" i="3"/>
  <c r="N43" i="3"/>
  <c r="O43" i="3"/>
  <c r="B44" i="3"/>
  <c r="O44" i="3"/>
  <c r="F44" i="3" s="1"/>
  <c r="B45" i="3"/>
  <c r="J45" i="3"/>
  <c r="O45" i="3"/>
  <c r="F45" i="3" s="1"/>
  <c r="B46" i="3"/>
  <c r="F46" i="3"/>
  <c r="J46" i="3"/>
  <c r="O46" i="3"/>
  <c r="B47" i="3"/>
  <c r="F47" i="3"/>
  <c r="J47" i="3"/>
  <c r="N47" i="3"/>
  <c r="O47" i="3"/>
  <c r="B48" i="3"/>
  <c r="O48" i="3"/>
  <c r="B49" i="3"/>
  <c r="J49" i="3"/>
  <c r="O49" i="3"/>
  <c r="B50" i="3"/>
  <c r="F50" i="3"/>
  <c r="J50" i="3"/>
  <c r="O50" i="3"/>
  <c r="B51" i="3"/>
  <c r="F51" i="3"/>
  <c r="J51" i="3"/>
  <c r="N51" i="3"/>
  <c r="O51" i="3"/>
  <c r="B52" i="3"/>
  <c r="O52" i="3"/>
  <c r="F52" i="3" s="1"/>
  <c r="B53" i="3"/>
  <c r="J53" i="3"/>
  <c r="O53" i="3"/>
  <c r="F53" i="3" s="1"/>
  <c r="B54" i="3"/>
  <c r="F54" i="3"/>
  <c r="J54" i="3"/>
  <c r="O54" i="3"/>
  <c r="B55" i="3"/>
  <c r="F55" i="3"/>
  <c r="J55" i="3"/>
  <c r="N55" i="3"/>
  <c r="O55" i="3"/>
  <c r="M57" i="3"/>
  <c r="D48" i="3" l="1"/>
  <c r="L48" i="3"/>
  <c r="H48" i="3"/>
  <c r="H49" i="3"/>
  <c r="D49" i="3"/>
  <c r="L49" i="3"/>
  <c r="N48" i="3"/>
  <c r="N36" i="3"/>
  <c r="F36" i="3"/>
  <c r="D50" i="3"/>
  <c r="L50" i="3"/>
  <c r="H50" i="3"/>
  <c r="N49" i="3"/>
  <c r="F37" i="3"/>
  <c r="L36" i="3"/>
  <c r="H51" i="3"/>
  <c r="D51" i="3"/>
  <c r="L51" i="3"/>
  <c r="N50" i="3"/>
  <c r="J48" i="3"/>
  <c r="H43" i="3"/>
  <c r="D43" i="3"/>
  <c r="L43" i="3"/>
  <c r="N42" i="3"/>
  <c r="N40" i="3"/>
  <c r="F40" i="3"/>
  <c r="J36" i="3"/>
  <c r="N35" i="3"/>
  <c r="D35" i="3"/>
  <c r="F35" i="3"/>
  <c r="J35" i="3"/>
  <c r="N32" i="3"/>
  <c r="L32" i="3"/>
  <c r="F32" i="3"/>
  <c r="D52" i="3"/>
  <c r="L52" i="3"/>
  <c r="H52" i="3"/>
  <c r="H45" i="3"/>
  <c r="D45" i="3"/>
  <c r="L45" i="3"/>
  <c r="J32" i="3"/>
  <c r="N31" i="3"/>
  <c r="J31" i="3"/>
  <c r="D31" i="3"/>
  <c r="F31" i="3"/>
  <c r="H53" i="3"/>
  <c r="D53" i="3"/>
  <c r="L53" i="3"/>
  <c r="N52" i="3"/>
  <c r="D44" i="3"/>
  <c r="L44" i="3"/>
  <c r="H44" i="3"/>
  <c r="N44" i="3"/>
  <c r="F33" i="1"/>
  <c r="E33" i="1" s="1"/>
  <c r="D54" i="3"/>
  <c r="L54" i="3"/>
  <c r="H54" i="3"/>
  <c r="N53" i="3"/>
  <c r="F48" i="3"/>
  <c r="D46" i="3"/>
  <c r="L46" i="3"/>
  <c r="H46" i="3"/>
  <c r="N45" i="3"/>
  <c r="N39" i="3"/>
  <c r="J39" i="3"/>
  <c r="D39" i="3"/>
  <c r="N37" i="3"/>
  <c r="L37" i="3"/>
  <c r="D36" i="3"/>
  <c r="H32" i="3"/>
  <c r="L31" i="3"/>
  <c r="H55" i="3"/>
  <c r="D55" i="3"/>
  <c r="L55" i="3"/>
  <c r="N54" i="3"/>
  <c r="J52" i="3"/>
  <c r="F49" i="3"/>
  <c r="H47" i="3"/>
  <c r="D47" i="3"/>
  <c r="L47" i="3"/>
  <c r="N46" i="3"/>
  <c r="J44" i="3"/>
  <c r="F42" i="3"/>
  <c r="N41" i="3"/>
  <c r="L41" i="3"/>
  <c r="L39" i="3"/>
  <c r="H31" i="3"/>
  <c r="L28" i="3"/>
  <c r="O57" i="3"/>
  <c r="I16" i="3" s="1"/>
  <c r="L29" i="3"/>
  <c r="J27" i="3"/>
  <c r="H26" i="3"/>
  <c r="F32" i="1"/>
  <c r="E32" i="1" s="1"/>
  <c r="J28" i="3"/>
  <c r="H27" i="3"/>
  <c r="H29" i="3"/>
  <c r="F27" i="3"/>
  <c r="F57" i="3" s="1"/>
  <c r="F28" i="1" s="1"/>
  <c r="E28" i="1" s="1"/>
  <c r="H38" i="3"/>
  <c r="L33" i="3"/>
  <c r="H30" i="3"/>
  <c r="F28" i="3"/>
  <c r="D27" i="3"/>
  <c r="D28" i="3"/>
  <c r="J26" i="3"/>
  <c r="N26" i="3"/>
  <c r="N57" i="3" s="1"/>
  <c r="L57" i="2"/>
  <c r="F26" i="1" s="1"/>
  <c r="E26" i="1" s="1"/>
  <c r="L26" i="3"/>
  <c r="O57" i="2"/>
  <c r="I16" i="2" s="1"/>
  <c r="J44" i="2"/>
  <c r="D44" i="2"/>
  <c r="H44" i="2"/>
  <c r="N44" i="2"/>
  <c r="F44" i="2"/>
  <c r="N54" i="2"/>
  <c r="J42" i="2"/>
  <c r="D42" i="2"/>
  <c r="J48" i="2"/>
  <c r="D48" i="2"/>
  <c r="H38" i="2"/>
  <c r="J38" i="2"/>
  <c r="D38" i="2"/>
  <c r="H30" i="2"/>
  <c r="J30" i="2"/>
  <c r="D30" i="2"/>
  <c r="F26" i="2"/>
  <c r="N48" i="2"/>
  <c r="H46" i="2"/>
  <c r="N38" i="2"/>
  <c r="H36" i="2"/>
  <c r="J36" i="2"/>
  <c r="D36" i="2"/>
  <c r="H32" i="2"/>
  <c r="J32" i="2"/>
  <c r="D32" i="2"/>
  <c r="J50" i="2"/>
  <c r="D50" i="2"/>
  <c r="H42" i="2"/>
  <c r="N36" i="2"/>
  <c r="H34" i="2"/>
  <c r="J34" i="2"/>
  <c r="D34" i="2"/>
  <c r="N32" i="2"/>
  <c r="H48" i="2"/>
  <c r="J40" i="2"/>
  <c r="D40" i="2"/>
  <c r="H26" i="2"/>
  <c r="J26" i="2"/>
  <c r="D26" i="2"/>
  <c r="J46" i="2"/>
  <c r="D46" i="2"/>
  <c r="N40" i="2"/>
  <c r="F38" i="2"/>
  <c r="N26" i="2"/>
  <c r="D54" i="2"/>
  <c r="J52" i="2"/>
  <c r="D52" i="2"/>
  <c r="F48" i="2"/>
  <c r="N46" i="2"/>
  <c r="F32" i="2"/>
  <c r="H28" i="2"/>
  <c r="J28" i="2"/>
  <c r="D28" i="2"/>
  <c r="H35" i="2"/>
  <c r="H33" i="2"/>
  <c r="H31" i="2"/>
  <c r="H29" i="2"/>
  <c r="H27" i="2"/>
  <c r="K16" i="3" l="1"/>
  <c r="I17" i="3"/>
  <c r="I17" i="2"/>
  <c r="K16" i="2"/>
  <c r="J57" i="2"/>
  <c r="F25" i="1" s="1"/>
  <c r="E25" i="1" s="1"/>
  <c r="D57" i="3"/>
  <c r="F27" i="1" s="1"/>
  <c r="E27" i="1" s="1"/>
  <c r="N57" i="2"/>
  <c r="H57" i="2"/>
  <c r="F24" i="1" s="1"/>
  <c r="E24" i="1" s="1"/>
  <c r="L57" i="3"/>
  <c r="F30" i="1" s="1"/>
  <c r="E30" i="1" s="1"/>
  <c r="J57" i="3"/>
  <c r="F31" i="1" s="1"/>
  <c r="E31" i="1" s="1"/>
  <c r="H57" i="3"/>
  <c r="F29" i="1" s="1"/>
  <c r="E29" i="1" s="1"/>
  <c r="F57" i="2"/>
  <c r="F23" i="1" s="1"/>
  <c r="E23" i="1" s="1"/>
  <c r="D57" i="2"/>
  <c r="F22" i="1" s="1"/>
  <c r="K17" i="2" l="1"/>
  <c r="I18" i="2"/>
  <c r="I18" i="3"/>
  <c r="K17" i="3"/>
  <c r="C28" i="3"/>
  <c r="P28" i="3" s="1"/>
  <c r="C27" i="1"/>
  <c r="C26" i="3"/>
  <c r="P26" i="3" s="1"/>
  <c r="C33" i="3"/>
  <c r="P33" i="3" s="1"/>
  <c r="C29" i="3"/>
  <c r="P29" i="3" s="1"/>
  <c r="C31" i="3"/>
  <c r="P31" i="3" s="1"/>
  <c r="C32" i="3"/>
  <c r="P32" i="3" s="1"/>
  <c r="C49" i="3"/>
  <c r="P49" i="3" s="1"/>
  <c r="C35" i="3"/>
  <c r="P35" i="3" s="1"/>
  <c r="C48" i="3"/>
  <c r="P48" i="3" s="1"/>
  <c r="C46" i="3"/>
  <c r="P46" i="3" s="1"/>
  <c r="C54" i="3"/>
  <c r="P54" i="3" s="1"/>
  <c r="C41" i="3"/>
  <c r="P41" i="3" s="1"/>
  <c r="C44" i="3"/>
  <c r="P44" i="3" s="1"/>
  <c r="C52" i="3"/>
  <c r="P52" i="3" s="1"/>
  <c r="C45" i="3"/>
  <c r="P45" i="3" s="1"/>
  <c r="C53" i="3"/>
  <c r="P53" i="3" s="1"/>
  <c r="C37" i="3"/>
  <c r="P37" i="3" s="1"/>
  <c r="C39" i="3"/>
  <c r="P39" i="3" s="1"/>
  <c r="C50" i="3"/>
  <c r="P50" i="3" s="1"/>
  <c r="C40" i="3"/>
  <c r="P40" i="3" s="1"/>
  <c r="C42" i="3"/>
  <c r="P42" i="3" s="1"/>
  <c r="C43" i="3"/>
  <c r="P43" i="3" s="1"/>
  <c r="C51" i="3"/>
  <c r="P51" i="3" s="1"/>
  <c r="C30" i="3"/>
  <c r="P30" i="3" s="1"/>
  <c r="C38" i="3"/>
  <c r="P38" i="3" s="1"/>
  <c r="C27" i="3"/>
  <c r="P27" i="3" s="1"/>
  <c r="C34" i="3"/>
  <c r="P34" i="3" s="1"/>
  <c r="C36" i="3"/>
  <c r="P36" i="3" s="1"/>
  <c r="C47" i="3"/>
  <c r="P47" i="3" s="1"/>
  <c r="C55" i="3"/>
  <c r="P55" i="3" s="1"/>
  <c r="E22" i="1"/>
  <c r="E34" i="1" s="1"/>
  <c r="F34" i="1"/>
  <c r="C33" i="2"/>
  <c r="P33" i="2" s="1"/>
  <c r="C35" i="2"/>
  <c r="P35" i="2" s="1"/>
  <c r="C41" i="2"/>
  <c r="P41" i="2" s="1"/>
  <c r="C22" i="1"/>
  <c r="C37" i="2"/>
  <c r="P37" i="2" s="1"/>
  <c r="C51" i="2"/>
  <c r="P51" i="2" s="1"/>
  <c r="C31" i="2"/>
  <c r="P31" i="2" s="1"/>
  <c r="C45" i="2"/>
  <c r="P45" i="2" s="1"/>
  <c r="C29" i="2"/>
  <c r="P29" i="2" s="1"/>
  <c r="C49" i="2"/>
  <c r="P49" i="2" s="1"/>
  <c r="C48" i="2"/>
  <c r="P48" i="2" s="1"/>
  <c r="C36" i="2"/>
  <c r="P36" i="2" s="1"/>
  <c r="C39" i="2"/>
  <c r="P39" i="2" s="1"/>
  <c r="C52" i="2"/>
  <c r="P52" i="2" s="1"/>
  <c r="C26" i="2"/>
  <c r="P26" i="2" s="1"/>
  <c r="C40" i="2"/>
  <c r="P40" i="2" s="1"/>
  <c r="C46" i="2"/>
  <c r="P46" i="2" s="1"/>
  <c r="C42" i="2"/>
  <c r="P42" i="2" s="1"/>
  <c r="C44" i="2"/>
  <c r="P44" i="2" s="1"/>
  <c r="C32" i="2"/>
  <c r="P32" i="2" s="1"/>
  <c r="C28" i="2"/>
  <c r="P28" i="2" s="1"/>
  <c r="C38" i="2"/>
  <c r="P38" i="2" s="1"/>
  <c r="C54" i="2"/>
  <c r="P54" i="2" s="1"/>
  <c r="C43" i="2"/>
  <c r="P43" i="2" s="1"/>
  <c r="C50" i="2"/>
  <c r="P50" i="2" s="1"/>
  <c r="C30" i="2"/>
  <c r="P30" i="2" s="1"/>
  <c r="C55" i="2"/>
  <c r="P55" i="2" s="1"/>
  <c r="C53" i="2"/>
  <c r="P53" i="2" s="1"/>
  <c r="C34" i="2"/>
  <c r="P34" i="2" s="1"/>
  <c r="C47" i="2"/>
  <c r="P47" i="2" s="1"/>
  <c r="C27" i="2"/>
  <c r="P27" i="2" s="1"/>
  <c r="I19" i="3" l="1"/>
  <c r="K18" i="3"/>
  <c r="I19" i="2"/>
  <c r="K18" i="2"/>
  <c r="E27" i="2"/>
  <c r="Q27" i="2" s="1"/>
  <c r="E29" i="2"/>
  <c r="Q29" i="2" s="1"/>
  <c r="E31" i="2"/>
  <c r="Q31" i="2" s="1"/>
  <c r="E33" i="2"/>
  <c r="Q33" i="2" s="1"/>
  <c r="E38" i="2"/>
  <c r="Q38" i="2" s="1"/>
  <c r="E42" i="2"/>
  <c r="Q42" i="2" s="1"/>
  <c r="E30" i="2"/>
  <c r="Q30" i="2" s="1"/>
  <c r="E47" i="2"/>
  <c r="Q47" i="2" s="1"/>
  <c r="E52" i="2"/>
  <c r="Q52" i="2" s="1"/>
  <c r="E53" i="2"/>
  <c r="Q53" i="2" s="1"/>
  <c r="E54" i="2"/>
  <c r="Q54" i="2" s="1"/>
  <c r="E55" i="2"/>
  <c r="Q55" i="2" s="1"/>
  <c r="E35" i="2"/>
  <c r="Q35" i="2" s="1"/>
  <c r="E41" i="2"/>
  <c r="Q41" i="2" s="1"/>
  <c r="E46" i="2"/>
  <c r="Q46" i="2" s="1"/>
  <c r="E28" i="2"/>
  <c r="Q28" i="2" s="1"/>
  <c r="E37" i="2"/>
  <c r="Q37" i="2" s="1"/>
  <c r="E40" i="2"/>
  <c r="Q40" i="2" s="1"/>
  <c r="E51" i="2"/>
  <c r="Q51" i="2" s="1"/>
  <c r="E26" i="2"/>
  <c r="Q26" i="2" s="1"/>
  <c r="E34" i="2"/>
  <c r="Q34" i="2" s="1"/>
  <c r="E39" i="2"/>
  <c r="Q39" i="2" s="1"/>
  <c r="E44" i="2"/>
  <c r="Q44" i="2" s="1"/>
  <c r="E36" i="2"/>
  <c r="Q36" i="2" s="1"/>
  <c r="E49" i="2"/>
  <c r="Q49" i="2" s="1"/>
  <c r="E32" i="2"/>
  <c r="Q32" i="2" s="1"/>
  <c r="E43" i="2"/>
  <c r="Q43" i="2" s="1"/>
  <c r="E48" i="2"/>
  <c r="Q48" i="2" s="1"/>
  <c r="E50" i="2"/>
  <c r="Q50" i="2" s="1"/>
  <c r="E45" i="2"/>
  <c r="Q45" i="2" s="1"/>
  <c r="C23" i="1"/>
  <c r="P57" i="3"/>
  <c r="P57" i="2"/>
  <c r="E26" i="3"/>
  <c r="Q26" i="3" s="1"/>
  <c r="E28" i="3"/>
  <c r="Q28" i="3" s="1"/>
  <c r="E30" i="3"/>
  <c r="Q30" i="3" s="1"/>
  <c r="E32" i="3"/>
  <c r="Q32" i="3" s="1"/>
  <c r="E34" i="3"/>
  <c r="Q34" i="3" s="1"/>
  <c r="E36" i="3"/>
  <c r="Q36" i="3" s="1"/>
  <c r="E38" i="3"/>
  <c r="Q38" i="3" s="1"/>
  <c r="E40" i="3"/>
  <c r="Q40" i="3" s="1"/>
  <c r="C28" i="1"/>
  <c r="E27" i="3"/>
  <c r="Q27" i="3" s="1"/>
  <c r="E29" i="3"/>
  <c r="Q29" i="3" s="1"/>
  <c r="E31" i="3"/>
  <c r="Q31" i="3" s="1"/>
  <c r="E33" i="3"/>
  <c r="Q33" i="3" s="1"/>
  <c r="E35" i="3"/>
  <c r="Q35" i="3" s="1"/>
  <c r="E37" i="3"/>
  <c r="Q37" i="3" s="1"/>
  <c r="E39" i="3"/>
  <c r="Q39" i="3" s="1"/>
  <c r="E41" i="3"/>
  <c r="Q41" i="3" s="1"/>
  <c r="E50" i="3"/>
  <c r="Q50" i="3" s="1"/>
  <c r="E42" i="3"/>
  <c r="Q42" i="3" s="1"/>
  <c r="E49" i="3"/>
  <c r="Q49" i="3" s="1"/>
  <c r="E48" i="3"/>
  <c r="Q48" i="3" s="1"/>
  <c r="E47" i="3"/>
  <c r="Q47" i="3" s="1"/>
  <c r="E55" i="3"/>
  <c r="Q55" i="3" s="1"/>
  <c r="E46" i="3"/>
  <c r="Q46" i="3" s="1"/>
  <c r="E54" i="3"/>
  <c r="Q54" i="3" s="1"/>
  <c r="E45" i="3"/>
  <c r="Q45" i="3" s="1"/>
  <c r="E53" i="3"/>
  <c r="Q53" i="3" s="1"/>
  <c r="E44" i="3"/>
  <c r="Q44" i="3" s="1"/>
  <c r="E52" i="3"/>
  <c r="Q52" i="3" s="1"/>
  <c r="E43" i="3"/>
  <c r="Q43" i="3" s="1"/>
  <c r="E51" i="3"/>
  <c r="Q51" i="3" s="1"/>
  <c r="G27" i="1" l="1"/>
  <c r="Q57" i="2"/>
  <c r="G23" i="1" s="1"/>
  <c r="D23" i="1" s="1"/>
  <c r="C29" i="1"/>
  <c r="G30" i="3"/>
  <c r="R30" i="3" s="1"/>
  <c r="G28" i="3"/>
  <c r="R28" i="3" s="1"/>
  <c r="G26" i="3"/>
  <c r="R26" i="3" s="1"/>
  <c r="G53" i="3"/>
  <c r="R53" i="3" s="1"/>
  <c r="G51" i="3"/>
  <c r="R51" i="3" s="1"/>
  <c r="G52" i="3"/>
  <c r="R52" i="3" s="1"/>
  <c r="G31" i="3"/>
  <c r="R31" i="3" s="1"/>
  <c r="G43" i="3"/>
  <c r="R43" i="3" s="1"/>
  <c r="G32" i="3"/>
  <c r="R32" i="3" s="1"/>
  <c r="G35" i="3"/>
  <c r="R35" i="3" s="1"/>
  <c r="G40" i="3"/>
  <c r="R40" i="3" s="1"/>
  <c r="G50" i="3"/>
  <c r="R50" i="3" s="1"/>
  <c r="G49" i="3"/>
  <c r="R49" i="3" s="1"/>
  <c r="G47" i="3"/>
  <c r="R47" i="3" s="1"/>
  <c r="G55" i="3"/>
  <c r="R55" i="3" s="1"/>
  <c r="G38" i="3"/>
  <c r="R38" i="3" s="1"/>
  <c r="G36" i="3"/>
  <c r="R36" i="3" s="1"/>
  <c r="G48" i="3"/>
  <c r="R48" i="3" s="1"/>
  <c r="G46" i="3"/>
  <c r="R46" i="3" s="1"/>
  <c r="G54" i="3"/>
  <c r="R54" i="3" s="1"/>
  <c r="G27" i="3"/>
  <c r="R27" i="3" s="1"/>
  <c r="G34" i="3"/>
  <c r="R34" i="3" s="1"/>
  <c r="G39" i="3"/>
  <c r="R39" i="3" s="1"/>
  <c r="G45" i="3"/>
  <c r="R45" i="3" s="1"/>
  <c r="G44" i="3"/>
  <c r="R44" i="3" s="1"/>
  <c r="G29" i="3"/>
  <c r="R29" i="3" s="1"/>
  <c r="G42" i="3"/>
  <c r="R42" i="3" s="1"/>
  <c r="G37" i="3"/>
  <c r="R37" i="3" s="1"/>
  <c r="G41" i="3"/>
  <c r="R41" i="3" s="1"/>
  <c r="G33" i="3"/>
  <c r="R33" i="3" s="1"/>
  <c r="G22" i="1"/>
  <c r="G27" i="2"/>
  <c r="R27" i="2" s="1"/>
  <c r="G29" i="2"/>
  <c r="R29" i="2" s="1"/>
  <c r="G31" i="2"/>
  <c r="R31" i="2" s="1"/>
  <c r="G33" i="2"/>
  <c r="R33" i="2" s="1"/>
  <c r="G35" i="2"/>
  <c r="R35" i="2" s="1"/>
  <c r="G37" i="2"/>
  <c r="R37" i="2" s="1"/>
  <c r="G39" i="2"/>
  <c r="R39" i="2" s="1"/>
  <c r="G41" i="2"/>
  <c r="R41" i="2" s="1"/>
  <c r="G43" i="2"/>
  <c r="R43" i="2" s="1"/>
  <c r="G45" i="2"/>
  <c r="R45" i="2" s="1"/>
  <c r="G47" i="2"/>
  <c r="R47" i="2" s="1"/>
  <c r="G49" i="2"/>
  <c r="R49" i="2" s="1"/>
  <c r="G51" i="2"/>
  <c r="R51" i="2" s="1"/>
  <c r="G53" i="2"/>
  <c r="R53" i="2" s="1"/>
  <c r="G55" i="2"/>
  <c r="R55" i="2" s="1"/>
  <c r="G36" i="2"/>
  <c r="R36" i="2" s="1"/>
  <c r="G32" i="2"/>
  <c r="R32" i="2" s="1"/>
  <c r="G48" i="2"/>
  <c r="R48" i="2" s="1"/>
  <c r="G38" i="2"/>
  <c r="R38" i="2" s="1"/>
  <c r="G42" i="2"/>
  <c r="R42" i="2" s="1"/>
  <c r="G30" i="2"/>
  <c r="R30" i="2" s="1"/>
  <c r="G52" i="2"/>
  <c r="R52" i="2" s="1"/>
  <c r="G54" i="2"/>
  <c r="R54" i="2" s="1"/>
  <c r="G28" i="2"/>
  <c r="R28" i="2" s="1"/>
  <c r="G40" i="2"/>
  <c r="R40" i="2" s="1"/>
  <c r="G50" i="2"/>
  <c r="R50" i="2" s="1"/>
  <c r="G26" i="2"/>
  <c r="R26" i="2" s="1"/>
  <c r="G34" i="2"/>
  <c r="R34" i="2" s="1"/>
  <c r="G44" i="2"/>
  <c r="R44" i="2" s="1"/>
  <c r="C24" i="1"/>
  <c r="G46" i="2"/>
  <c r="R46" i="2" s="1"/>
  <c r="K19" i="3"/>
  <c r="I20" i="3"/>
  <c r="K20" i="3" s="1"/>
  <c r="I20" i="2"/>
  <c r="K20" i="2" s="1"/>
  <c r="K19" i="2"/>
  <c r="Q57" i="3"/>
  <c r="G28" i="1" s="1"/>
  <c r="D28" i="1" s="1"/>
  <c r="U30" i="3" l="1"/>
  <c r="K29" i="2"/>
  <c r="T29" i="2" s="1"/>
  <c r="K49" i="2"/>
  <c r="T49" i="2" s="1"/>
  <c r="K33" i="2"/>
  <c r="T33" i="2" s="1"/>
  <c r="K35" i="2"/>
  <c r="T35" i="2" s="1"/>
  <c r="K41" i="2"/>
  <c r="T41" i="2" s="1"/>
  <c r="C26" i="1"/>
  <c r="K55" i="2"/>
  <c r="T55" i="2" s="1"/>
  <c r="K51" i="2"/>
  <c r="T51" i="2" s="1"/>
  <c r="U51" i="2" s="1"/>
  <c r="K38" i="2"/>
  <c r="T38" i="2" s="1"/>
  <c r="K36" i="2"/>
  <c r="T36" i="2" s="1"/>
  <c r="U36" i="2" s="1"/>
  <c r="K45" i="2"/>
  <c r="T45" i="2" s="1"/>
  <c r="K34" i="2"/>
  <c r="T34" i="2" s="1"/>
  <c r="K31" i="2"/>
  <c r="T31" i="2" s="1"/>
  <c r="K53" i="2"/>
  <c r="T53" i="2" s="1"/>
  <c r="K48" i="2"/>
  <c r="T48" i="2" s="1"/>
  <c r="U48" i="2" s="1"/>
  <c r="K32" i="2"/>
  <c r="T32" i="2" s="1"/>
  <c r="U32" i="2" s="1"/>
  <c r="K46" i="2"/>
  <c r="T46" i="2" s="1"/>
  <c r="K30" i="2"/>
  <c r="T30" i="2" s="1"/>
  <c r="U30" i="2" s="1"/>
  <c r="K37" i="2"/>
  <c r="T37" i="2" s="1"/>
  <c r="U37" i="2" s="1"/>
  <c r="K26" i="2"/>
  <c r="T26" i="2" s="1"/>
  <c r="K28" i="2"/>
  <c r="T28" i="2" s="1"/>
  <c r="K47" i="2"/>
  <c r="T47" i="2" s="1"/>
  <c r="K44" i="2"/>
  <c r="T44" i="2" s="1"/>
  <c r="K27" i="2"/>
  <c r="T27" i="2" s="1"/>
  <c r="K42" i="2"/>
  <c r="T42" i="2" s="1"/>
  <c r="K40" i="2"/>
  <c r="T40" i="2" s="1"/>
  <c r="K43" i="2"/>
  <c r="T43" i="2" s="1"/>
  <c r="K54" i="2"/>
  <c r="T54" i="2" s="1"/>
  <c r="K39" i="2"/>
  <c r="T39" i="2" s="1"/>
  <c r="K52" i="2"/>
  <c r="T52" i="2" s="1"/>
  <c r="K50" i="2"/>
  <c r="T50" i="2" s="1"/>
  <c r="C31" i="1"/>
  <c r="I45" i="3"/>
  <c r="S45" i="3" s="1"/>
  <c r="I53" i="3"/>
  <c r="S53" i="3" s="1"/>
  <c r="I50" i="3"/>
  <c r="S50" i="3" s="1"/>
  <c r="I49" i="3"/>
  <c r="S49" i="3" s="1"/>
  <c r="I52" i="3"/>
  <c r="S52" i="3" s="1"/>
  <c r="I48" i="3"/>
  <c r="S48" i="3" s="1"/>
  <c r="I46" i="3"/>
  <c r="S46" i="3" s="1"/>
  <c r="I54" i="3"/>
  <c r="S54" i="3" s="1"/>
  <c r="I44" i="3"/>
  <c r="S44" i="3" s="1"/>
  <c r="U44" i="3" s="1"/>
  <c r="I43" i="3"/>
  <c r="S43" i="3" s="1"/>
  <c r="I42" i="3"/>
  <c r="S42" i="3" s="1"/>
  <c r="I51" i="3"/>
  <c r="S51" i="3" s="1"/>
  <c r="I40" i="3"/>
  <c r="S40" i="3" s="1"/>
  <c r="I39" i="3"/>
  <c r="S39" i="3" s="1"/>
  <c r="U39" i="3" s="1"/>
  <c r="I34" i="3"/>
  <c r="S34" i="3" s="1"/>
  <c r="I38" i="3"/>
  <c r="S38" i="3" s="1"/>
  <c r="I37" i="3"/>
  <c r="S37" i="3" s="1"/>
  <c r="I32" i="3"/>
  <c r="S32" i="3" s="1"/>
  <c r="I33" i="3"/>
  <c r="S33" i="3" s="1"/>
  <c r="I35" i="3"/>
  <c r="S35" i="3" s="1"/>
  <c r="I27" i="3"/>
  <c r="S27" i="3" s="1"/>
  <c r="I26" i="3"/>
  <c r="S26" i="3" s="1"/>
  <c r="I31" i="3"/>
  <c r="S31" i="3" s="1"/>
  <c r="I30" i="3"/>
  <c r="S30" i="3" s="1"/>
  <c r="I47" i="3"/>
  <c r="S47" i="3" s="1"/>
  <c r="I28" i="3"/>
  <c r="S28" i="3" s="1"/>
  <c r="I29" i="3"/>
  <c r="S29" i="3" s="1"/>
  <c r="I55" i="3"/>
  <c r="S55" i="3" s="1"/>
  <c r="I41" i="3"/>
  <c r="S41" i="3" s="1"/>
  <c r="I36" i="3"/>
  <c r="S36" i="3" s="1"/>
  <c r="K26" i="3"/>
  <c r="T26" i="3" s="1"/>
  <c r="C30" i="1"/>
  <c r="K29" i="3"/>
  <c r="T29" i="3" s="1"/>
  <c r="U29" i="3" s="1"/>
  <c r="K46" i="3"/>
  <c r="T46" i="3" s="1"/>
  <c r="K41" i="3"/>
  <c r="T41" i="3" s="1"/>
  <c r="U41" i="3" s="1"/>
  <c r="K30" i="3"/>
  <c r="T30" i="3" s="1"/>
  <c r="K37" i="3"/>
  <c r="T37" i="3" s="1"/>
  <c r="U37" i="3" s="1"/>
  <c r="K35" i="3"/>
  <c r="T35" i="3" s="1"/>
  <c r="U35" i="3" s="1"/>
  <c r="K38" i="3"/>
  <c r="T38" i="3" s="1"/>
  <c r="U38" i="3" s="1"/>
  <c r="K42" i="3"/>
  <c r="T42" i="3" s="1"/>
  <c r="U42" i="3" s="1"/>
  <c r="K50" i="3"/>
  <c r="T50" i="3" s="1"/>
  <c r="U50" i="3" s="1"/>
  <c r="K33" i="3"/>
  <c r="T33" i="3" s="1"/>
  <c r="U33" i="3" s="1"/>
  <c r="K39" i="3"/>
  <c r="T39" i="3" s="1"/>
  <c r="K54" i="3"/>
  <c r="T54" i="3" s="1"/>
  <c r="U54" i="3" s="1"/>
  <c r="K47" i="3"/>
  <c r="T47" i="3" s="1"/>
  <c r="K49" i="3"/>
  <c r="T49" i="3" s="1"/>
  <c r="U49" i="3" s="1"/>
  <c r="K53" i="3"/>
  <c r="T53" i="3" s="1"/>
  <c r="U53" i="3" s="1"/>
  <c r="K44" i="3"/>
  <c r="T44" i="3" s="1"/>
  <c r="K36" i="3"/>
  <c r="T36" i="3" s="1"/>
  <c r="U36" i="3" s="1"/>
  <c r="K48" i="3"/>
  <c r="T48" i="3" s="1"/>
  <c r="U48" i="3" s="1"/>
  <c r="K40" i="3"/>
  <c r="T40" i="3" s="1"/>
  <c r="U40" i="3" s="1"/>
  <c r="K55" i="3"/>
  <c r="T55" i="3" s="1"/>
  <c r="U55" i="3" s="1"/>
  <c r="K32" i="3"/>
  <c r="T32" i="3" s="1"/>
  <c r="U32" i="3" s="1"/>
  <c r="K52" i="3"/>
  <c r="T52" i="3" s="1"/>
  <c r="U52" i="3" s="1"/>
  <c r="K45" i="3"/>
  <c r="T45" i="3" s="1"/>
  <c r="U45" i="3" s="1"/>
  <c r="K51" i="3"/>
  <c r="T51" i="3" s="1"/>
  <c r="U51" i="3" s="1"/>
  <c r="K43" i="3"/>
  <c r="T43" i="3" s="1"/>
  <c r="U43" i="3" s="1"/>
  <c r="K31" i="3"/>
  <c r="T31" i="3" s="1"/>
  <c r="U31" i="3" s="1"/>
  <c r="K34" i="3"/>
  <c r="T34" i="3" s="1"/>
  <c r="U34" i="3" s="1"/>
  <c r="K27" i="3"/>
  <c r="T27" i="3" s="1"/>
  <c r="U27" i="3" s="1"/>
  <c r="K28" i="3"/>
  <c r="T28" i="3" s="1"/>
  <c r="U28" i="3" s="1"/>
  <c r="U55" i="2"/>
  <c r="D22" i="1"/>
  <c r="U47" i="3"/>
  <c r="U44" i="2"/>
  <c r="D27" i="1"/>
  <c r="U34" i="2"/>
  <c r="R57" i="2"/>
  <c r="U26" i="2"/>
  <c r="U46" i="3"/>
  <c r="R57" i="3"/>
  <c r="G29" i="1" s="1"/>
  <c r="D29" i="1" s="1"/>
  <c r="I26" i="2"/>
  <c r="S26" i="2" s="1"/>
  <c r="I28" i="2"/>
  <c r="S28" i="2" s="1"/>
  <c r="U28" i="2" s="1"/>
  <c r="I30" i="2"/>
  <c r="S30" i="2" s="1"/>
  <c r="I32" i="2"/>
  <c r="S32" i="2" s="1"/>
  <c r="I34" i="2"/>
  <c r="S34" i="2" s="1"/>
  <c r="I49" i="2"/>
  <c r="S49" i="2" s="1"/>
  <c r="U49" i="2" s="1"/>
  <c r="I50" i="2"/>
  <c r="S50" i="2" s="1"/>
  <c r="U50" i="2" s="1"/>
  <c r="C25" i="1"/>
  <c r="I36" i="2"/>
  <c r="S36" i="2" s="1"/>
  <c r="I44" i="2"/>
  <c r="S44" i="2" s="1"/>
  <c r="I33" i="2"/>
  <c r="S33" i="2" s="1"/>
  <c r="U33" i="2" s="1"/>
  <c r="I38" i="2"/>
  <c r="S38" i="2" s="1"/>
  <c r="U38" i="2" s="1"/>
  <c r="I48" i="2"/>
  <c r="S48" i="2" s="1"/>
  <c r="I31" i="2"/>
  <c r="S31" i="2" s="1"/>
  <c r="U31" i="2" s="1"/>
  <c r="I41" i="2"/>
  <c r="S41" i="2" s="1"/>
  <c r="U41" i="2" s="1"/>
  <c r="I42" i="2"/>
  <c r="S42" i="2" s="1"/>
  <c r="U42" i="2" s="1"/>
  <c r="I37" i="2"/>
  <c r="S37" i="2" s="1"/>
  <c r="I51" i="2"/>
  <c r="S51" i="2" s="1"/>
  <c r="I52" i="2"/>
  <c r="S52" i="2" s="1"/>
  <c r="U52" i="2" s="1"/>
  <c r="I54" i="2"/>
  <c r="S54" i="2" s="1"/>
  <c r="U54" i="2" s="1"/>
  <c r="I29" i="2"/>
  <c r="S29" i="2" s="1"/>
  <c r="I45" i="2"/>
  <c r="S45" i="2" s="1"/>
  <c r="I46" i="2"/>
  <c r="S46" i="2" s="1"/>
  <c r="U46" i="2" s="1"/>
  <c r="I40" i="2"/>
  <c r="S40" i="2" s="1"/>
  <c r="U40" i="2" s="1"/>
  <c r="I47" i="2"/>
  <c r="S47" i="2" s="1"/>
  <c r="U47" i="2" s="1"/>
  <c r="I43" i="2"/>
  <c r="S43" i="2" s="1"/>
  <c r="U43" i="2" s="1"/>
  <c r="I27" i="2"/>
  <c r="S27" i="2" s="1"/>
  <c r="U27" i="2" s="1"/>
  <c r="I39" i="2"/>
  <c r="S39" i="2" s="1"/>
  <c r="U39" i="2" s="1"/>
  <c r="I55" i="2"/>
  <c r="S55" i="2" s="1"/>
  <c r="I53" i="2"/>
  <c r="S53" i="2" s="1"/>
  <c r="U53" i="2" s="1"/>
  <c r="I35" i="2"/>
  <c r="S35" i="2" s="1"/>
  <c r="U35" i="2" s="1"/>
  <c r="U45" i="2"/>
  <c r="U29" i="2"/>
  <c r="S57" i="2" l="1"/>
  <c r="G25" i="1" s="1"/>
  <c r="D25" i="1" s="1"/>
  <c r="T57" i="3"/>
  <c r="G30" i="1" s="1"/>
  <c r="D30" i="1" s="1"/>
  <c r="T57" i="2"/>
  <c r="G26" i="1" s="1"/>
  <c r="D26" i="1" s="1"/>
  <c r="S57" i="3"/>
  <c r="G31" i="1" s="1"/>
  <c r="D31" i="1" s="1"/>
  <c r="U26" i="3"/>
  <c r="G24" i="1"/>
  <c r="D24" i="1" l="1"/>
  <c r="F15" i="1"/>
  <c r="G34" i="1"/>
  <c r="G37" i="1" s="1"/>
  <c r="U57" i="2"/>
  <c r="R59" i="2" s="1"/>
  <c r="F16" i="1"/>
  <c r="U57" i="3"/>
  <c r="R59" i="3" s="1"/>
</calcChain>
</file>

<file path=xl/sharedStrings.xml><?xml version="1.0" encoding="utf-8"?>
<sst xmlns="http://schemas.openxmlformats.org/spreadsheetml/2006/main" count="196" uniqueCount="117">
  <si>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</si>
  <si>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</si>
  <si>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</si>
  <si>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</si>
  <si>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</si>
  <si>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</si>
  <si>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</si>
  <si>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</si>
  <si>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</si>
  <si>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</si>
  <si>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</si>
  <si>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</si>
  <si>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</si>
  <si>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</si>
  <si>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</si>
  <si>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</si>
  <si>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</si>
  <si>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</si>
  <si>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</si>
  <si>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</si>
  <si>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</si>
  <si>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</si>
  <si>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</si>
  <si>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</si>
  <si>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</si>
  <si>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</si>
  <si>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</si>
  <si>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</si>
  <si>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</si>
  <si>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</si>
  <si>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</si>
  <si>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</si>
  <si>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</si>
  <si>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</si>
  <si>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</si>
  <si>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</si>
  <si>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</si>
  <si>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</si>
  <si>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</si>
  <si>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</si>
  <si>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</si>
  <si>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</si>
  <si>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</si>
  <si>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</si>
  <si>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</si>
  <si>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</si>
  <si>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</si>
  <si>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</si>
  <si>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</si>
  <si>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</si>
  <si>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</si>
  <si>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</si>
  <si>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</si>
  <si>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</si>
  <si>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</si>
  <si>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</si>
  <si>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</si>
  <si>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</si>
  <si>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</si>
  <si>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</si>
  <si>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</si>
  <si>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</si>
  <si>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</si>
  <si>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</si>
  <si>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</si>
  <si>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</si>
  <si>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</si>
  <si>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</si>
  <si>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</si>
  <si>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</si>
  <si>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</si>
  <si>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</si>
  <si>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</si>
  <si>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</si>
  <si>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</si>
  <si>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</si>
  <si>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</si>
  <si>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</si>
  <si>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</si>
  <si>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</si>
  <si>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</si>
  <si>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</si>
  <si>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</si>
  <si>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</si>
  <si>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</si>
  <si>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</si>
  <si>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</si>
  <si>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</si>
  <si>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</si>
  <si>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</si>
  <si>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</si>
  <si>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</si>
  <si>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</si>
  <si>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</si>
  <si>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</si>
  <si>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</si>
  <si>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</si>
  <si>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</si>
  <si>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(7% Max to Maverick)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</si>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</sst>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5" formatCode="_(&quot;$&quot;* #,##0.000000_);_(&quot;$&quot;* \(#,##0.000000\);_(&quot;$&quot;* &quot;-&quot;??_);_(@_)"/>
    <numFmt numFmtId="181" formatCode="0.0%"/>
    <numFmt numFmtId="183" formatCode="_(* #,##0.0000_);_(* \(#,##0.0000\);_(* &quot;-&quot;??_);_(@_)"/>
    <numFmt numFmtId="194" formatCode="dd\-mmm\-yy"/>
    <numFmt numFmtId="195" formatCode="mm/dd/yy"/>
    <numFmt numFmtId="201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9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9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201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201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5" fontId="1" fillId="0" borderId="0" xfId="2" applyNumberFormat="1"/>
    <xf numFmtId="175" fontId="1" fillId="0" borderId="0" xfId="2" applyNumberFormat="1"/>
    <xf numFmtId="173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5" fontId="3" fillId="0" borderId="11" xfId="2" applyNumberFormat="1" applyFont="1" applyBorder="1"/>
    <xf numFmtId="175" fontId="3" fillId="0" borderId="11" xfId="2" applyNumberFormat="1" applyFont="1" applyBorder="1"/>
    <xf numFmtId="173" fontId="3" fillId="0" borderId="11" xfId="1" applyNumberFormat="1" applyFont="1" applyBorder="1"/>
    <xf numFmtId="44" fontId="3" fillId="0" borderId="11" xfId="0" applyNumberFormat="1" applyFont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73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73" fontId="0" fillId="0" borderId="0" xfId="0" applyNumberFormat="1"/>
    <xf numFmtId="0" fontId="2" fillId="0" borderId="0" xfId="0" applyFont="1" applyAlignment="1">
      <alignment horizontal="right"/>
    </xf>
    <xf numFmtId="173" fontId="2" fillId="0" borderId="0" xfId="0" applyNumberFormat="1" applyFont="1"/>
    <xf numFmtId="44" fontId="2" fillId="0" borderId="0" xfId="0" applyNumberFormat="1" applyFont="1"/>
    <xf numFmtId="10" fontId="1" fillId="0" borderId="0" xfId="3" applyNumberFormat="1"/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73" fontId="7" fillId="0" borderId="0" xfId="1" applyNumberFormat="1" applyFont="1" applyAlignment="1"/>
    <xf numFmtId="173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9" fontId="3" fillId="0" borderId="16" xfId="0" applyNumberFormat="1" applyFont="1" applyBorder="1" applyAlignment="1"/>
    <xf numFmtId="41" fontId="1" fillId="0" borderId="16" xfId="1" applyNumberFormat="1" applyBorder="1" applyAlignment="1"/>
    <xf numFmtId="181" fontId="1" fillId="0" borderId="16" xfId="3" applyNumberForma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69" fontId="3" fillId="0" borderId="19" xfId="0" applyNumberFormat="1" applyFont="1" applyBorder="1" applyAlignment="1"/>
    <xf numFmtId="173" fontId="0" fillId="0" borderId="19" xfId="0" applyNumberFormat="1" applyBorder="1" applyAlignment="1"/>
    <xf numFmtId="181" fontId="1" fillId="0" borderId="19" xfId="3" applyNumberForma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5" xfId="2" applyNumberFormat="1" applyFont="1" applyFill="1" applyBorder="1" applyAlignment="1"/>
    <xf numFmtId="165" fontId="1" fillId="0" borderId="16" xfId="2" applyNumberFormat="1" applyFont="1" applyFill="1" applyBorder="1" applyAlignment="1"/>
    <xf numFmtId="165" fontId="1" fillId="0" borderId="16" xfId="2" applyNumberFormat="1" applyFill="1" applyBorder="1" applyAlignment="1"/>
    <xf numFmtId="183" fontId="0" fillId="0" borderId="16" xfId="0" applyNumberFormat="1" applyBorder="1" applyAlignment="1"/>
    <xf numFmtId="165" fontId="2" fillId="0" borderId="17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73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5" fontId="1" fillId="0" borderId="0" xfId="2" applyNumberFormat="1" applyAlignment="1"/>
    <xf numFmtId="165" fontId="1" fillId="3" borderId="26" xfId="2" applyNumberFormat="1" applyFill="1" applyBorder="1" applyAlignment="1"/>
    <xf numFmtId="3" fontId="0" fillId="0" borderId="27" xfId="0" applyNumberFormat="1" applyBorder="1" applyAlignment="1"/>
    <xf numFmtId="165" fontId="0" fillId="3" borderId="26" xfId="0" applyNumberFormat="1" applyFill="1" applyBorder="1" applyAlignment="1"/>
    <xf numFmtId="173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73" fontId="1" fillId="4" borderId="23" xfId="1" applyNumberFormat="1" applyFill="1" applyBorder="1" applyAlignment="1"/>
    <xf numFmtId="173" fontId="2" fillId="4" borderId="23" xfId="1" applyNumberFormat="1" applyFont="1" applyFill="1" applyBorder="1" applyAlignment="1"/>
    <xf numFmtId="44" fontId="1" fillId="0" borderId="28" xfId="2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5" fontId="1" fillId="3" borderId="28" xfId="2" applyNumberFormat="1" applyFill="1" applyBorder="1" applyAlignment="1"/>
    <xf numFmtId="3" fontId="0" fillId="0" borderId="25" xfId="0" applyNumberFormat="1" applyBorder="1" applyAlignment="1"/>
    <xf numFmtId="165" fontId="0" fillId="3" borderId="28" xfId="0" applyNumberFormat="1" applyFill="1" applyBorder="1" applyAlignment="1"/>
    <xf numFmtId="173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73" fontId="1" fillId="4" borderId="0" xfId="1" applyNumberFormat="1" applyFill="1" applyBorder="1" applyAlignment="1"/>
    <xf numFmtId="173" fontId="2" fillId="4" borderId="0" xfId="1" applyNumberFormat="1" applyFont="1" applyFill="1" applyBorder="1" applyAlignment="1"/>
    <xf numFmtId="44" fontId="0" fillId="4" borderId="25" xfId="0" applyNumberFormat="1" applyFill="1" applyBorder="1" applyAlignment="1"/>
    <xf numFmtId="165" fontId="3" fillId="0" borderId="0" xfId="2" applyNumberFormat="1" applyFont="1" applyAlignment="1"/>
    <xf numFmtId="165" fontId="1" fillId="3" borderId="29" xfId="2" applyNumberFormat="1" applyFill="1" applyBorder="1" applyAlignment="1"/>
    <xf numFmtId="3" fontId="0" fillId="0" borderId="30" xfId="0" applyNumberFormat="1" applyBorder="1" applyAlignment="1"/>
    <xf numFmtId="165" fontId="0" fillId="3" borderId="29" xfId="0" applyNumberFormat="1" applyFill="1" applyBorder="1" applyAlignment="1"/>
    <xf numFmtId="173" fontId="1" fillId="0" borderId="30" xfId="1" applyNumberFormat="1" applyBorder="1" applyAlignment="1"/>
    <xf numFmtId="41" fontId="1" fillId="0" borderId="30" xfId="1" applyNumberFormat="1" applyBorder="1" applyAlignment="1"/>
    <xf numFmtId="165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73" fontId="1" fillId="4" borderId="10" xfId="1" applyNumberFormat="1" applyFill="1" applyBorder="1" applyAlignment="1"/>
    <xf numFmtId="44" fontId="1" fillId="0" borderId="29" xfId="2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1" fillId="0" borderId="0" xfId="3" applyNumberFormat="1" applyAlignment="1"/>
    <xf numFmtId="173" fontId="1" fillId="0" borderId="0" xfId="1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44" fontId="4" fillId="5" borderId="17" xfId="2" applyFont="1" applyFill="1" applyBorder="1" applyAlignment="1"/>
    <xf numFmtId="44" fontId="4" fillId="5" borderId="20" xfId="2" applyFont="1" applyFill="1" applyBorder="1" applyAlignmen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2543175</xdr:colOff>
      <xdr:row>2</xdr:row>
      <xdr:rowOff>66675</xdr:rowOff>
    </xdr:from>
    <xdr:ext cx="6407150" cy="193675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019550" y="390525"/>
          <a:ext cx="6391275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57150</xdr:colOff>
      <xdr:row>4</xdr:row>
      <xdr:rowOff>57150</xdr:rowOff>
    </xdr:from>
    <xdr:ext cx="6392333" cy="1932517"/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6305550" y="704850"/>
          <a:ext cx="639127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152400</xdr:colOff>
      <xdr:row>3</xdr:row>
      <xdr:rowOff>28575</xdr:rowOff>
    </xdr:from>
    <xdr:ext cx="6392333" cy="1938867"/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6438900" y="514350"/>
          <a:ext cx="63912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Misc/Logistics/Powder%20River/2001/October%202001/Enron%20Statement%20Oct%2001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2.16</v>
          </cell>
        </row>
        <row r="36">
          <cell r="A36">
            <v>37225</v>
          </cell>
          <cell r="B36">
            <v>2.16</v>
          </cell>
        </row>
      </sheetData>
      <sheetData sheetId="1">
        <row r="17">
          <cell r="A17" t="str">
            <v>11/01/01 - 11/30/01</v>
          </cell>
        </row>
      </sheetData>
      <sheetData sheetId="2"/>
      <sheetData sheetId="3"/>
      <sheetData sheetId="4"/>
      <sheetData sheetId="5"/>
      <sheetData sheetId="6">
        <row r="7">
          <cell r="C7">
            <v>21032</v>
          </cell>
          <cell r="H7">
            <v>0.3194301458809457</v>
          </cell>
        </row>
        <row r="8">
          <cell r="C8">
            <v>21893</v>
          </cell>
          <cell r="H8">
            <v>0.68056985411905391</v>
          </cell>
        </row>
        <row r="18">
          <cell r="M18">
            <v>12670.900156488544</v>
          </cell>
          <cell r="N18">
            <v>26996.301952892489</v>
          </cell>
          <cell r="T18">
            <v>0.10603218216404803</v>
          </cell>
          <cell r="U18">
            <v>0.30251692486176329</v>
          </cell>
          <cell r="V18">
            <v>0.1216622232819058</v>
          </cell>
          <cell r="W18">
            <v>5.5587484943349003E-2</v>
          </cell>
          <cell r="X18">
            <v>0.41420118474893386</v>
          </cell>
        </row>
        <row r="19">
          <cell r="M19">
            <v>13281.048726028879</v>
          </cell>
          <cell r="N19">
            <v>28296.26918615977</v>
          </cell>
          <cell r="T19">
            <v>0.10116092646675953</v>
          </cell>
          <cell r="U19">
            <v>0.28861890575395016</v>
          </cell>
          <cell r="V19">
            <v>0.11607290326404696</v>
          </cell>
          <cell r="W19">
            <v>5.3033723932288342E-2</v>
          </cell>
          <cell r="X19">
            <v>0.44111354058295499</v>
          </cell>
        </row>
        <row r="20">
          <cell r="M20">
            <v>13741.244209636552</v>
          </cell>
          <cell r="N20">
            <v>29276.750136952218</v>
          </cell>
          <cell r="T20">
            <v>9.7773038094546266E-2</v>
          </cell>
          <cell r="U20">
            <v>0.2789530330800179</v>
          </cell>
          <cell r="V20">
            <v>0.1121856114703472</v>
          </cell>
          <cell r="W20">
            <v>5.1257619828453289E-2</v>
          </cell>
          <cell r="X20">
            <v>0.45983069752663536</v>
          </cell>
        </row>
        <row r="21">
          <cell r="M21">
            <v>13503.156053646184</v>
          </cell>
          <cell r="N21">
            <v>28769.485485574478</v>
          </cell>
          <cell r="T21">
            <v>9.9496975983808883E-2</v>
          </cell>
          <cell r="U21">
            <v>0.28387154346307814</v>
          </cell>
          <cell r="V21">
            <v>0.11416367239606792</v>
          </cell>
          <cell r="W21">
            <v>5.2161396111340609E-2</v>
          </cell>
          <cell r="X21">
            <v>0.45030641204570448</v>
          </cell>
        </row>
        <row r="22">
          <cell r="M22">
            <v>13683.123711832817</v>
          </cell>
          <cell r="N22">
            <v>29152.920062609901</v>
          </cell>
          <cell r="T22">
            <v>9.8188339290787338E-2</v>
          </cell>
          <cell r="U22">
            <v>0.28013791523762432</v>
          </cell>
          <cell r="V22">
            <v>0.11266213157806459</v>
          </cell>
          <cell r="W22">
            <v>5.1475341924913473E-2</v>
          </cell>
          <cell r="X22">
            <v>0.45753627196861024</v>
          </cell>
        </row>
        <row r="23">
          <cell r="M23">
            <v>13475.186122191721</v>
          </cell>
          <cell r="N23">
            <v>28709.893451400043</v>
          </cell>
          <cell r="T23">
            <v>9.9703498073593619E-2</v>
          </cell>
          <cell r="U23">
            <v>0.28446076483193616</v>
          </cell>
          <cell r="V23">
            <v>0.11440063758991033</v>
          </cell>
          <cell r="W23">
            <v>5.2269665537868271E-2</v>
          </cell>
          <cell r="X23">
            <v>0.44916543396669162</v>
          </cell>
        </row>
        <row r="24">
          <cell r="M24">
            <v>13723.161337886733</v>
          </cell>
          <cell r="N24">
            <v>29238.223224112211</v>
          </cell>
          <cell r="T24">
            <v>9.7901872644029594E-2</v>
          </cell>
          <cell r="U24">
            <v>0.27932060668767361</v>
          </cell>
          <cell r="V24">
            <v>0.11233343732289273</v>
          </cell>
          <cell r="W24">
            <v>5.1325161478860022E-2</v>
          </cell>
          <cell r="X24">
            <v>0.45911892186654402</v>
          </cell>
        </row>
        <row r="25">
          <cell r="M25">
            <v>13699.382109865281</v>
          </cell>
          <cell r="N25">
            <v>29187.559797524864</v>
          </cell>
          <cell r="T25">
            <v>9.8071809575101351E-2</v>
          </cell>
          <cell r="U25">
            <v>0.27980544814579555</v>
          </cell>
          <cell r="V25">
            <v>0.11252842439596746</v>
          </cell>
          <cell r="W25">
            <v>5.1414251096789938E-2</v>
          </cell>
          <cell r="X25">
            <v>0.45818006678634571</v>
          </cell>
        </row>
        <row r="26">
          <cell r="M26">
            <v>13416.012526145463</v>
          </cell>
          <cell r="N26">
            <v>28583.819672365073</v>
          </cell>
          <cell r="T26">
            <v>0.10014325724256488</v>
          </cell>
          <cell r="U26">
            <v>0.28571542722557741</v>
          </cell>
          <cell r="V26">
            <v>0.11490522098255306</v>
          </cell>
          <cell r="W26">
            <v>5.2500209752699853E-2</v>
          </cell>
          <cell r="X26">
            <v>0.44673588479660481</v>
          </cell>
        </row>
        <row r="27">
          <cell r="M27">
            <v>12208.663575610863</v>
          </cell>
          <cell r="N27">
            <v>26011.472291468923</v>
          </cell>
          <cell r="T27">
            <v>0.11004670455980145</v>
          </cell>
          <cell r="U27">
            <v>0.31397062641883439</v>
          </cell>
          <cell r="V27">
            <v>0.12626852025810789</v>
          </cell>
          <cell r="W27">
            <v>5.7692102604460817E-2</v>
          </cell>
          <cell r="X27">
            <v>0.39202204615879543</v>
          </cell>
        </row>
        <row r="28">
          <cell r="M28">
            <v>11980.319347295124</v>
          </cell>
          <cell r="N28">
            <v>25524.967807913723</v>
          </cell>
          <cell r="T28">
            <v>0.11214418870049521</v>
          </cell>
          <cell r="U28">
            <v>0.31995488930241145</v>
          </cell>
          <cell r="V28">
            <v>0.12867519131445312</v>
          </cell>
          <cell r="W28">
            <v>5.8791710909318097E-2</v>
          </cell>
          <cell r="X28">
            <v>0.38043401977332214</v>
          </cell>
        </row>
        <row r="29">
          <cell r="M29">
            <v>12086.744783614344</v>
          </cell>
          <cell r="N29">
            <v>25751.715172257118</v>
          </cell>
          <cell r="T29">
            <v>0.11115674382374929</v>
          </cell>
          <cell r="U29">
            <v>0.317137642863764</v>
          </cell>
          <cell r="V29">
            <v>0.12754218870504377</v>
          </cell>
          <cell r="W29">
            <v>5.827404187621664E-2</v>
          </cell>
          <cell r="X29">
            <v>0.38588938273122625</v>
          </cell>
        </row>
        <row r="30">
          <cell r="M30">
            <v>10213.724509652584</v>
          </cell>
          <cell r="N30">
            <v>21761.105171761777</v>
          </cell>
          <cell r="T30">
            <v>0.1315409665010592</v>
          </cell>
          <cell r="U30">
            <v>0.37529519686464824</v>
          </cell>
          <cell r="V30">
            <v>0.15093121833906603</v>
          </cell>
          <cell r="W30">
            <v>6.8960492423879111E-2</v>
          </cell>
          <cell r="X30">
            <v>0.27327212587134742</v>
          </cell>
        </row>
        <row r="31">
          <cell r="M31">
            <v>11309.617331036075</v>
          </cell>
          <cell r="N31">
            <v>24095.986920390031</v>
          </cell>
          <cell r="T31">
            <v>0.11879475266491422</v>
          </cell>
          <cell r="U31">
            <v>0.33892939419376383</v>
          </cell>
          <cell r="V31">
            <v>0.13630610469825868</v>
          </cell>
          <cell r="W31">
            <v>6.2278276183104109E-2</v>
          </cell>
          <cell r="X31">
            <v>0.34369147225995911</v>
          </cell>
        </row>
        <row r="32">
          <cell r="M32">
            <v>11955.597118361344</v>
          </cell>
          <cell r="N32">
            <v>25472.295247243041</v>
          </cell>
          <cell r="T32">
            <v>0.11237608463000831</v>
          </cell>
          <cell r="U32">
            <v>0.32061650393725621</v>
          </cell>
          <cell r="V32">
            <v>0.12894127066676656</v>
          </cell>
          <cell r="W32">
            <v>5.8913282598470833E-2</v>
          </cell>
          <cell r="X32">
            <v>0.37915285816749811</v>
          </cell>
        </row>
        <row r="33">
          <cell r="M33">
            <v>12054.095510314542</v>
          </cell>
          <cell r="N33">
            <v>25682.153449754504</v>
          </cell>
          <cell r="T33">
            <v>0.11145781883224846</v>
          </cell>
          <cell r="U33">
            <v>0.31799663004921103</v>
          </cell>
          <cell r="V33">
            <v>0.12788764471812436</v>
          </cell>
          <cell r="W33">
            <v>5.8431880771542523E-2</v>
          </cell>
          <cell r="X33">
            <v>0.38422602562887365</v>
          </cell>
        </row>
        <row r="34">
          <cell r="M34">
            <v>11736.177267443989</v>
          </cell>
          <cell r="N34">
            <v>25004.804818254834</v>
          </cell>
          <cell r="T34">
            <v>0.11447707059624726</v>
          </cell>
          <cell r="U34">
            <v>0.32661075776390086</v>
          </cell>
          <cell r="V34">
            <v>0.13135195974738215</v>
          </cell>
          <cell r="W34">
            <v>6.0014726739116786E-2</v>
          </cell>
          <cell r="X34">
            <v>0.36754548515335295</v>
          </cell>
        </row>
        <row r="35">
          <cell r="M35">
            <v>10912.705531620566</v>
          </cell>
          <cell r="N35">
            <v>23250.336599311624</v>
          </cell>
          <cell r="T35">
            <v>0.12311549960569138</v>
          </cell>
          <cell r="U35">
            <v>0.35125677490924789</v>
          </cell>
          <cell r="V35">
            <v>0.14126376630933585</v>
          </cell>
          <cell r="W35">
            <v>6.4543432389574301E-2</v>
          </cell>
          <cell r="X35">
            <v>0.31982052678615058</v>
          </cell>
        </row>
        <row r="36">
          <cell r="M36">
            <v>11899.333106305694</v>
          </cell>
          <cell r="N36">
            <v>25352.420554855245</v>
          </cell>
          <cell r="T36">
            <v>0.112907436204412</v>
          </cell>
          <cell r="U36">
            <v>0.32213248560459917</v>
          </cell>
          <cell r="V36">
            <v>0.12955094796064962</v>
          </cell>
          <cell r="W36">
            <v>5.9191844229845095E-2</v>
          </cell>
          <cell r="X36">
            <v>0.37621728600049414</v>
          </cell>
        </row>
        <row r="37">
          <cell r="M37">
            <v>12780.641397935495</v>
          </cell>
          <cell r="N37">
            <v>27230.113888445474</v>
          </cell>
          <cell r="T37">
            <v>0.10512173464097681</v>
          </cell>
          <cell r="U37">
            <v>0.29991935703559713</v>
          </cell>
          <cell r="V37">
            <v>0.12061756808781599</v>
          </cell>
          <cell r="W37">
            <v>5.5110181855290978E-2</v>
          </cell>
          <cell r="X37">
            <v>0.4192311583803191</v>
          </cell>
        </row>
        <row r="38">
          <cell r="M38">
            <v>13371.777453739491</v>
          </cell>
          <cell r="N38">
            <v>28489.573536981534</v>
          </cell>
          <cell r="T38">
            <v>0.10047454036856815</v>
          </cell>
          <cell r="U38">
            <v>0.28666060019562956</v>
          </cell>
          <cell r="V38">
            <v>0.11528533804534234</v>
          </cell>
          <cell r="W38">
            <v>5.2673885285946929E-2</v>
          </cell>
          <cell r="X38">
            <v>0.44490563610451306</v>
          </cell>
        </row>
        <row r="39">
          <cell r="M39">
            <v>13646.671215544437</v>
          </cell>
          <cell r="N39">
            <v>29075.255288632983</v>
          </cell>
          <cell r="T39">
            <v>9.8450616443730141E-2</v>
          </cell>
          <cell r="U39">
            <v>0.2808862095398863</v>
          </cell>
          <cell r="V39">
            <v>0.11296307060329093</v>
          </cell>
          <cell r="W39">
            <v>5.1612841002954102E-2</v>
          </cell>
          <cell r="X39">
            <v>0.45608726241013853</v>
          </cell>
        </row>
        <row r="40">
          <cell r="M40">
            <v>13699.795316152038</v>
          </cell>
          <cell r="N40">
            <v>29188.440164471842</v>
          </cell>
          <cell r="T40">
            <v>9.8068851582858746E-2</v>
          </cell>
          <cell r="U40">
            <v>0.27979700879560271</v>
          </cell>
          <cell r="V40">
            <v>0.11252503037063155</v>
          </cell>
          <cell r="W40">
            <v>5.1412700366191999E-2</v>
          </cell>
          <cell r="X40">
            <v>0.45819640888471497</v>
          </cell>
        </row>
        <row r="41">
          <cell r="M41">
            <v>13073.623514077946</v>
          </cell>
          <cell r="N41">
            <v>27854.3342340007</v>
          </cell>
          <cell r="T41">
            <v>0.10276593877194984</v>
          </cell>
          <cell r="U41">
            <v>0.29319811347203945</v>
          </cell>
          <cell r="V41">
            <v>0.11791450796800521</v>
          </cell>
          <cell r="W41">
            <v>5.3875153350487252E-2</v>
          </cell>
          <cell r="X41">
            <v>0.43224628643751822</v>
          </cell>
        </row>
        <row r="42">
          <cell r="M42">
            <v>10446.091505919369</v>
          </cell>
          <cell r="N42">
            <v>22256.180463779801</v>
          </cell>
          <cell r="T42">
            <v>0.12861491715001144</v>
          </cell>
          <cell r="U42">
            <v>0.36694698188305686</v>
          </cell>
          <cell r="V42">
            <v>0.14757384454730271</v>
          </cell>
          <cell r="W42">
            <v>6.7426507921011708E-2</v>
          </cell>
          <cell r="X42">
            <v>0.28943774849861725</v>
          </cell>
        </row>
        <row r="43">
          <cell r="M43">
            <v>12286.207991590683</v>
          </cell>
          <cell r="N43">
            <v>26176.686478519394</v>
          </cell>
          <cell r="T43">
            <v>0.10935214465641756</v>
          </cell>
          <cell r="U43">
            <v>0.31198900044626976</v>
          </cell>
          <cell r="V43">
            <v>0.12547157634614151</v>
          </cell>
          <cell r="W43">
            <v>5.7327978832002073E-2</v>
          </cell>
          <cell r="X43">
            <v>0.39585929971916911</v>
          </cell>
        </row>
        <row r="44">
          <cell r="M44">
            <v>12286.207991590683</v>
          </cell>
          <cell r="N44">
            <v>26176.686478519394</v>
          </cell>
          <cell r="T44">
            <v>0.10935214465641756</v>
          </cell>
          <cell r="U44">
            <v>0.31198900044626976</v>
          </cell>
          <cell r="V44">
            <v>0.12547157634614151</v>
          </cell>
          <cell r="W44">
            <v>5.7327978832002073E-2</v>
          </cell>
          <cell r="X44">
            <v>0.39585929971916911</v>
          </cell>
        </row>
        <row r="45">
          <cell r="M45">
            <v>12286.207991590683</v>
          </cell>
          <cell r="N45">
            <v>26176.686478519394</v>
          </cell>
          <cell r="T45">
            <v>0.10935214465641756</v>
          </cell>
          <cell r="U45">
            <v>0.31198900044626976</v>
          </cell>
          <cell r="V45">
            <v>0.12547157634614151</v>
          </cell>
          <cell r="W45">
            <v>5.7327978832002073E-2</v>
          </cell>
          <cell r="X45">
            <v>0.39585929971916911</v>
          </cell>
        </row>
        <row r="46">
          <cell r="M46">
            <v>12286.207991590683</v>
          </cell>
          <cell r="N46">
            <v>26176.686478519394</v>
          </cell>
          <cell r="T46">
            <v>0.10935214465641756</v>
          </cell>
          <cell r="U46">
            <v>0.31198900044626976</v>
          </cell>
          <cell r="V46">
            <v>0.12547157634614151</v>
          </cell>
          <cell r="W46">
            <v>5.7327978832002073E-2</v>
          </cell>
          <cell r="X46">
            <v>0.39585929971916911</v>
          </cell>
        </row>
        <row r="47">
          <cell r="M47">
            <v>12286.207991590683</v>
          </cell>
          <cell r="N47">
            <v>26176.686478519394</v>
          </cell>
          <cell r="T47">
            <v>0.10935214465641756</v>
          </cell>
          <cell r="U47">
            <v>0.31198900044626976</v>
          </cell>
          <cell r="V47">
            <v>0.12547157634614151</v>
          </cell>
          <cell r="W47">
            <v>5.7327978832002073E-2</v>
          </cell>
          <cell r="X47">
            <v>0.39585929971916911</v>
          </cell>
        </row>
        <row r="49">
          <cell r="M49">
            <v>375999.83339629945</v>
          </cell>
          <cell r="N49">
            <v>801095.81097171083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  <sheetName val="Citation Oct 01"/>
    </sheetNames>
    <sheetDataSet>
      <sheetData sheetId="0">
        <row r="9">
          <cell r="C9">
            <v>0.95551770493880162</v>
          </cell>
          <cell r="F9">
            <v>0.95527378927009843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tabSelected="1" zoomScale="75" workbookViewId="0">
      <selection activeCell="C22" sqref="C22:U22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1" t="s">
        <v>0</v>
      </c>
      <c r="D1" s="2"/>
      <c r="E1" s="2"/>
      <c r="F1" s="3" t="s">
        <v>1</v>
      </c>
      <c r="G1" s="4"/>
    </row>
    <row r="2" spans="1:8" x14ac:dyDescent="0.2">
      <c r="C2" s="5"/>
      <c r="D2" s="6"/>
      <c r="E2" s="6"/>
      <c r="F2" s="7"/>
      <c r="G2" s="8" t="s">
        <v>2</v>
      </c>
    </row>
    <row r="3" spans="1:8" x14ac:dyDescent="0.2">
      <c r="C3" s="5" t="s">
        <v>3</v>
      </c>
      <c r="D3" s="6"/>
      <c r="E3" s="6"/>
      <c r="F3" s="7" t="s">
        <v>4</v>
      </c>
      <c r="G3" s="9">
        <f ca="1">TODAY()</f>
        <v>41887</v>
      </c>
    </row>
    <row r="4" spans="1:8" x14ac:dyDescent="0.2">
      <c r="C4" s="5"/>
      <c r="D4" s="6"/>
      <c r="E4" s="6"/>
      <c r="F4" s="7" t="s">
        <v>5</v>
      </c>
      <c r="G4" s="7"/>
    </row>
    <row r="5" spans="1:8" x14ac:dyDescent="0.2">
      <c r="C5" s="5"/>
      <c r="D5" s="6"/>
      <c r="E5" s="6"/>
      <c r="F5" s="7" t="s">
        <v>6</v>
      </c>
      <c r="G5" s="8" t="s">
        <v>7</v>
      </c>
    </row>
    <row r="6" spans="1:8" x14ac:dyDescent="0.2">
      <c r="C6" s="5"/>
      <c r="D6" s="6"/>
      <c r="E6" s="6"/>
      <c r="F6" s="7" t="s">
        <v>8</v>
      </c>
      <c r="G6" s="10">
        <v>37225</v>
      </c>
    </row>
    <row r="7" spans="1:8" x14ac:dyDescent="0.2">
      <c r="C7" s="5"/>
      <c r="D7" s="6"/>
      <c r="E7" s="6"/>
      <c r="F7" s="7"/>
      <c r="G7" s="7"/>
    </row>
    <row r="8" spans="1:8" x14ac:dyDescent="0.2">
      <c r="C8" s="5"/>
      <c r="D8" s="6"/>
      <c r="E8" s="6"/>
      <c r="F8" s="7"/>
      <c r="G8" s="8" t="s">
        <v>9</v>
      </c>
    </row>
    <row r="9" spans="1:8" x14ac:dyDescent="0.2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5" thickBot="1" x14ac:dyDescent="0.25">
      <c r="A12" s="18">
        <f ca="1">NOW()</f>
        <v>41887.550696296297</v>
      </c>
      <c r="B12" s="19"/>
      <c r="C12" s="19"/>
      <c r="D12" s="19"/>
      <c r="E12" s="19"/>
      <c r="F12" s="19"/>
      <c r="G12" s="19"/>
      <c r="H12" s="20"/>
    </row>
    <row r="13" spans="1:8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">
      <c r="A15" s="22">
        <v>37196</v>
      </c>
      <c r="B15" s="23">
        <v>96023720</v>
      </c>
      <c r="C15" t="s">
        <v>24</v>
      </c>
      <c r="D15" s="24"/>
      <c r="E15" s="25">
        <f>'[1]Internal Kennedy Total'!M49</f>
        <v>375999.83339629945</v>
      </c>
      <c r="F15" s="26">
        <f>SUM(G22:G26)/SUM(F22:F26)</f>
        <v>2.1662186222888313</v>
      </c>
    </row>
    <row r="16" spans="1:8" x14ac:dyDescent="0.2">
      <c r="A16" s="27"/>
      <c r="B16" s="23"/>
      <c r="C16" t="s">
        <v>25</v>
      </c>
      <c r="D16" s="24"/>
      <c r="E16" s="25">
        <f>'[1]Internal Kennedy Total'!N49</f>
        <v>801095.81097171083</v>
      </c>
      <c r="F16" s="26">
        <f>SUM(G27:G31)/SUM(F27:F31)</f>
        <v>2.1662186222888322</v>
      </c>
    </row>
    <row r="17" spans="1:7" x14ac:dyDescent="0.2">
      <c r="E17" s="28"/>
      <c r="F17" s="29"/>
    </row>
    <row r="18" spans="1:7" x14ac:dyDescent="0.2">
      <c r="C18" s="30" t="s">
        <v>26</v>
      </c>
      <c r="E18" s="31">
        <f>SUM(E15:E17)</f>
        <v>1177095.6443680103</v>
      </c>
    </row>
    <row r="19" spans="1:7" x14ac:dyDescent="0.2">
      <c r="E19" s="31"/>
    </row>
    <row r="21" spans="1:7" x14ac:dyDescent="0.2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">
      <c r="A22" s="36" t="str">
        <f>'[1]Independent Summary'!A17</f>
        <v>11/01/01 - 11/30/01</v>
      </c>
      <c r="B22" t="s">
        <v>33</v>
      </c>
      <c r="C22" s="37">
        <f>+'Box Draw Detail'!K16</f>
        <v>0</v>
      </c>
      <c r="D22" s="38">
        <f t="shared" ref="D22:D31" si="0">+G22/F22</f>
        <v>1.786</v>
      </c>
      <c r="E22" s="39">
        <f>+F22/'Box Draw Detail'!B$12</f>
        <v>42182.050211031106</v>
      </c>
      <c r="F22" s="39">
        <f>+'Box Draw Detail'!D57</f>
        <v>40305.695807257733</v>
      </c>
      <c r="G22" s="40">
        <f>+'Box Draw Detail'!P57</f>
        <v>71985.972711762312</v>
      </c>
    </row>
    <row r="23" spans="1:7" x14ac:dyDescent="0.2">
      <c r="A23" t="str">
        <f t="shared" ref="A23:A33" si="1">+A22</f>
        <v>11/01/01 - 11/30/01</v>
      </c>
      <c r="B23" t="s">
        <v>34</v>
      </c>
      <c r="C23" s="37">
        <f>+'Box Draw Detail'!K17</f>
        <v>-0.2646</v>
      </c>
      <c r="D23" s="38">
        <f t="shared" si="0"/>
        <v>2.7753999999999976</v>
      </c>
      <c r="E23" s="39">
        <f>+F23/'Box Draw Detail'!$B$12</f>
        <v>120348.2174351815</v>
      </c>
      <c r="F23" s="39">
        <f>+'Box Draw Detail'!F57</f>
        <v>114994.85251714051</v>
      </c>
      <c r="G23" s="40">
        <f>+'Box Draw Detail'!Q57</f>
        <v>319156.71367607149</v>
      </c>
    </row>
    <row r="24" spans="1:7" x14ac:dyDescent="0.2">
      <c r="A24" t="str">
        <f t="shared" si="1"/>
        <v>11/01/01 - 11/30/01</v>
      </c>
      <c r="B24" t="s">
        <v>35</v>
      </c>
      <c r="C24" s="37">
        <f>+'Box Draw Detail'!K18</f>
        <v>0</v>
      </c>
      <c r="D24" s="38">
        <f t="shared" si="0"/>
        <v>2.5400000000000005</v>
      </c>
      <c r="E24" s="39">
        <f>+F24/'Box Draw Detail'!$B$11</f>
        <v>48412.399712107268</v>
      </c>
      <c r="F24" s="39">
        <f>+'Box Draw Detail'!H57</f>
        <v>46247.096520643332</v>
      </c>
      <c r="G24" s="40">
        <f>+'Box Draw Detail'!R57</f>
        <v>117467.62516243409</v>
      </c>
    </row>
    <row r="25" spans="1:7" x14ac:dyDescent="0.2">
      <c r="A25" t="str">
        <f t="shared" si="1"/>
        <v>11/01/01 - 11/30/01</v>
      </c>
      <c r="B25" t="s">
        <v>36</v>
      </c>
      <c r="C25" s="37">
        <f>+'Box Draw Detail'!K20</f>
        <v>-0.1673</v>
      </c>
      <c r="D25" s="38">
        <f t="shared" si="0"/>
        <v>1.6187</v>
      </c>
      <c r="E25" s="39">
        <f>+F25/'Box Draw Detail'!$B$11</f>
        <v>22119.631447409141</v>
      </c>
      <c r="F25" s="39">
        <f>+'Box Draw Detail'!J57</f>
        <v>21130.304150024564</v>
      </c>
      <c r="G25" s="40">
        <f>+'Box Draw Detail'!S57</f>
        <v>34203.62332764476</v>
      </c>
    </row>
    <row r="26" spans="1:7" x14ac:dyDescent="0.2">
      <c r="A26" s="41" t="str">
        <f t="shared" si="1"/>
        <v>11/01/01 - 11/30/01</v>
      </c>
      <c r="B26" s="42" t="s">
        <v>37</v>
      </c>
      <c r="C26" s="43">
        <f>+'Box Draw Detail'!K19</f>
        <v>0</v>
      </c>
      <c r="D26" s="44">
        <f t="shared" si="0"/>
        <v>1.7719838708195781</v>
      </c>
      <c r="E26" s="45">
        <f>+F26/'Box Draw Detail'!$B$11</f>
        <v>160500.46188159619</v>
      </c>
      <c r="F26" s="45">
        <f>+'Box Draw Detail'!L57</f>
        <v>153321.88440123337</v>
      </c>
      <c r="G26" s="46">
        <f>+'Box Draw Detail'!T57</f>
        <v>271683.90620264941</v>
      </c>
    </row>
    <row r="27" spans="1:7" x14ac:dyDescent="0.2">
      <c r="A27" t="str">
        <f t="shared" si="1"/>
        <v>11/01/01 - 11/30/01</v>
      </c>
      <c r="B27" t="s">
        <v>38</v>
      </c>
      <c r="C27" s="37">
        <f>+'S Kitty Detail'!K16</f>
        <v>0</v>
      </c>
      <c r="D27" s="38">
        <f t="shared" si="0"/>
        <v>1.7859999999999996</v>
      </c>
      <c r="E27" s="39">
        <f>+F27/'Box Draw Detail'!$B$11</f>
        <v>89894.965356849963</v>
      </c>
      <c r="F27" s="39">
        <f>+'S Kitty Detail'!D57</f>
        <v>85874.304192742289</v>
      </c>
      <c r="G27" s="40">
        <f>+'S Kitty Detail'!P57</f>
        <v>153371.50728823768</v>
      </c>
    </row>
    <row r="28" spans="1:7" x14ac:dyDescent="0.2">
      <c r="A28" t="str">
        <f t="shared" si="1"/>
        <v>11/01/01 - 11/30/01</v>
      </c>
      <c r="B28" t="s">
        <v>39</v>
      </c>
      <c r="C28" s="37">
        <f>+'S Kitty Detail'!K17</f>
        <v>-0.2646</v>
      </c>
      <c r="D28" s="38">
        <f t="shared" si="0"/>
        <v>2.7753999999999981</v>
      </c>
      <c r="E28" s="39">
        <f>+F28/'Box Draw Detail'!$B$11</f>
        <v>256476.36335763193</v>
      </c>
      <c r="F28" s="39">
        <f>+'S Kitty Detail'!F57</f>
        <v>245005.14748285967</v>
      </c>
      <c r="G28" s="40">
        <f>+'S Kitty Detail'!Q57</f>
        <v>679987.28632392827</v>
      </c>
    </row>
    <row r="29" spans="1:7" x14ac:dyDescent="0.2">
      <c r="A29" t="str">
        <f t="shared" si="1"/>
        <v>11/01/01 - 11/30/01</v>
      </c>
      <c r="B29" t="s">
        <v>40</v>
      </c>
      <c r="C29" s="37">
        <f>+'S Kitty Detail'!K18</f>
        <v>0</v>
      </c>
      <c r="D29" s="38">
        <f t="shared" si="0"/>
        <v>2.5400000000000018</v>
      </c>
      <c r="E29" s="39">
        <f>+F29/'Box Draw Detail'!$B$11</f>
        <v>103146.24413032754</v>
      </c>
      <c r="F29" s="39">
        <f>+'S Kitty Detail'!H57</f>
        <v>98532.903479356639</v>
      </c>
      <c r="G29" s="40">
        <f>+'S Kitty Detail'!R57</f>
        <v>250273.57483756606</v>
      </c>
    </row>
    <row r="30" spans="1:7" x14ac:dyDescent="0.2">
      <c r="A30" t="str">
        <f t="shared" si="1"/>
        <v>11/01/01 - 11/30/01</v>
      </c>
      <c r="B30" t="s">
        <v>41</v>
      </c>
      <c r="C30" s="37">
        <f>+'S Kitty Detail'!K19</f>
        <v>0</v>
      </c>
      <c r="D30" s="38">
        <f t="shared" si="0"/>
        <v>1.7719838708195785</v>
      </c>
      <c r="E30" s="39">
        <f>+F30/'Box Draw Detail'!$B$11</f>
        <v>341958.25703160249</v>
      </c>
      <c r="F30" s="39">
        <f>+'S Kitty Detail'!L57</f>
        <v>326663.75996677717</v>
      </c>
      <c r="G30" s="40">
        <f>+'S Kitty Detail'!T57</f>
        <v>578842.91384240752</v>
      </c>
    </row>
    <row r="31" spans="1:7" x14ac:dyDescent="0.2">
      <c r="A31" t="str">
        <f t="shared" si="1"/>
        <v>11/01/01 - 11/30/01</v>
      </c>
      <c r="B31" t="s">
        <v>42</v>
      </c>
      <c r="C31" s="37">
        <f>+'S Kitty Detail'!K20</f>
        <v>-0.1673</v>
      </c>
      <c r="D31" s="38">
        <f t="shared" si="0"/>
        <v>1.6186999999999996</v>
      </c>
      <c r="E31" s="39">
        <f>+F31/'Box Draw Detail'!$B$11</f>
        <v>47127.531766964865</v>
      </c>
      <c r="F31" s="39">
        <f>+'S Kitty Detail'!J57</f>
        <v>45019.695849975462</v>
      </c>
      <c r="G31" s="40">
        <f>+'S Kitty Detail'!S57</f>
        <v>72873.381672355259</v>
      </c>
    </row>
    <row r="32" spans="1:7" x14ac:dyDescent="0.2">
      <c r="A32" t="str">
        <f t="shared" si="1"/>
        <v>11/01/01 - 11/30/01</v>
      </c>
      <c r="B32" t="s">
        <v>43</v>
      </c>
      <c r="C32" t="s">
        <v>44</v>
      </c>
      <c r="D32" s="47" t="s">
        <v>45</v>
      </c>
      <c r="E32" s="39">
        <f>+F32/'Box Draw Detail'!$B$12</f>
        <v>32335.911507640132</v>
      </c>
      <c r="F32" s="39">
        <f>-+'Box Draw Detail'!M57</f>
        <v>30897.535950884485</v>
      </c>
      <c r="G32" s="48" t="s">
        <v>46</v>
      </c>
    </row>
    <row r="33" spans="1:11" x14ac:dyDescent="0.2">
      <c r="A33" t="str">
        <f t="shared" si="1"/>
        <v>11/01/01 - 11/30/01</v>
      </c>
      <c r="B33" t="s">
        <v>47</v>
      </c>
      <c r="C33" t="s">
        <v>44</v>
      </c>
      <c r="D33" s="47" t="s">
        <v>45</v>
      </c>
      <c r="E33" s="39">
        <f>+F33/'Box Draw Detail'!$B$11</f>
        <v>63827.929335108944</v>
      </c>
      <c r="F33" s="39">
        <f>-+'S Kitty Detail'!M57</f>
        <v>60973.147917213595</v>
      </c>
      <c r="G33" s="48" t="s">
        <v>46</v>
      </c>
    </row>
    <row r="34" spans="1:11" x14ac:dyDescent="0.2">
      <c r="A34" s="49" t="s">
        <v>48</v>
      </c>
      <c r="B34" s="21"/>
      <c r="C34" s="21"/>
      <c r="D34" s="50"/>
      <c r="E34" s="49">
        <f>SUM(E22:E33)</f>
        <v>1328329.9631734509</v>
      </c>
      <c r="F34" s="49">
        <f>SUM(F22:F33)</f>
        <v>1268966.3282361091</v>
      </c>
      <c r="G34" s="51">
        <f>SUM(G22:G32)</f>
        <v>2549846.5050450573</v>
      </c>
    </row>
    <row r="35" spans="1:11" x14ac:dyDescent="0.2">
      <c r="C35" s="37"/>
      <c r="D35" s="47"/>
      <c r="E35" s="47"/>
      <c r="F35" s="39"/>
      <c r="G35" s="48"/>
    </row>
    <row r="36" spans="1:11" x14ac:dyDescent="0.2">
      <c r="D36" s="47"/>
      <c r="E36" s="47"/>
      <c r="F36" s="39"/>
      <c r="G36" s="48"/>
      <c r="K36" s="52"/>
    </row>
    <row r="37" spans="1:11" x14ac:dyDescent="0.2">
      <c r="D37" s="53" t="s">
        <v>49</v>
      </c>
      <c r="E37" s="53"/>
      <c r="F37" s="54"/>
      <c r="G37" s="55">
        <f>SUM(G34:G35)</f>
        <v>2549846.5050450573</v>
      </c>
    </row>
    <row r="40" spans="1:11" x14ac:dyDescent="0.2">
      <c r="F40" s="52"/>
      <c r="G40" s="56"/>
    </row>
    <row r="41" spans="1:11" x14ac:dyDescent="0.2">
      <c r="F41" s="52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zoomScale="90" zoomScaleNormal="90" workbookViewId="0">
      <selection activeCell="C22" sqref="C22:U22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19.8554687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3.28515625" style="58" bestFit="1" customWidth="1"/>
    <col min="20" max="20" width="15.28515625" style="58" customWidth="1"/>
    <col min="21" max="21" width="13.28515625" style="58" bestFit="1" customWidth="1"/>
    <col min="22" max="22" width="12.140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5.42578125" style="58" customWidth="1"/>
    <col min="27" max="27" width="16.42578125" style="58" customWidth="1"/>
    <col min="28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41887.550696296297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73">
        <f>'S Kitty Detail'!E11</f>
        <v>0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78">
        <f>'S Kitty Detail'!E12</f>
        <v>0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-E12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1" x14ac:dyDescent="0.2">
      <c r="A17" s="87" t="s">
        <v>77</v>
      </c>
      <c r="B17" s="88" t="s">
        <v>79</v>
      </c>
      <c r="C17" s="89">
        <v>0.01</v>
      </c>
      <c r="D17" s="88">
        <f>-E12</f>
        <v>0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-0.2646</v>
      </c>
    </row>
    <row r="18" spans="1:21" x14ac:dyDescent="0.2">
      <c r="A18" s="87" t="s">
        <v>77</v>
      </c>
      <c r="B18" s="88" t="s">
        <v>80</v>
      </c>
      <c r="C18" s="89">
        <v>0</v>
      </c>
      <c r="D18" s="88">
        <f>-$E$12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1" x14ac:dyDescent="0.2">
      <c r="A19" s="87" t="s">
        <v>81</v>
      </c>
      <c r="B19" s="88" t="s">
        <v>78</v>
      </c>
      <c r="C19" s="92" t="s">
        <v>82</v>
      </c>
      <c r="D19" s="88">
        <f>-$E$12</f>
        <v>0</v>
      </c>
      <c r="E19" s="88"/>
      <c r="F19" s="88"/>
      <c r="G19" s="88"/>
      <c r="H19" s="88"/>
      <c r="I19" s="88">
        <f>I18</f>
        <v>0</v>
      </c>
      <c r="J19" s="88"/>
      <c r="K19" s="91">
        <f>ROUND(SUM(C19:J19),4)</f>
        <v>0</v>
      </c>
      <c r="L19" s="93"/>
      <c r="N19" s="94"/>
    </row>
    <row r="20" spans="1:21" x14ac:dyDescent="0.2">
      <c r="A20" s="87" t="s">
        <v>81</v>
      </c>
      <c r="B20" s="88" t="s">
        <v>78</v>
      </c>
      <c r="C20" s="89">
        <v>0.1</v>
      </c>
      <c r="D20" s="88">
        <f>-$E$12</f>
        <v>0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0</v>
      </c>
      <c r="J20" s="88"/>
      <c r="K20" s="91">
        <f>ROUND(SUM(C20:J20),4)</f>
        <v>-0.1673</v>
      </c>
      <c r="L20" s="93"/>
    </row>
    <row r="21" spans="1:21" ht="13.5" thickBot="1" x14ac:dyDescent="0.25"/>
    <row r="22" spans="1:21" ht="23.25" thickBot="1" x14ac:dyDescent="0.5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87" t="s">
        <v>97</v>
      </c>
      <c r="Q23" s="188"/>
      <c r="R23" s="188"/>
      <c r="S23" s="188"/>
      <c r="T23" s="189"/>
      <c r="U23" s="104"/>
    </row>
    <row r="24" spans="1:21" s="105" customFormat="1" ht="25.5" x14ac:dyDescent="0.2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 t="s">
        <v>98</v>
      </c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2.67</v>
      </c>
      <c r="D26" s="127">
        <f>O26*'[1]Internal Kennedy Total'!T18</f>
        <v>1343.5231935752579</v>
      </c>
      <c r="E26" s="128">
        <f>+'[1]Index Pricing'!$B$4+'Box Draw Detail'!$K$17</f>
        <v>2.7753999999999999</v>
      </c>
      <c r="F26" s="129">
        <f>O26*'[1]Internal Kennedy Total'!U18</f>
        <v>3833.1617505713498</v>
      </c>
      <c r="G26" s="128">
        <f t="shared" ref="G26:G55" si="1">$C$6+$K$18</f>
        <v>2.54</v>
      </c>
      <c r="H26" s="130">
        <f>O26*'[1]Internal Kennedy Total'!V18</f>
        <v>1541.5698840214445</v>
      </c>
      <c r="I26" s="128">
        <f t="shared" ref="I26:I55" si="2">B26+$K$20</f>
        <v>2.5026999999999999</v>
      </c>
      <c r="J26" s="131">
        <f>O26*'[1]Internal Kennedy Total'!W18</f>
        <v>704.34347166748546</v>
      </c>
      <c r="K26" s="128">
        <f>B26+$K$19+'[1]Kennedy Gas Daily Pricing'!B7</f>
        <v>2.62</v>
      </c>
      <c r="L26" s="131">
        <f>'[1]Internal Kennedy Total'!X18*'[1]Internal Kennedy Total'!M18</f>
        <v>5248.3018566530063</v>
      </c>
      <c r="M26" s="132">
        <v>-1041.222783475376</v>
      </c>
      <c r="N26" s="133">
        <f t="shared" ref="N26:N55" si="3">O26-M26</f>
        <v>13712.12293996392</v>
      </c>
      <c r="O26" s="134">
        <f>'[1]Internal Kennedy Total'!M18</f>
        <v>12670.900156488544</v>
      </c>
      <c r="P26" s="135">
        <f t="shared" ref="P26:P55" si="4">+C26*D26</f>
        <v>3587.2069268459386</v>
      </c>
      <c r="Q26" s="136">
        <f t="shared" ref="Q26:Q55" si="5">+E26*F26</f>
        <v>10638.557122535723</v>
      </c>
      <c r="R26" s="136">
        <f t="shared" ref="R26:R55" si="6">+G26*H26</f>
        <v>3915.587505414469</v>
      </c>
      <c r="S26" s="136">
        <f t="shared" ref="S26:S55" si="7">I26*J26</f>
        <v>1762.7604065422158</v>
      </c>
      <c r="T26" s="137">
        <f t="shared" ref="T26:T55" si="8">K26*L26</f>
        <v>13750.550864430877</v>
      </c>
      <c r="U26" s="138">
        <f t="shared" ref="U26:U55" si="9">SUM(P26:T26)</f>
        <v>33654.662825769221</v>
      </c>
    </row>
    <row r="27" spans="1:21" x14ac:dyDescent="0.2">
      <c r="A27" s="124">
        <f>+'[1]Index Pricing'!A8</f>
        <v>37197</v>
      </c>
      <c r="B27" s="125">
        <f>+'[1]Index Pricing'!B8</f>
        <v>2.36</v>
      </c>
      <c r="C27" s="139">
        <f t="shared" si="0"/>
        <v>2.36</v>
      </c>
      <c r="D27" s="140">
        <f>O27*'[1]Internal Kennedy Total'!T19</f>
        <v>1343.5231935752579</v>
      </c>
      <c r="E27" s="141">
        <f>+'[1]Index Pricing'!$B$4+'Box Draw Detail'!$K$17</f>
        <v>2.7753999999999999</v>
      </c>
      <c r="F27" s="142">
        <f>O27*'[1]Internal Kennedy Total'!U19</f>
        <v>3833.1617505713489</v>
      </c>
      <c r="G27" s="141">
        <f t="shared" si="1"/>
        <v>2.54</v>
      </c>
      <c r="H27" s="143">
        <f>O27*'[1]Internal Kennedy Total'!V19</f>
        <v>1541.5698840214441</v>
      </c>
      <c r="I27" s="141">
        <f t="shared" si="2"/>
        <v>2.1926999999999999</v>
      </c>
      <c r="J27" s="144">
        <f>O27*'[1]Internal Kennedy Total'!W19</f>
        <v>704.34347166748535</v>
      </c>
      <c r="K27" s="141">
        <f>B27+$K$19+'[1]Kennedy Gas Daily Pricing'!B8</f>
        <v>2.31</v>
      </c>
      <c r="L27" s="144">
        <f>'[1]Internal Kennedy Total'!X19*'[1]Internal Kennedy Total'!M19</f>
        <v>5858.4504261933425</v>
      </c>
      <c r="M27" s="145">
        <v>-1091.3613359116039</v>
      </c>
      <c r="N27" s="146">
        <f t="shared" si="3"/>
        <v>14372.410061940484</v>
      </c>
      <c r="O27" s="147">
        <f>'[1]Internal Kennedy Total'!M19</f>
        <v>13281.048726028879</v>
      </c>
      <c r="P27" s="135">
        <f t="shared" si="4"/>
        <v>3170.7147368376086</v>
      </c>
      <c r="Q27" s="136">
        <f t="shared" si="5"/>
        <v>10638.557122535722</v>
      </c>
      <c r="R27" s="136">
        <f t="shared" si="6"/>
        <v>3915.5875054144681</v>
      </c>
      <c r="S27" s="136">
        <f t="shared" si="7"/>
        <v>1544.413930325295</v>
      </c>
      <c r="T27" s="137">
        <f t="shared" si="8"/>
        <v>13533.020484506622</v>
      </c>
      <c r="U27" s="148">
        <f t="shared" si="9"/>
        <v>32802.293779619715</v>
      </c>
    </row>
    <row r="28" spans="1:21" x14ac:dyDescent="0.2">
      <c r="A28" s="124">
        <f>+'[1]Index Pricing'!A9</f>
        <v>37198</v>
      </c>
      <c r="B28" s="125">
        <f>+'[1]Index Pricing'!B9</f>
        <v>2.0150000000000001</v>
      </c>
      <c r="C28" s="139">
        <f t="shared" si="0"/>
        <v>2.0150000000000001</v>
      </c>
      <c r="D28" s="140">
        <f>O28*'[1]Internal Kennedy Total'!T20</f>
        <v>1343.5231935752579</v>
      </c>
      <c r="E28" s="141">
        <f>+'[1]Index Pricing'!$B$4+'Box Draw Detail'!$K$17</f>
        <v>2.7753999999999999</v>
      </c>
      <c r="F28" s="142">
        <f>O28*'[1]Internal Kennedy Total'!U20</f>
        <v>3833.1617505713493</v>
      </c>
      <c r="G28" s="141">
        <f t="shared" si="1"/>
        <v>2.54</v>
      </c>
      <c r="H28" s="143">
        <f>O28*'[1]Internal Kennedy Total'!V20</f>
        <v>1541.5698840214443</v>
      </c>
      <c r="I28" s="141">
        <f t="shared" si="2"/>
        <v>1.8477000000000001</v>
      </c>
      <c r="J28" s="144">
        <f>O28*'[1]Internal Kennedy Total'!W20</f>
        <v>704.34347166748546</v>
      </c>
      <c r="K28" s="141">
        <f>B28+$K$19+'[1]Kennedy Gas Daily Pricing'!B9</f>
        <v>1.9650000000000001</v>
      </c>
      <c r="L28" s="144">
        <f>'[1]Internal Kennedy Total'!X20*'[1]Internal Kennedy Total'!M20</f>
        <v>6318.6459098010146</v>
      </c>
      <c r="M28" s="145">
        <v>-1129.1775933571655</v>
      </c>
      <c r="N28" s="146">
        <f t="shared" si="3"/>
        <v>14870.421802993718</v>
      </c>
      <c r="O28" s="147">
        <f>'[1]Internal Kennedy Total'!M20</f>
        <v>13741.244209636552</v>
      </c>
      <c r="P28" s="135">
        <f t="shared" si="4"/>
        <v>2707.199235054145</v>
      </c>
      <c r="Q28" s="136">
        <f t="shared" si="5"/>
        <v>10638.557122535722</v>
      </c>
      <c r="R28" s="136">
        <f t="shared" si="6"/>
        <v>3915.5875054144685</v>
      </c>
      <c r="S28" s="136">
        <f t="shared" si="7"/>
        <v>1301.415432600013</v>
      </c>
      <c r="T28" s="137">
        <f t="shared" si="8"/>
        <v>12416.139212758993</v>
      </c>
      <c r="U28" s="148">
        <f t="shared" si="9"/>
        <v>30978.898508363342</v>
      </c>
    </row>
    <row r="29" spans="1:21" x14ac:dyDescent="0.2">
      <c r="A29" s="124">
        <f>+'[1]Index Pricing'!A10</f>
        <v>37199</v>
      </c>
      <c r="B29" s="125">
        <f>+'[1]Index Pricing'!B10</f>
        <v>2.0150000000000001</v>
      </c>
      <c r="C29" s="139">
        <f t="shared" si="0"/>
        <v>2.0150000000000001</v>
      </c>
      <c r="D29" s="140">
        <f>O29*'[1]Internal Kennedy Total'!T21</f>
        <v>1343.5231935752579</v>
      </c>
      <c r="E29" s="141">
        <f>+'[1]Index Pricing'!$B$4+'Box Draw Detail'!$K$17</f>
        <v>2.7753999999999999</v>
      </c>
      <c r="F29" s="142">
        <f>O29*'[1]Internal Kennedy Total'!U21</f>
        <v>3833.1617505713493</v>
      </c>
      <c r="G29" s="141">
        <f t="shared" si="1"/>
        <v>2.54</v>
      </c>
      <c r="H29" s="143">
        <f>O29*'[1]Internal Kennedy Total'!V21</f>
        <v>1541.5698840214443</v>
      </c>
      <c r="I29" s="141">
        <f t="shared" si="2"/>
        <v>1.8477000000000001</v>
      </c>
      <c r="J29" s="144">
        <f>O29*'[1]Internal Kennedy Total'!W21</f>
        <v>704.34347166748546</v>
      </c>
      <c r="K29" s="141">
        <f>B29+$K$19+'[1]Kennedy Gas Daily Pricing'!B10</f>
        <v>1.9650000000000001</v>
      </c>
      <c r="L29" s="144">
        <f>'[1]Internal Kennedy Total'!X21*'[1]Internal Kennedy Total'!M21</f>
        <v>6080.5577538106472</v>
      </c>
      <c r="M29" s="145">
        <v>-1109.6128576690016</v>
      </c>
      <c r="N29" s="146">
        <f t="shared" si="3"/>
        <v>14612.768911315186</v>
      </c>
      <c r="O29" s="147">
        <f>'[1]Internal Kennedy Total'!M21</f>
        <v>13503.156053646184</v>
      </c>
      <c r="P29" s="135">
        <f t="shared" si="4"/>
        <v>2707.199235054145</v>
      </c>
      <c r="Q29" s="136">
        <f t="shared" si="5"/>
        <v>10638.557122535722</v>
      </c>
      <c r="R29" s="136">
        <f t="shared" si="6"/>
        <v>3915.5875054144685</v>
      </c>
      <c r="S29" s="136">
        <f t="shared" si="7"/>
        <v>1301.415432600013</v>
      </c>
      <c r="T29" s="137">
        <f t="shared" si="8"/>
        <v>11948.295986237923</v>
      </c>
      <c r="U29" s="148">
        <f t="shared" si="9"/>
        <v>30511.055281842273</v>
      </c>
    </row>
    <row r="30" spans="1:21" x14ac:dyDescent="0.2">
      <c r="A30" s="124">
        <f>+'[1]Index Pricing'!A11</f>
        <v>37200</v>
      </c>
      <c r="B30" s="125">
        <f>+'[1]Index Pricing'!B11</f>
        <v>2.0150000000000001</v>
      </c>
      <c r="C30" s="139">
        <f t="shared" si="0"/>
        <v>2.0150000000000001</v>
      </c>
      <c r="D30" s="140">
        <f>O30*'[1]Internal Kennedy Total'!T22</f>
        <v>1343.5231935752581</v>
      </c>
      <c r="E30" s="141">
        <f>+'[1]Index Pricing'!$B$4+'Box Draw Detail'!$K$17</f>
        <v>2.7753999999999999</v>
      </c>
      <c r="F30" s="142">
        <f>O30*'[1]Internal Kennedy Total'!U22</f>
        <v>3833.1617505713493</v>
      </c>
      <c r="G30" s="141">
        <f t="shared" si="1"/>
        <v>2.54</v>
      </c>
      <c r="H30" s="143">
        <f>O30*'[1]Internal Kennedy Total'!V22</f>
        <v>1541.5698840214445</v>
      </c>
      <c r="I30" s="141">
        <f t="shared" si="2"/>
        <v>1.8477000000000001</v>
      </c>
      <c r="J30" s="144">
        <f>O30*'[1]Internal Kennedy Total'!W22</f>
        <v>704.34347166748546</v>
      </c>
      <c r="K30" s="141">
        <f>B30+$K$19+'[1]Kennedy Gas Daily Pricing'!B11</f>
        <v>1.9650000000000001</v>
      </c>
      <c r="L30" s="144">
        <f>'[1]Internal Kennedy Total'!X22*'[1]Internal Kennedy Total'!M22</f>
        <v>6260.5254119972797</v>
      </c>
      <c r="M30" s="145">
        <v>-1124.4015801495175</v>
      </c>
      <c r="N30" s="146">
        <f t="shared" si="3"/>
        <v>14807.525291982334</v>
      </c>
      <c r="O30" s="147">
        <f>'[1]Internal Kennedy Total'!M22</f>
        <v>13683.123711832817</v>
      </c>
      <c r="P30" s="135">
        <f t="shared" si="4"/>
        <v>2707.1992350541454</v>
      </c>
      <c r="Q30" s="136">
        <f t="shared" si="5"/>
        <v>10638.557122535722</v>
      </c>
      <c r="R30" s="136">
        <f t="shared" si="6"/>
        <v>3915.587505414469</v>
      </c>
      <c r="S30" s="136">
        <f t="shared" si="7"/>
        <v>1301.415432600013</v>
      </c>
      <c r="T30" s="137">
        <f t="shared" si="8"/>
        <v>12301.932434574655</v>
      </c>
      <c r="U30" s="148">
        <f t="shared" si="9"/>
        <v>30864.691730179009</v>
      </c>
    </row>
    <row r="31" spans="1:21" x14ac:dyDescent="0.2">
      <c r="A31" s="124">
        <f>+'[1]Index Pricing'!A12</f>
        <v>37201</v>
      </c>
      <c r="B31" s="125">
        <f>+'[1]Index Pricing'!B12</f>
        <v>2.16</v>
      </c>
      <c r="C31" s="139">
        <f t="shared" si="0"/>
        <v>2.16</v>
      </c>
      <c r="D31" s="140">
        <f>O31*'[1]Internal Kennedy Total'!T23</f>
        <v>1343.5231935752577</v>
      </c>
      <c r="E31" s="141">
        <f>+'[1]Index Pricing'!$B$4+'Box Draw Detail'!$K$17</f>
        <v>2.7753999999999999</v>
      </c>
      <c r="F31" s="142">
        <f>O31*'[1]Internal Kennedy Total'!U23</f>
        <v>3833.1617505713489</v>
      </c>
      <c r="G31" s="141">
        <f t="shared" si="1"/>
        <v>2.54</v>
      </c>
      <c r="H31" s="143">
        <f>O31*'[1]Internal Kennedy Total'!V23</f>
        <v>1541.5698840214441</v>
      </c>
      <c r="I31" s="141">
        <f t="shared" si="2"/>
        <v>1.9927000000000001</v>
      </c>
      <c r="J31" s="144">
        <f>O31*'[1]Internal Kennedy Total'!W23</f>
        <v>704.34347166748535</v>
      </c>
      <c r="K31" s="141">
        <f>B31+$K$19+'[1]Kennedy Gas Daily Pricing'!B12</f>
        <v>2.1100000000000003</v>
      </c>
      <c r="L31" s="144">
        <f>'[1]Internal Kennedy Total'!X23*'[1]Internal Kennedy Total'!M23</f>
        <v>6052.5878223561849</v>
      </c>
      <c r="M31" s="145">
        <v>-1107.3144471754333</v>
      </c>
      <c r="N31" s="146">
        <f t="shared" si="3"/>
        <v>14582.500569367154</v>
      </c>
      <c r="O31" s="147">
        <f>'[1]Internal Kennedy Total'!M23</f>
        <v>13475.186122191721</v>
      </c>
      <c r="P31" s="135">
        <f t="shared" si="4"/>
        <v>2902.0100981225569</v>
      </c>
      <c r="Q31" s="136">
        <f t="shared" si="5"/>
        <v>10638.557122535722</v>
      </c>
      <c r="R31" s="136">
        <f t="shared" si="6"/>
        <v>3915.5875054144681</v>
      </c>
      <c r="S31" s="136">
        <f t="shared" si="7"/>
        <v>1403.5452359917981</v>
      </c>
      <c r="T31" s="137">
        <f t="shared" si="8"/>
        <v>12770.960305171551</v>
      </c>
      <c r="U31" s="148">
        <f t="shared" si="9"/>
        <v>31630.660267236097</v>
      </c>
    </row>
    <row r="32" spans="1:21" x14ac:dyDescent="0.2">
      <c r="A32" s="124">
        <f>+'[1]Index Pricing'!A13</f>
        <v>37202</v>
      </c>
      <c r="B32" s="149">
        <f>+'[1]Index Pricing'!B13</f>
        <v>2.1349999999999998</v>
      </c>
      <c r="C32" s="139">
        <f t="shared" si="0"/>
        <v>2.1349999999999998</v>
      </c>
      <c r="D32" s="140">
        <f>O32*'[1]Internal Kennedy Total'!T24</f>
        <v>1343.5231935752577</v>
      </c>
      <c r="E32" s="141">
        <f>+'[1]Index Pricing'!$B$4+'Box Draw Detail'!$K$17</f>
        <v>2.7753999999999999</v>
      </c>
      <c r="F32" s="142">
        <f>O32*'[1]Internal Kennedy Total'!U24</f>
        <v>3833.1617505713489</v>
      </c>
      <c r="G32" s="141">
        <f t="shared" si="1"/>
        <v>2.54</v>
      </c>
      <c r="H32" s="143">
        <f>O32*'[1]Internal Kennedy Total'!V24</f>
        <v>1541.5698840214441</v>
      </c>
      <c r="I32" s="141">
        <f t="shared" si="2"/>
        <v>1.9676999999999998</v>
      </c>
      <c r="J32" s="144">
        <f>O32*'[1]Internal Kennedy Total'!W24</f>
        <v>704.34347166748535</v>
      </c>
      <c r="K32" s="141">
        <f>B32+$K$19+'[1]Kennedy Gas Daily Pricing'!B13</f>
        <v>2.085</v>
      </c>
      <c r="L32" s="144">
        <f>'[1]Internal Kennedy Total'!X24*'[1]Internal Kennedy Total'!M24</f>
        <v>6300.5630380511966</v>
      </c>
      <c r="M32" s="145">
        <v>-1127.6916454115546</v>
      </c>
      <c r="N32" s="146">
        <f t="shared" si="3"/>
        <v>14850.852983298288</v>
      </c>
      <c r="O32" s="147">
        <f>'[1]Internal Kennedy Total'!M24</f>
        <v>13723.161337886733</v>
      </c>
      <c r="P32" s="135">
        <f t="shared" si="4"/>
        <v>2868.422018283175</v>
      </c>
      <c r="Q32" s="136">
        <f t="shared" si="5"/>
        <v>10638.557122535722</v>
      </c>
      <c r="R32" s="136">
        <f t="shared" si="6"/>
        <v>3915.5875054144681</v>
      </c>
      <c r="S32" s="136">
        <f t="shared" si="7"/>
        <v>1385.9366492001107</v>
      </c>
      <c r="T32" s="137">
        <f t="shared" si="8"/>
        <v>13136.673934336744</v>
      </c>
      <c r="U32" s="148">
        <f t="shared" si="9"/>
        <v>31945.177229770219</v>
      </c>
    </row>
    <row r="33" spans="1:21" x14ac:dyDescent="0.2">
      <c r="A33" s="124">
        <f>+'[1]Index Pricing'!A14</f>
        <v>37203</v>
      </c>
      <c r="B33" s="125">
        <f>+'[1]Index Pricing'!B14</f>
        <v>2.13</v>
      </c>
      <c r="C33" s="139">
        <f t="shared" si="0"/>
        <v>2.13</v>
      </c>
      <c r="D33" s="140">
        <f>O33*'[1]Internal Kennedy Total'!T25</f>
        <v>1343.5231935752579</v>
      </c>
      <c r="E33" s="141">
        <f>+'[1]Index Pricing'!$B$4+'Box Draw Detail'!$K$17</f>
        <v>2.7753999999999999</v>
      </c>
      <c r="F33" s="142">
        <f>O33*'[1]Internal Kennedy Total'!U25</f>
        <v>3833.1617505713489</v>
      </c>
      <c r="G33" s="141">
        <f t="shared" si="1"/>
        <v>2.54</v>
      </c>
      <c r="H33" s="143">
        <f>O33*'[1]Internal Kennedy Total'!V25</f>
        <v>1541.5698840214443</v>
      </c>
      <c r="I33" s="141">
        <f t="shared" si="2"/>
        <v>1.9626999999999999</v>
      </c>
      <c r="J33" s="144">
        <f>O33*'[1]Internal Kennedy Total'!W25</f>
        <v>704.34347166748546</v>
      </c>
      <c r="K33" s="141">
        <f>B33+$K$19+'[1]Kennedy Gas Daily Pricing'!B14</f>
        <v>2.08</v>
      </c>
      <c r="L33" s="144">
        <f>'[1]Internal Kennedy Total'!X25*'[1]Internal Kennedy Total'!M25</f>
        <v>6276.783810029744</v>
      </c>
      <c r="M33" s="145">
        <v>-1125.7376031822255</v>
      </c>
      <c r="N33" s="146">
        <f t="shared" si="3"/>
        <v>14825.119713047507</v>
      </c>
      <c r="O33" s="147">
        <f>'[1]Internal Kennedy Total'!M25</f>
        <v>13699.382109865281</v>
      </c>
      <c r="P33" s="135">
        <f t="shared" si="4"/>
        <v>2861.7044023152994</v>
      </c>
      <c r="Q33" s="136">
        <f t="shared" si="5"/>
        <v>10638.557122535722</v>
      </c>
      <c r="R33" s="136">
        <f t="shared" si="6"/>
        <v>3915.5875054144685</v>
      </c>
      <c r="S33" s="136">
        <f t="shared" si="7"/>
        <v>1382.4149318417735</v>
      </c>
      <c r="T33" s="137">
        <f t="shared" si="8"/>
        <v>13055.710324861868</v>
      </c>
      <c r="U33" s="148">
        <f t="shared" si="9"/>
        <v>31853.974286969133</v>
      </c>
    </row>
    <row r="34" spans="1:21" x14ac:dyDescent="0.2">
      <c r="A34" s="124">
        <f>+'[1]Index Pricing'!A15</f>
        <v>37204</v>
      </c>
      <c r="B34" s="125">
        <f>+'[1]Index Pricing'!B15</f>
        <v>1.9350000000000001</v>
      </c>
      <c r="C34" s="139">
        <f t="shared" si="0"/>
        <v>1.9350000000000001</v>
      </c>
      <c r="D34" s="140">
        <f>O34*'[1]Internal Kennedy Total'!T26</f>
        <v>1343.5231935752579</v>
      </c>
      <c r="E34" s="141">
        <f>+'[1]Index Pricing'!$B$4+'Box Draw Detail'!$K$17</f>
        <v>2.7753999999999999</v>
      </c>
      <c r="F34" s="142">
        <f>O34*'[1]Internal Kennedy Total'!U26</f>
        <v>3833.1617505713489</v>
      </c>
      <c r="G34" s="141">
        <f t="shared" si="1"/>
        <v>2.54</v>
      </c>
      <c r="H34" s="143">
        <f>O34*'[1]Internal Kennedy Total'!V26</f>
        <v>1541.5698840214443</v>
      </c>
      <c r="I34" s="141">
        <f t="shared" si="2"/>
        <v>1.7677</v>
      </c>
      <c r="J34" s="144">
        <f>O34*'[1]Internal Kennedy Total'!W26</f>
        <v>704.34347166748546</v>
      </c>
      <c r="K34" s="141">
        <f>B34+$K$19+'[1]Kennedy Gas Daily Pricing'!B15</f>
        <v>1.885</v>
      </c>
      <c r="L34" s="144">
        <f>'[1]Internal Kennedy Total'!X26*'[1]Internal Kennedy Total'!M26</f>
        <v>5993.4142263099266</v>
      </c>
      <c r="M34" s="145">
        <v>-1102.4518963209084</v>
      </c>
      <c r="N34" s="146">
        <f t="shared" si="3"/>
        <v>14518.464422466372</v>
      </c>
      <c r="O34" s="147">
        <f>'[1]Internal Kennedy Total'!M26</f>
        <v>13416.012526145463</v>
      </c>
      <c r="P34" s="135">
        <f t="shared" si="4"/>
        <v>2599.7173795681242</v>
      </c>
      <c r="Q34" s="136">
        <f t="shared" si="5"/>
        <v>10638.557122535722</v>
      </c>
      <c r="R34" s="136">
        <f t="shared" si="6"/>
        <v>3915.5875054144685</v>
      </c>
      <c r="S34" s="136">
        <f t="shared" si="7"/>
        <v>1245.0679548666142</v>
      </c>
      <c r="T34" s="137">
        <f t="shared" si="8"/>
        <v>11297.585816594212</v>
      </c>
      <c r="U34" s="148">
        <f t="shared" si="9"/>
        <v>29696.515778979141</v>
      </c>
    </row>
    <row r="35" spans="1:21" x14ac:dyDescent="0.2">
      <c r="A35" s="124">
        <f>+'[1]Index Pricing'!A16</f>
        <v>37205</v>
      </c>
      <c r="B35" s="125">
        <f>+'[1]Index Pricing'!B16</f>
        <v>1.7</v>
      </c>
      <c r="C35" s="139">
        <f t="shared" si="0"/>
        <v>1.7</v>
      </c>
      <c r="D35" s="140">
        <f>O35*'[1]Internal Kennedy Total'!T27</f>
        <v>1343.5231935752579</v>
      </c>
      <c r="E35" s="141">
        <f>+'[1]Index Pricing'!$B$4+'Box Draw Detail'!$K$17</f>
        <v>2.7753999999999999</v>
      </c>
      <c r="F35" s="142">
        <f>O35*'[1]Internal Kennedy Total'!U27</f>
        <v>3833.1617505713489</v>
      </c>
      <c r="G35" s="141">
        <f t="shared" si="1"/>
        <v>2.54</v>
      </c>
      <c r="H35" s="143">
        <f>O35*'[1]Internal Kennedy Total'!V27</f>
        <v>1541.5698840214441</v>
      </c>
      <c r="I35" s="141">
        <f t="shared" si="2"/>
        <v>1.5327</v>
      </c>
      <c r="J35" s="144">
        <f>O35*'[1]Internal Kennedy Total'!W27</f>
        <v>704.34347166748535</v>
      </c>
      <c r="K35" s="141">
        <f>B35+$K$19+'[1]Kennedy Gas Daily Pricing'!B16</f>
        <v>1.65</v>
      </c>
      <c r="L35" s="144">
        <f>'[1]Internal Kennedy Total'!X27*'[1]Internal Kennedy Total'!M27</f>
        <v>4786.065275775326</v>
      </c>
      <c r="M35" s="145">
        <v>-1003.2388002207106</v>
      </c>
      <c r="N35" s="146">
        <f t="shared" si="3"/>
        <v>13211.902375831572</v>
      </c>
      <c r="O35" s="147">
        <f>'[1]Internal Kennedy Total'!M27</f>
        <v>12208.663575610863</v>
      </c>
      <c r="P35" s="135">
        <f t="shared" si="4"/>
        <v>2283.9894290779384</v>
      </c>
      <c r="Q35" s="136">
        <f t="shared" si="5"/>
        <v>10638.557122535722</v>
      </c>
      <c r="R35" s="136">
        <f t="shared" si="6"/>
        <v>3915.5875054144681</v>
      </c>
      <c r="S35" s="136">
        <f t="shared" si="7"/>
        <v>1079.5472390247548</v>
      </c>
      <c r="T35" s="137">
        <f t="shared" si="8"/>
        <v>7897.0077050292875</v>
      </c>
      <c r="U35" s="148">
        <f t="shared" si="9"/>
        <v>25814.689001082173</v>
      </c>
    </row>
    <row r="36" spans="1:21" x14ac:dyDescent="0.2">
      <c r="A36" s="124">
        <f>+'[1]Index Pricing'!A17</f>
        <v>37206</v>
      </c>
      <c r="B36" s="125">
        <f>+'[1]Index Pricing'!B17</f>
        <v>1.7</v>
      </c>
      <c r="C36" s="139">
        <f t="shared" si="0"/>
        <v>1.7</v>
      </c>
      <c r="D36" s="140">
        <f>O36*'[1]Internal Kennedy Total'!T28</f>
        <v>1343.5231935752581</v>
      </c>
      <c r="E36" s="141">
        <f>+'[1]Index Pricing'!$B$4+'Box Draw Detail'!$K$17</f>
        <v>2.7753999999999999</v>
      </c>
      <c r="F36" s="142">
        <f>O36*'[1]Internal Kennedy Total'!U28</f>
        <v>3833.1617505713498</v>
      </c>
      <c r="G36" s="141">
        <f t="shared" si="1"/>
        <v>2.54</v>
      </c>
      <c r="H36" s="143">
        <f>O36*'[1]Internal Kennedy Total'!V28</f>
        <v>1541.5698840214443</v>
      </c>
      <c r="I36" s="141">
        <f t="shared" si="2"/>
        <v>1.5327</v>
      </c>
      <c r="J36" s="144">
        <f>O36*'[1]Internal Kennedy Total'!W28</f>
        <v>704.34347166748546</v>
      </c>
      <c r="K36" s="141">
        <f>B36+$K$19+'[1]Kennedy Gas Daily Pricing'!B17</f>
        <v>1.65</v>
      </c>
      <c r="L36" s="144">
        <f>'[1]Internal Kennedy Total'!X28*'[1]Internal Kennedy Total'!M28</f>
        <v>4557.7210474595868</v>
      </c>
      <c r="M36" s="145">
        <v>-984.47476530124209</v>
      </c>
      <c r="N36" s="146">
        <f t="shared" si="3"/>
        <v>12964.794112596366</v>
      </c>
      <c r="O36" s="147">
        <f>'[1]Internal Kennedy Total'!M28</f>
        <v>11980.319347295124</v>
      </c>
      <c r="P36" s="135">
        <f t="shared" si="4"/>
        <v>2283.9894290779389</v>
      </c>
      <c r="Q36" s="136">
        <f t="shared" si="5"/>
        <v>10638.557122535723</v>
      </c>
      <c r="R36" s="136">
        <f t="shared" si="6"/>
        <v>3915.5875054144685</v>
      </c>
      <c r="S36" s="136">
        <f t="shared" si="7"/>
        <v>1079.5472390247548</v>
      </c>
      <c r="T36" s="137">
        <f t="shared" si="8"/>
        <v>7520.2397283083174</v>
      </c>
      <c r="U36" s="148">
        <f t="shared" si="9"/>
        <v>25437.921024361203</v>
      </c>
    </row>
    <row r="37" spans="1:21" x14ac:dyDescent="0.2">
      <c r="A37" s="124">
        <f>+'[1]Index Pricing'!A18</f>
        <v>37207</v>
      </c>
      <c r="B37" s="125">
        <f>+'[1]Index Pricing'!B18</f>
        <v>1.7</v>
      </c>
      <c r="C37" s="139">
        <f t="shared" si="0"/>
        <v>1.7</v>
      </c>
      <c r="D37" s="140">
        <f>O37*'[1]Internal Kennedy Total'!T29</f>
        <v>1343.5231935752577</v>
      </c>
      <c r="E37" s="141">
        <f>+'[1]Index Pricing'!$B$4+'Box Draw Detail'!$K$17</f>
        <v>2.7753999999999999</v>
      </c>
      <c r="F37" s="142">
        <f>O37*'[1]Internal Kennedy Total'!U29</f>
        <v>3833.1617505713484</v>
      </c>
      <c r="G37" s="141">
        <f t="shared" si="1"/>
        <v>2.54</v>
      </c>
      <c r="H37" s="143">
        <f>O37*'[1]Internal Kennedy Total'!V29</f>
        <v>1541.5698840214441</v>
      </c>
      <c r="I37" s="141">
        <f t="shared" si="2"/>
        <v>1.5327</v>
      </c>
      <c r="J37" s="144">
        <f>O37*'[1]Internal Kennedy Total'!W29</f>
        <v>704.34347166748535</v>
      </c>
      <c r="K37" s="141">
        <f>B37+$K$19+'[1]Kennedy Gas Daily Pricing'!B18</f>
        <v>1.65</v>
      </c>
      <c r="L37" s="144">
        <f>'[1]Internal Kennedy Total'!X29*'[1]Internal Kennedy Total'!M29</f>
        <v>4664.146483778808</v>
      </c>
      <c r="M37" s="145">
        <v>-993.22020466768936</v>
      </c>
      <c r="N37" s="146">
        <f t="shared" si="3"/>
        <v>13079.964988282034</v>
      </c>
      <c r="O37" s="147">
        <f>'[1]Internal Kennedy Total'!M29</f>
        <v>12086.744783614344</v>
      </c>
      <c r="P37" s="135">
        <f t="shared" si="4"/>
        <v>2283.989429077938</v>
      </c>
      <c r="Q37" s="136">
        <f t="shared" si="5"/>
        <v>10638.55712253572</v>
      </c>
      <c r="R37" s="136">
        <f t="shared" si="6"/>
        <v>3915.5875054144681</v>
      </c>
      <c r="S37" s="136">
        <f t="shared" si="7"/>
        <v>1079.5472390247548</v>
      </c>
      <c r="T37" s="137">
        <f t="shared" si="8"/>
        <v>7695.8416982350327</v>
      </c>
      <c r="U37" s="148">
        <f t="shared" si="9"/>
        <v>25613.522994287912</v>
      </c>
    </row>
    <row r="38" spans="1:21" x14ac:dyDescent="0.2">
      <c r="A38" s="124">
        <f>+'[1]Index Pricing'!A19</f>
        <v>37208</v>
      </c>
      <c r="B38" s="125">
        <f>+'[1]Index Pricing'!B19</f>
        <v>1.52</v>
      </c>
      <c r="C38" s="139">
        <f t="shared" si="0"/>
        <v>1.52</v>
      </c>
      <c r="D38" s="140">
        <f>O38*'[1]Internal Kennedy Total'!T30</f>
        <v>1343.5231935752579</v>
      </c>
      <c r="E38" s="141">
        <f>+'[1]Index Pricing'!$B$4+'Box Draw Detail'!$K$17</f>
        <v>2.7753999999999999</v>
      </c>
      <c r="F38" s="142">
        <f>O38*'[1]Internal Kennedy Total'!U30</f>
        <v>3833.1617505713493</v>
      </c>
      <c r="G38" s="141">
        <f t="shared" si="1"/>
        <v>2.54</v>
      </c>
      <c r="H38" s="143">
        <f>O38*'[1]Internal Kennedy Total'!V30</f>
        <v>1541.5698840214443</v>
      </c>
      <c r="I38" s="141">
        <f t="shared" si="2"/>
        <v>1.3527</v>
      </c>
      <c r="J38" s="144">
        <f>O38*'[1]Internal Kennedy Total'!W30</f>
        <v>704.34347166748535</v>
      </c>
      <c r="K38" s="141">
        <f>B38+$K$19+'[1]Kennedy Gas Daily Pricing'!B19</f>
        <v>1.47</v>
      </c>
      <c r="L38" s="144">
        <f>'[1]Internal Kennedy Total'!X30*'[1]Internal Kennedy Total'!M30</f>
        <v>2791.1262098170469</v>
      </c>
      <c r="M38" s="145">
        <v>-839.30601080028714</v>
      </c>
      <c r="N38" s="146">
        <f t="shared" si="3"/>
        <v>11053.03052045287</v>
      </c>
      <c r="O38" s="147">
        <f>'[1]Internal Kennedy Total'!M30</f>
        <v>10213.724509652584</v>
      </c>
      <c r="P38" s="135">
        <f t="shared" si="4"/>
        <v>2042.155254234392</v>
      </c>
      <c r="Q38" s="136">
        <f t="shared" si="5"/>
        <v>10638.557122535722</v>
      </c>
      <c r="R38" s="136">
        <f t="shared" si="6"/>
        <v>3915.5875054144685</v>
      </c>
      <c r="S38" s="136">
        <f t="shared" si="7"/>
        <v>952.76541412460745</v>
      </c>
      <c r="T38" s="137">
        <f t="shared" si="8"/>
        <v>4102.9555284310591</v>
      </c>
      <c r="U38" s="148">
        <f t="shared" si="9"/>
        <v>21652.020824740248</v>
      </c>
    </row>
    <row r="39" spans="1:21" x14ac:dyDescent="0.2">
      <c r="A39" s="124">
        <f>+'[1]Index Pricing'!A20</f>
        <v>37209</v>
      </c>
      <c r="B39" s="125">
        <f>+'[1]Index Pricing'!B20</f>
        <v>1.595</v>
      </c>
      <c r="C39" s="139">
        <f t="shared" si="0"/>
        <v>1.595</v>
      </c>
      <c r="D39" s="140">
        <f>O39*'[1]Internal Kennedy Total'!T31</f>
        <v>1343.5231935752579</v>
      </c>
      <c r="E39" s="141">
        <f>+'[1]Index Pricing'!$B$4+'Box Draw Detail'!$K$17</f>
        <v>2.7753999999999999</v>
      </c>
      <c r="F39" s="142">
        <f>O39*'[1]Internal Kennedy Total'!U31</f>
        <v>3833.1617505713493</v>
      </c>
      <c r="G39" s="141">
        <f t="shared" si="1"/>
        <v>2.54</v>
      </c>
      <c r="H39" s="143">
        <f>O39*'[1]Internal Kennedy Total'!V31</f>
        <v>1541.5698840214443</v>
      </c>
      <c r="I39" s="141">
        <f t="shared" si="2"/>
        <v>1.4277</v>
      </c>
      <c r="J39" s="144">
        <f>O39*'[1]Internal Kennedy Total'!W31</f>
        <v>704.34347166748546</v>
      </c>
      <c r="K39" s="141">
        <f>B39+$K$19+'[1]Kennedy Gas Daily Pricing'!B20</f>
        <v>1.5449999999999999</v>
      </c>
      <c r="L39" s="144">
        <f>'[1]Internal Kennedy Total'!X31*'[1]Internal Kennedy Total'!M31</f>
        <v>3887.0190312005379</v>
      </c>
      <c r="M39" s="145">
        <v>-929.36027370025022</v>
      </c>
      <c r="N39" s="146">
        <f t="shared" si="3"/>
        <v>12238.977604736327</v>
      </c>
      <c r="O39" s="147">
        <f>'[1]Internal Kennedy Total'!M31</f>
        <v>11309.617331036075</v>
      </c>
      <c r="P39" s="135">
        <f t="shared" si="4"/>
        <v>2142.9194937525363</v>
      </c>
      <c r="Q39" s="136">
        <f t="shared" si="5"/>
        <v>10638.557122535722</v>
      </c>
      <c r="R39" s="136">
        <f t="shared" si="6"/>
        <v>3915.5875054144685</v>
      </c>
      <c r="S39" s="136">
        <f t="shared" si="7"/>
        <v>1005.591174499669</v>
      </c>
      <c r="T39" s="137">
        <f t="shared" si="8"/>
        <v>6005.4444032048305</v>
      </c>
      <c r="U39" s="148">
        <f t="shared" si="9"/>
        <v>23708.099699407227</v>
      </c>
    </row>
    <row r="40" spans="1:21" x14ac:dyDescent="0.2">
      <c r="A40" s="124">
        <f>+'[1]Index Pricing'!A21</f>
        <v>37210</v>
      </c>
      <c r="B40" s="125">
        <f>+'[1]Index Pricing'!B21</f>
        <v>1.84</v>
      </c>
      <c r="C40" s="139">
        <f t="shared" si="0"/>
        <v>1.84</v>
      </c>
      <c r="D40" s="140">
        <f>O40*'[1]Internal Kennedy Total'!T32</f>
        <v>1343.5231935752579</v>
      </c>
      <c r="E40" s="141">
        <f>+'[1]Index Pricing'!$B$4+'Box Draw Detail'!$K$17</f>
        <v>2.7753999999999999</v>
      </c>
      <c r="F40" s="142">
        <f>O40*'[1]Internal Kennedy Total'!U32</f>
        <v>3833.1617505713489</v>
      </c>
      <c r="G40" s="141">
        <f t="shared" si="1"/>
        <v>2.54</v>
      </c>
      <c r="H40" s="143">
        <f>O40*'[1]Internal Kennedy Total'!V32</f>
        <v>1541.5698840214443</v>
      </c>
      <c r="I40" s="141">
        <f t="shared" si="2"/>
        <v>1.6727000000000001</v>
      </c>
      <c r="J40" s="144">
        <f>O40*'[1]Internal Kennedy Total'!W32</f>
        <v>704.34347166748535</v>
      </c>
      <c r="K40" s="141">
        <f>B40+$K$19+'[1]Kennedy Gas Daily Pricing'!B21</f>
        <v>1.79</v>
      </c>
      <c r="L40" s="144">
        <f>'[1]Internal Kennedy Total'!X32*'[1]Internal Kennedy Total'!M32</f>
        <v>4532.998818525808</v>
      </c>
      <c r="M40" s="145">
        <v>-982.44323259983685</v>
      </c>
      <c r="N40" s="146">
        <f t="shared" si="3"/>
        <v>12938.040350961181</v>
      </c>
      <c r="O40" s="147">
        <f>'[1]Internal Kennedy Total'!M32</f>
        <v>11955.597118361344</v>
      </c>
      <c r="P40" s="135">
        <f t="shared" si="4"/>
        <v>2472.0826761784747</v>
      </c>
      <c r="Q40" s="136">
        <f t="shared" si="5"/>
        <v>10638.557122535722</v>
      </c>
      <c r="R40" s="136">
        <f t="shared" si="6"/>
        <v>3915.5875054144685</v>
      </c>
      <c r="S40" s="136">
        <f t="shared" si="7"/>
        <v>1178.1553250582028</v>
      </c>
      <c r="T40" s="137">
        <f t="shared" si="8"/>
        <v>8114.0678851611965</v>
      </c>
      <c r="U40" s="148">
        <f t="shared" si="9"/>
        <v>26318.450514348064</v>
      </c>
    </row>
    <row r="41" spans="1:21" x14ac:dyDescent="0.2">
      <c r="A41" s="124">
        <f>+'[1]Index Pricing'!A22</f>
        <v>37211</v>
      </c>
      <c r="B41" s="125">
        <f>+'[1]Index Pricing'!B22</f>
        <v>1.4350000000000001</v>
      </c>
      <c r="C41" s="139">
        <f t="shared" si="0"/>
        <v>1.4350000000000001</v>
      </c>
      <c r="D41" s="140">
        <f>O41*'[1]Internal Kennedy Total'!T33</f>
        <v>1343.5231935752579</v>
      </c>
      <c r="E41" s="141">
        <f>+'[1]Index Pricing'!$B$4+'Box Draw Detail'!$K$17</f>
        <v>2.7753999999999999</v>
      </c>
      <c r="F41" s="142">
        <f>O41*'[1]Internal Kennedy Total'!U33</f>
        <v>3833.1617505713493</v>
      </c>
      <c r="G41" s="141">
        <f t="shared" si="1"/>
        <v>2.54</v>
      </c>
      <c r="H41" s="143">
        <f>O41*'[1]Internal Kennedy Total'!V33</f>
        <v>1541.5698840214441</v>
      </c>
      <c r="I41" s="141">
        <f t="shared" si="2"/>
        <v>1.2677</v>
      </c>
      <c r="J41" s="144">
        <f>O41*'[1]Internal Kennedy Total'!W33</f>
        <v>704.34347166748535</v>
      </c>
      <c r="K41" s="141">
        <f>B41+$K$19+'[1]Kennedy Gas Daily Pricing'!B22</f>
        <v>1.385</v>
      </c>
      <c r="L41" s="144">
        <f>'[1]Internal Kennedy Total'!X33*'[1]Internal Kennedy Total'!M33</f>
        <v>4631.4972104790058</v>
      </c>
      <c r="M41" s="145">
        <v>-990.5372723737072</v>
      </c>
      <c r="N41" s="146">
        <f t="shared" si="3"/>
        <v>13044.63278268825</v>
      </c>
      <c r="O41" s="147">
        <f>'[1]Internal Kennedy Total'!M33</f>
        <v>12054.095510314542</v>
      </c>
      <c r="P41" s="135">
        <f t="shared" si="4"/>
        <v>1927.9557827804952</v>
      </c>
      <c r="Q41" s="136">
        <f t="shared" si="5"/>
        <v>10638.557122535722</v>
      </c>
      <c r="R41" s="136">
        <f t="shared" si="6"/>
        <v>3915.5875054144681</v>
      </c>
      <c r="S41" s="136">
        <f t="shared" si="7"/>
        <v>892.89621903287116</v>
      </c>
      <c r="T41" s="137">
        <f t="shared" si="8"/>
        <v>6414.6236365134228</v>
      </c>
      <c r="U41" s="148">
        <f t="shared" si="9"/>
        <v>23789.620266276979</v>
      </c>
    </row>
    <row r="42" spans="1:21" x14ac:dyDescent="0.2">
      <c r="A42" s="124">
        <f>+'[1]Index Pricing'!A23</f>
        <v>37212</v>
      </c>
      <c r="B42" s="125">
        <f>+'[1]Index Pricing'!B23</f>
        <v>1.135</v>
      </c>
      <c r="C42" s="139">
        <f t="shared" si="0"/>
        <v>1.135</v>
      </c>
      <c r="D42" s="140">
        <f>O42*'[1]Internal Kennedy Total'!T34</f>
        <v>1343.5231935752579</v>
      </c>
      <c r="E42" s="141">
        <f>+'[1]Index Pricing'!$B$4+'Box Draw Detail'!$K$17</f>
        <v>2.7753999999999999</v>
      </c>
      <c r="F42" s="142">
        <f>O42*'[1]Internal Kennedy Total'!U34</f>
        <v>3833.1617505713484</v>
      </c>
      <c r="G42" s="141">
        <f t="shared" si="1"/>
        <v>2.54</v>
      </c>
      <c r="H42" s="143">
        <f>O42*'[1]Internal Kennedy Total'!V34</f>
        <v>1541.5698840214443</v>
      </c>
      <c r="I42" s="141">
        <f t="shared" si="2"/>
        <v>0.9677</v>
      </c>
      <c r="J42" s="144">
        <f>O42*'[1]Internal Kennedy Total'!W34</f>
        <v>704.34347166748535</v>
      </c>
      <c r="K42" s="141">
        <f>B42+$K$19+'[1]Kennedy Gas Daily Pricing'!B23</f>
        <v>1.085</v>
      </c>
      <c r="L42" s="144">
        <f>'[1]Internal Kennedy Total'!X34*'[1]Internal Kennedy Total'!M34</f>
        <v>4313.5789676084532</v>
      </c>
      <c r="M42" s="145">
        <v>-964.41255245080833</v>
      </c>
      <c r="N42" s="146">
        <f t="shared" si="3"/>
        <v>12700.589819894798</v>
      </c>
      <c r="O42" s="147">
        <f>'[1]Internal Kennedy Total'!M34</f>
        <v>11736.177267443989</v>
      </c>
      <c r="P42" s="135">
        <f t="shared" si="4"/>
        <v>1524.8988247079178</v>
      </c>
      <c r="Q42" s="136">
        <f t="shared" si="5"/>
        <v>10638.55712253572</v>
      </c>
      <c r="R42" s="136">
        <f t="shared" si="6"/>
        <v>3915.5875054144685</v>
      </c>
      <c r="S42" s="136">
        <f t="shared" si="7"/>
        <v>681.59317753262553</v>
      </c>
      <c r="T42" s="137">
        <f t="shared" si="8"/>
        <v>4680.2331798551713</v>
      </c>
      <c r="U42" s="148">
        <f t="shared" si="9"/>
        <v>21440.869810045904</v>
      </c>
    </row>
    <row r="43" spans="1:21" x14ac:dyDescent="0.2">
      <c r="A43" s="124">
        <f>+'[1]Index Pricing'!A24</f>
        <v>37213</v>
      </c>
      <c r="B43" s="125">
        <f>+'[1]Index Pricing'!B24</f>
        <v>1.135</v>
      </c>
      <c r="C43" s="139">
        <f t="shared" si="0"/>
        <v>1.135</v>
      </c>
      <c r="D43" s="140">
        <f>O43*'[1]Internal Kennedy Total'!T35</f>
        <v>1343.5231935752579</v>
      </c>
      <c r="E43" s="141">
        <f>+'[1]Index Pricing'!$B$4+'Box Draw Detail'!$K$17</f>
        <v>2.7753999999999999</v>
      </c>
      <c r="F43" s="142">
        <f>O43*'[1]Internal Kennedy Total'!U35</f>
        <v>3833.1617505713493</v>
      </c>
      <c r="G43" s="141">
        <f t="shared" si="1"/>
        <v>2.54</v>
      </c>
      <c r="H43" s="143">
        <f>O43*'[1]Internal Kennedy Total'!V35</f>
        <v>1541.5698840214443</v>
      </c>
      <c r="I43" s="141">
        <f t="shared" si="2"/>
        <v>0.9677</v>
      </c>
      <c r="J43" s="144">
        <f>O43*'[1]Internal Kennedy Total'!W35</f>
        <v>704.34347166748546</v>
      </c>
      <c r="K43" s="141">
        <f>B43+$K$19+'[1]Kennedy Gas Daily Pricing'!B24</f>
        <v>1.085</v>
      </c>
      <c r="L43" s="144">
        <f>'[1]Internal Kennedy Total'!X35*'[1]Internal Kennedy Total'!M35</f>
        <v>3490.1072317850289</v>
      </c>
      <c r="M43" s="145">
        <v>-896.74431086591233</v>
      </c>
      <c r="N43" s="146">
        <f t="shared" si="3"/>
        <v>11809.449842486478</v>
      </c>
      <c r="O43" s="147">
        <f>'[1]Internal Kennedy Total'!M35</f>
        <v>10912.705531620566</v>
      </c>
      <c r="P43" s="135">
        <f t="shared" si="4"/>
        <v>1524.8988247079178</v>
      </c>
      <c r="Q43" s="136">
        <f t="shared" si="5"/>
        <v>10638.557122535722</v>
      </c>
      <c r="R43" s="136">
        <f t="shared" si="6"/>
        <v>3915.5875054144685</v>
      </c>
      <c r="S43" s="136">
        <f t="shared" si="7"/>
        <v>681.59317753262565</v>
      </c>
      <c r="T43" s="137">
        <f t="shared" si="8"/>
        <v>3786.7663464867564</v>
      </c>
      <c r="U43" s="148">
        <f t="shared" si="9"/>
        <v>20547.402976677491</v>
      </c>
    </row>
    <row r="44" spans="1:21" x14ac:dyDescent="0.2">
      <c r="A44" s="124">
        <f>+'[1]Index Pricing'!A25</f>
        <v>37214</v>
      </c>
      <c r="B44" s="125">
        <f>+'[1]Index Pricing'!B25</f>
        <v>1.135</v>
      </c>
      <c r="C44" s="139">
        <f t="shared" si="0"/>
        <v>1.135</v>
      </c>
      <c r="D44" s="140">
        <f>O44*'[1]Internal Kennedy Total'!T36</f>
        <v>1343.5231935752579</v>
      </c>
      <c r="E44" s="141">
        <f>+'[1]Index Pricing'!$B$4+'Box Draw Detail'!$K$17</f>
        <v>2.7753999999999999</v>
      </c>
      <c r="F44" s="142">
        <f>O44*'[1]Internal Kennedy Total'!U36</f>
        <v>3833.1617505713493</v>
      </c>
      <c r="G44" s="141">
        <f t="shared" si="1"/>
        <v>2.54</v>
      </c>
      <c r="H44" s="143">
        <f>O44*'[1]Internal Kennedy Total'!V36</f>
        <v>1541.5698840214441</v>
      </c>
      <c r="I44" s="141">
        <f t="shared" si="2"/>
        <v>0.9677</v>
      </c>
      <c r="J44" s="144">
        <f>O44*'[1]Internal Kennedy Total'!W36</f>
        <v>704.34347166748535</v>
      </c>
      <c r="K44" s="141">
        <f>B44+$K$19+'[1]Kennedy Gas Daily Pricing'!B25</f>
        <v>1.085</v>
      </c>
      <c r="L44" s="144">
        <f>'[1]Internal Kennedy Total'!X36*'[1]Internal Kennedy Total'!M36</f>
        <v>4476.7348064701573</v>
      </c>
      <c r="M44" s="145">
        <v>-977.81977487240169</v>
      </c>
      <c r="N44" s="146">
        <f t="shared" si="3"/>
        <v>12877.152881178095</v>
      </c>
      <c r="O44" s="147">
        <f>'[1]Internal Kennedy Total'!M36</f>
        <v>11899.333106305694</v>
      </c>
      <c r="P44" s="135">
        <f t="shared" si="4"/>
        <v>1524.8988247079178</v>
      </c>
      <c r="Q44" s="136">
        <f t="shared" si="5"/>
        <v>10638.557122535722</v>
      </c>
      <c r="R44" s="136">
        <f t="shared" si="6"/>
        <v>3915.5875054144681</v>
      </c>
      <c r="S44" s="136">
        <f t="shared" si="7"/>
        <v>681.59317753262553</v>
      </c>
      <c r="T44" s="137">
        <f t="shared" si="8"/>
        <v>4857.2572650201209</v>
      </c>
      <c r="U44" s="148">
        <f t="shared" si="9"/>
        <v>21617.893895210855</v>
      </c>
    </row>
    <row r="45" spans="1:21" x14ac:dyDescent="0.2">
      <c r="A45" s="124">
        <f>+'[1]Index Pricing'!A26</f>
        <v>37215</v>
      </c>
      <c r="B45" s="125">
        <f>+'[1]Index Pricing'!B26</f>
        <v>1.5349999999999999</v>
      </c>
      <c r="C45" s="139">
        <f t="shared" si="0"/>
        <v>1.5349999999999999</v>
      </c>
      <c r="D45" s="140">
        <f>O45*'[1]Internal Kennedy Total'!T37</f>
        <v>1343.5231935752579</v>
      </c>
      <c r="E45" s="141">
        <f>+'[1]Index Pricing'!$B$4+'Box Draw Detail'!$K$17</f>
        <v>2.7753999999999999</v>
      </c>
      <c r="F45" s="142">
        <f>O45*'[1]Internal Kennedy Total'!U37</f>
        <v>3833.1617505713489</v>
      </c>
      <c r="G45" s="141">
        <f t="shared" si="1"/>
        <v>2.54</v>
      </c>
      <c r="H45" s="143">
        <f>O45*'[1]Internal Kennedy Total'!V37</f>
        <v>1541.5698840214443</v>
      </c>
      <c r="I45" s="141">
        <f t="shared" si="2"/>
        <v>1.3676999999999999</v>
      </c>
      <c r="J45" s="144">
        <f>O45*'[1]Internal Kennedy Total'!W37</f>
        <v>704.34347166748546</v>
      </c>
      <c r="K45" s="141">
        <f>B45+$K$19+'[1]Kennedy Gas Daily Pricing'!B26</f>
        <v>1.4849999999999999</v>
      </c>
      <c r="L45" s="144">
        <f>'[1]Internal Kennedy Total'!X37*'[1]Internal Kennedy Total'!M37</f>
        <v>5358.0430980999581</v>
      </c>
      <c r="M45" s="145">
        <v>-1050.2406969203751</v>
      </c>
      <c r="N45" s="146">
        <f t="shared" si="3"/>
        <v>13830.88209485587</v>
      </c>
      <c r="O45" s="147">
        <f>'[1]Internal Kennedy Total'!M37</f>
        <v>12780.641397935495</v>
      </c>
      <c r="P45" s="135">
        <f t="shared" si="4"/>
        <v>2062.3081021380208</v>
      </c>
      <c r="Q45" s="136">
        <f t="shared" si="5"/>
        <v>10638.557122535722</v>
      </c>
      <c r="R45" s="136">
        <f t="shared" si="6"/>
        <v>3915.5875054144685</v>
      </c>
      <c r="S45" s="136">
        <f t="shared" si="7"/>
        <v>963.33056619961985</v>
      </c>
      <c r="T45" s="137">
        <f t="shared" si="8"/>
        <v>7956.6940006784371</v>
      </c>
      <c r="U45" s="148">
        <f t="shared" si="9"/>
        <v>25536.477296966266</v>
      </c>
    </row>
    <row r="46" spans="1:21" x14ac:dyDescent="0.2">
      <c r="A46" s="124">
        <f>+'[1]Index Pricing'!A27</f>
        <v>37216</v>
      </c>
      <c r="B46" s="125">
        <f>+'[1]Index Pricing'!B27</f>
        <v>2.2050000000000001</v>
      </c>
      <c r="C46" s="139">
        <f t="shared" si="0"/>
        <v>2.2050000000000001</v>
      </c>
      <c r="D46" s="140">
        <f>O46*'[1]Internal Kennedy Total'!T38</f>
        <v>1343.5231935752579</v>
      </c>
      <c r="E46" s="141">
        <f>+'[1]Index Pricing'!$B$4+'Box Draw Detail'!$K$17</f>
        <v>2.7753999999999999</v>
      </c>
      <c r="F46" s="142">
        <f>O46*'[1]Internal Kennedy Total'!U38</f>
        <v>3833.1617505713493</v>
      </c>
      <c r="G46" s="141">
        <f t="shared" si="1"/>
        <v>2.54</v>
      </c>
      <c r="H46" s="143">
        <f>O46*'[1]Internal Kennedy Total'!V38</f>
        <v>1541.5698840214443</v>
      </c>
      <c r="I46" s="141">
        <f t="shared" si="2"/>
        <v>2.0377000000000001</v>
      </c>
      <c r="J46" s="144">
        <f>O46*'[1]Internal Kennedy Total'!W38</f>
        <v>704.34347166748546</v>
      </c>
      <c r="K46" s="141">
        <f>B46+$K$19+'[1]Kennedy Gas Daily Pricing'!B27</f>
        <v>2.1550000000000002</v>
      </c>
      <c r="L46" s="144">
        <f>'[1]Internal Kennedy Total'!X38*'[1]Internal Kennedy Total'!M38</f>
        <v>5949.1791539039541</v>
      </c>
      <c r="M46" s="145">
        <v>-1098.8169086997491</v>
      </c>
      <c r="N46" s="146">
        <f t="shared" si="3"/>
        <v>14470.59436243924</v>
      </c>
      <c r="O46" s="147">
        <f>'[1]Internal Kennedy Total'!M38</f>
        <v>13371.777453739491</v>
      </c>
      <c r="P46" s="135">
        <f t="shared" si="4"/>
        <v>2962.4686418334436</v>
      </c>
      <c r="Q46" s="136">
        <f t="shared" si="5"/>
        <v>10638.557122535722</v>
      </c>
      <c r="R46" s="136">
        <f t="shared" si="6"/>
        <v>3915.5875054144685</v>
      </c>
      <c r="S46" s="136">
        <f t="shared" si="7"/>
        <v>1435.2406922168352</v>
      </c>
      <c r="T46" s="137">
        <f t="shared" si="8"/>
        <v>12820.481076663022</v>
      </c>
      <c r="U46" s="148">
        <f t="shared" si="9"/>
        <v>31772.335038663488</v>
      </c>
    </row>
    <row r="47" spans="1:21" x14ac:dyDescent="0.2">
      <c r="A47" s="124">
        <f>+'[1]Index Pricing'!A28</f>
        <v>37217</v>
      </c>
      <c r="B47" s="125">
        <f>+'[1]Index Pricing'!B28</f>
        <v>1.43</v>
      </c>
      <c r="C47" s="139">
        <f t="shared" si="0"/>
        <v>1.43</v>
      </c>
      <c r="D47" s="140">
        <f>O47*'[1]Internal Kennedy Total'!T39</f>
        <v>1343.5231935752579</v>
      </c>
      <c r="E47" s="141">
        <f>+'[1]Index Pricing'!$B$4+'Box Draw Detail'!$K$17</f>
        <v>2.7753999999999999</v>
      </c>
      <c r="F47" s="142">
        <f>O47*'[1]Internal Kennedy Total'!U39</f>
        <v>3833.1617505713493</v>
      </c>
      <c r="G47" s="141">
        <f t="shared" si="1"/>
        <v>2.54</v>
      </c>
      <c r="H47" s="143">
        <f>O47*'[1]Internal Kennedy Total'!V39</f>
        <v>1541.5698840214443</v>
      </c>
      <c r="I47" s="141">
        <f t="shared" si="2"/>
        <v>1.2626999999999999</v>
      </c>
      <c r="J47" s="144">
        <f>O47*'[1]Internal Kennedy Total'!W39</f>
        <v>704.34347166748535</v>
      </c>
      <c r="K47" s="141">
        <f>B47+$K$19+'[1]Kennedy Gas Daily Pricing'!B28</f>
        <v>1.38</v>
      </c>
      <c r="L47" s="144">
        <f>'[1]Internal Kennedy Total'!X39*'[1]Internal Kennedy Total'!M39</f>
        <v>6224.0729157088999</v>
      </c>
      <c r="M47" s="145">
        <v>-1121.4061205388143</v>
      </c>
      <c r="N47" s="146">
        <f t="shared" si="3"/>
        <v>14768.07733608325</v>
      </c>
      <c r="O47" s="147">
        <f>'[1]Internal Kennedy Total'!M39</f>
        <v>13646.671215544437</v>
      </c>
      <c r="P47" s="135">
        <f t="shared" si="4"/>
        <v>1921.2381668126186</v>
      </c>
      <c r="Q47" s="136">
        <f t="shared" si="5"/>
        <v>10638.557122535722</v>
      </c>
      <c r="R47" s="136">
        <f t="shared" si="6"/>
        <v>3915.5875054144685</v>
      </c>
      <c r="S47" s="136">
        <f t="shared" si="7"/>
        <v>889.37450167453369</v>
      </c>
      <c r="T47" s="137">
        <f t="shared" si="8"/>
        <v>8589.2206236782804</v>
      </c>
      <c r="U47" s="148">
        <f t="shared" si="9"/>
        <v>25953.977920115623</v>
      </c>
    </row>
    <row r="48" spans="1:21" x14ac:dyDescent="0.2">
      <c r="A48" s="124">
        <f>+'[1]Index Pricing'!A29</f>
        <v>37218</v>
      </c>
      <c r="B48" s="125">
        <f>+'[1]Index Pricing'!B29</f>
        <v>1.43</v>
      </c>
      <c r="C48" s="139">
        <f t="shared" si="0"/>
        <v>1.43</v>
      </c>
      <c r="D48" s="140">
        <f>O48*'[1]Internal Kennedy Total'!T40</f>
        <v>1343.5231935752577</v>
      </c>
      <c r="E48" s="141">
        <f>+'[1]Index Pricing'!$B$4+'Box Draw Detail'!$K$17</f>
        <v>2.7753999999999999</v>
      </c>
      <c r="F48" s="142">
        <f>O48*'[1]Internal Kennedy Total'!U40</f>
        <v>3833.1617505713484</v>
      </c>
      <c r="G48" s="141">
        <f t="shared" si="1"/>
        <v>2.54</v>
      </c>
      <c r="H48" s="143">
        <f>O48*'[1]Internal Kennedy Total'!V40</f>
        <v>1541.5698840214441</v>
      </c>
      <c r="I48" s="141">
        <f t="shared" si="2"/>
        <v>1.2626999999999999</v>
      </c>
      <c r="J48" s="144">
        <f>O48*'[1]Internal Kennedy Total'!W40</f>
        <v>704.34347166748535</v>
      </c>
      <c r="K48" s="141">
        <f>B48+$K$19+'[1]Kennedy Gas Daily Pricing'!B29</f>
        <v>1.38</v>
      </c>
      <c r="L48" s="144">
        <f>'[1]Internal Kennedy Total'!X40*'[1]Internal Kennedy Total'!M40</f>
        <v>6277.1970163165024</v>
      </c>
      <c r="M48" s="145">
        <v>-1125.7715581337075</v>
      </c>
      <c r="N48" s="146">
        <f t="shared" si="3"/>
        <v>14825.566874285745</v>
      </c>
      <c r="O48" s="147">
        <f>'[1]Internal Kennedy Total'!M40</f>
        <v>13699.795316152038</v>
      </c>
      <c r="P48" s="135">
        <f t="shared" si="4"/>
        <v>1921.2381668126184</v>
      </c>
      <c r="Q48" s="136">
        <f t="shared" si="5"/>
        <v>10638.55712253572</v>
      </c>
      <c r="R48" s="136">
        <f t="shared" si="6"/>
        <v>3915.5875054144681</v>
      </c>
      <c r="S48" s="136">
        <f t="shared" si="7"/>
        <v>889.37450167453369</v>
      </c>
      <c r="T48" s="137">
        <f t="shared" si="8"/>
        <v>8662.5318825167724</v>
      </c>
      <c r="U48" s="148">
        <f t="shared" si="9"/>
        <v>26027.28917895411</v>
      </c>
    </row>
    <row r="49" spans="1:21" x14ac:dyDescent="0.2">
      <c r="A49" s="124">
        <f>+'[1]Index Pricing'!A30</f>
        <v>37219</v>
      </c>
      <c r="B49" s="125">
        <f>+'[1]Index Pricing'!B30</f>
        <v>1.43</v>
      </c>
      <c r="C49" s="139">
        <f t="shared" si="0"/>
        <v>1.43</v>
      </c>
      <c r="D49" s="140">
        <f>O49*'[1]Internal Kennedy Total'!T41</f>
        <v>1343.5231935752579</v>
      </c>
      <c r="E49" s="141">
        <f>+'[1]Index Pricing'!$B$4+'Box Draw Detail'!$K$17</f>
        <v>2.7753999999999999</v>
      </c>
      <c r="F49" s="142">
        <f>O49*'[1]Internal Kennedy Total'!U41</f>
        <v>3833.1617505713489</v>
      </c>
      <c r="G49" s="141">
        <f t="shared" si="1"/>
        <v>2.54</v>
      </c>
      <c r="H49" s="143">
        <f>O49*'[1]Internal Kennedy Total'!V41</f>
        <v>1541.5698840214443</v>
      </c>
      <c r="I49" s="141">
        <f t="shared" si="2"/>
        <v>1.2626999999999999</v>
      </c>
      <c r="J49" s="144">
        <f>O49*'[1]Internal Kennedy Total'!W41</f>
        <v>704.34347166748535</v>
      </c>
      <c r="K49" s="141">
        <f>B49+$K$19+'[1]Kennedy Gas Daily Pricing'!B30</f>
        <v>1.38</v>
      </c>
      <c r="L49" s="144">
        <f>'[1]Internal Kennedy Total'!X41*'[1]Internal Kennedy Total'!M41</f>
        <v>5651.0252142424097</v>
      </c>
      <c r="M49" s="145">
        <v>-1074.3163072330435</v>
      </c>
      <c r="N49" s="146">
        <f t="shared" si="3"/>
        <v>14147.939821310989</v>
      </c>
      <c r="O49" s="147">
        <f>'[1]Internal Kennedy Total'!M41</f>
        <v>13073.623514077946</v>
      </c>
      <c r="P49" s="135">
        <f t="shared" si="4"/>
        <v>1921.2381668126186</v>
      </c>
      <c r="Q49" s="136">
        <f t="shared" si="5"/>
        <v>10638.557122535722</v>
      </c>
      <c r="R49" s="136">
        <f t="shared" si="6"/>
        <v>3915.5875054144685</v>
      </c>
      <c r="S49" s="136">
        <f t="shared" si="7"/>
        <v>889.37450167453369</v>
      </c>
      <c r="T49" s="137">
        <f t="shared" si="8"/>
        <v>7798.4147956545248</v>
      </c>
      <c r="U49" s="148">
        <f t="shared" si="9"/>
        <v>25163.172092091867</v>
      </c>
    </row>
    <row r="50" spans="1:21" x14ac:dyDescent="0.2">
      <c r="A50" s="124">
        <f>+'[1]Index Pricing'!A31</f>
        <v>37220</v>
      </c>
      <c r="B50" s="125">
        <f>+'[1]Index Pricing'!B31</f>
        <v>1.43</v>
      </c>
      <c r="C50" s="139">
        <f t="shared" si="0"/>
        <v>1.43</v>
      </c>
      <c r="D50" s="140">
        <f>O50*'[1]Internal Kennedy Total'!T42</f>
        <v>1343.5231935752579</v>
      </c>
      <c r="E50" s="141">
        <f>+'[1]Index Pricing'!$B$4+'Box Draw Detail'!$K$17</f>
        <v>2.7753999999999999</v>
      </c>
      <c r="F50" s="142">
        <f>O50*'[1]Internal Kennedy Total'!U42</f>
        <v>3833.1617505713484</v>
      </c>
      <c r="G50" s="141">
        <f t="shared" si="1"/>
        <v>2.54</v>
      </c>
      <c r="H50" s="143">
        <f>O50*'[1]Internal Kennedy Total'!V42</f>
        <v>1541.5698840214443</v>
      </c>
      <c r="I50" s="141">
        <f t="shared" si="2"/>
        <v>1.2626999999999999</v>
      </c>
      <c r="J50" s="144">
        <f>O50*'[1]Internal Kennedy Total'!W42</f>
        <v>704.34347166748546</v>
      </c>
      <c r="K50" s="141">
        <f>B50+$K$19+'[1]Kennedy Gas Daily Pricing'!B31</f>
        <v>1.38</v>
      </c>
      <c r="L50" s="144">
        <f>'[1]Internal Kennedy Total'!X42*'[1]Internal Kennedy Total'!M42</f>
        <v>3023.4932060838323</v>
      </c>
      <c r="M50" s="145">
        <v>-858.40061399758395</v>
      </c>
      <c r="N50" s="146">
        <f t="shared" si="3"/>
        <v>11304.492119916953</v>
      </c>
      <c r="O50" s="147">
        <f>'[1]Internal Kennedy Total'!M42</f>
        <v>10446.091505919369</v>
      </c>
      <c r="P50" s="135">
        <f t="shared" si="4"/>
        <v>1921.2381668126186</v>
      </c>
      <c r="Q50" s="136">
        <f t="shared" si="5"/>
        <v>10638.55712253572</v>
      </c>
      <c r="R50" s="136">
        <f t="shared" si="6"/>
        <v>3915.5875054144685</v>
      </c>
      <c r="S50" s="136">
        <f t="shared" si="7"/>
        <v>889.3745016745338</v>
      </c>
      <c r="T50" s="137">
        <f t="shared" si="8"/>
        <v>4172.4206243956887</v>
      </c>
      <c r="U50" s="148">
        <f t="shared" si="9"/>
        <v>21537.177920833026</v>
      </c>
    </row>
    <row r="51" spans="1:21" x14ac:dyDescent="0.2">
      <c r="A51" s="124">
        <f>+'[1]Index Pricing'!A32</f>
        <v>37221</v>
      </c>
      <c r="B51" s="125">
        <f>+'[1]Index Pricing'!B32</f>
        <v>1.43</v>
      </c>
      <c r="C51" s="139">
        <f t="shared" si="0"/>
        <v>1.43</v>
      </c>
      <c r="D51" s="140">
        <f>O51*'[1]Internal Kennedy Total'!T43</f>
        <v>1343.5231935752579</v>
      </c>
      <c r="E51" s="141">
        <f>+'[1]Index Pricing'!$B$4+'Box Draw Detail'!$K$17</f>
        <v>2.7753999999999999</v>
      </c>
      <c r="F51" s="142">
        <f>O51*'[1]Internal Kennedy Total'!U43</f>
        <v>3833.1617505713489</v>
      </c>
      <c r="G51" s="141">
        <f t="shared" si="1"/>
        <v>2.54</v>
      </c>
      <c r="H51" s="143">
        <f>O51*'[1]Internal Kennedy Total'!V43</f>
        <v>1541.5698840214443</v>
      </c>
      <c r="I51" s="141">
        <f t="shared" si="2"/>
        <v>1.2626999999999999</v>
      </c>
      <c r="J51" s="144">
        <f>O51*'[1]Internal Kennedy Total'!W43</f>
        <v>704.34347166748535</v>
      </c>
      <c r="K51" s="141">
        <f>B51+$K$19+'[1]Kennedy Gas Daily Pricing'!B32</f>
        <v>1.38</v>
      </c>
      <c r="L51" s="144">
        <f>'[1]Internal Kennedy Total'!X43*'[1]Internal Kennedy Total'!M43</f>
        <v>4863.6096917551467</v>
      </c>
      <c r="M51" s="145">
        <v>-1009.6109609711159</v>
      </c>
      <c r="N51" s="146">
        <f t="shared" si="3"/>
        <v>13295.8189525618</v>
      </c>
      <c r="O51" s="147">
        <f>'[1]Internal Kennedy Total'!M43</f>
        <v>12286.207991590683</v>
      </c>
      <c r="P51" s="135">
        <f t="shared" si="4"/>
        <v>1921.2381668126186</v>
      </c>
      <c r="Q51" s="136">
        <f t="shared" si="5"/>
        <v>10638.557122535722</v>
      </c>
      <c r="R51" s="136">
        <f t="shared" si="6"/>
        <v>3915.5875054144685</v>
      </c>
      <c r="S51" s="136">
        <f t="shared" si="7"/>
        <v>889.37450167453369</v>
      </c>
      <c r="T51" s="137">
        <f t="shared" si="8"/>
        <v>6711.7813746221018</v>
      </c>
      <c r="U51" s="148">
        <f t="shared" si="9"/>
        <v>24076.538671059447</v>
      </c>
    </row>
    <row r="52" spans="1:21" x14ac:dyDescent="0.2">
      <c r="A52" s="124">
        <f>+'[1]Index Pricing'!A33</f>
        <v>37222</v>
      </c>
      <c r="B52" s="125">
        <f>+'[1]Index Pricing'!B33</f>
        <v>1.88</v>
      </c>
      <c r="C52" s="139">
        <f t="shared" si="0"/>
        <v>1.88</v>
      </c>
      <c r="D52" s="140">
        <f>O52*'[1]Internal Kennedy Total'!T44</f>
        <v>1343.5231935752579</v>
      </c>
      <c r="E52" s="141">
        <f>+'[1]Index Pricing'!$B$4+'Box Draw Detail'!$K$17</f>
        <v>2.7753999999999999</v>
      </c>
      <c r="F52" s="142">
        <f>O52*'[1]Internal Kennedy Total'!U44</f>
        <v>3833.1617505713489</v>
      </c>
      <c r="G52" s="141">
        <f t="shared" si="1"/>
        <v>2.54</v>
      </c>
      <c r="H52" s="143">
        <f>O52*'[1]Internal Kennedy Total'!V44</f>
        <v>1541.5698840214443</v>
      </c>
      <c r="I52" s="141">
        <f t="shared" si="2"/>
        <v>1.7126999999999999</v>
      </c>
      <c r="J52" s="144">
        <f>O52*'[1]Internal Kennedy Total'!W44</f>
        <v>704.34347166748535</v>
      </c>
      <c r="K52" s="141">
        <f>B52+$K$19+'[1]Kennedy Gas Daily Pricing'!B33</f>
        <v>1.8299999999999998</v>
      </c>
      <c r="L52" s="144">
        <f>'[1]Internal Kennedy Total'!X44*'[1]Internal Kennedy Total'!M44</f>
        <v>4863.6096917551467</v>
      </c>
      <c r="M52" s="145">
        <v>-1009.6109609711159</v>
      </c>
      <c r="N52" s="146">
        <f t="shared" si="3"/>
        <v>13295.8189525618</v>
      </c>
      <c r="O52" s="147">
        <f>'[1]Internal Kennedy Total'!M44</f>
        <v>12286.207991590683</v>
      </c>
      <c r="P52" s="135">
        <f t="shared" si="4"/>
        <v>2525.8236039214848</v>
      </c>
      <c r="Q52" s="136">
        <f t="shared" si="5"/>
        <v>10638.557122535722</v>
      </c>
      <c r="R52" s="136">
        <f t="shared" si="6"/>
        <v>3915.5875054144685</v>
      </c>
      <c r="S52" s="136">
        <f t="shared" si="7"/>
        <v>1206.3290639249021</v>
      </c>
      <c r="T52" s="137">
        <f t="shared" si="8"/>
        <v>8900.4057359119179</v>
      </c>
      <c r="U52" s="148">
        <f t="shared" si="9"/>
        <v>27186.703031708494</v>
      </c>
    </row>
    <row r="53" spans="1:21" x14ac:dyDescent="0.2">
      <c r="A53" s="124">
        <f>+'[1]Index Pricing'!A34</f>
        <v>37223</v>
      </c>
      <c r="B53" s="125">
        <f>+'[1]Index Pricing'!B34</f>
        <v>2.16</v>
      </c>
      <c r="C53" s="139">
        <f t="shared" si="0"/>
        <v>2.16</v>
      </c>
      <c r="D53" s="140">
        <f>O53*'[1]Internal Kennedy Total'!T45</f>
        <v>1343.5231935752579</v>
      </c>
      <c r="E53" s="141">
        <f>+'[1]Index Pricing'!$B$4+'Box Draw Detail'!$K$17</f>
        <v>2.7753999999999999</v>
      </c>
      <c r="F53" s="142">
        <f>O53*'[1]Internal Kennedy Total'!U45</f>
        <v>3833.1617505713489</v>
      </c>
      <c r="G53" s="141">
        <f t="shared" si="1"/>
        <v>2.54</v>
      </c>
      <c r="H53" s="143">
        <f>O53*'[1]Internal Kennedy Total'!V45</f>
        <v>1541.5698840214443</v>
      </c>
      <c r="I53" s="141">
        <f t="shared" si="2"/>
        <v>1.9927000000000001</v>
      </c>
      <c r="J53" s="144">
        <f>O53*'[1]Internal Kennedy Total'!W45</f>
        <v>704.34347166748535</v>
      </c>
      <c r="K53" s="141">
        <f>B53+$K$19+'[1]Kennedy Gas Daily Pricing'!B34</f>
        <v>2.1100000000000003</v>
      </c>
      <c r="L53" s="144">
        <f>'[1]Internal Kennedy Total'!X45*'[1]Internal Kennedy Total'!M45</f>
        <v>4863.6096917551467</v>
      </c>
      <c r="M53" s="145">
        <v>-1009.6109609711159</v>
      </c>
      <c r="N53" s="146">
        <f t="shared" si="3"/>
        <v>13295.8189525618</v>
      </c>
      <c r="O53" s="147">
        <f>'[1]Internal Kennedy Total'!M45</f>
        <v>12286.207991590683</v>
      </c>
      <c r="P53" s="135">
        <f t="shared" si="4"/>
        <v>2902.0100981225573</v>
      </c>
      <c r="Q53" s="136">
        <f t="shared" si="5"/>
        <v>10638.557122535722</v>
      </c>
      <c r="R53" s="136">
        <f t="shared" si="6"/>
        <v>3915.5875054144685</v>
      </c>
      <c r="S53" s="136">
        <f t="shared" si="7"/>
        <v>1403.5452359917981</v>
      </c>
      <c r="T53" s="137">
        <f t="shared" si="8"/>
        <v>10262.216449603362</v>
      </c>
      <c r="U53" s="148">
        <f t="shared" si="9"/>
        <v>29121.916411667906</v>
      </c>
    </row>
    <row r="54" spans="1:21" x14ac:dyDescent="0.2">
      <c r="A54" s="124">
        <f>+'[1]Index Pricing'!A35</f>
        <v>37224</v>
      </c>
      <c r="B54" s="125">
        <f>+'[1]Index Pricing'!B35</f>
        <v>2.16</v>
      </c>
      <c r="C54" s="139">
        <f t="shared" si="0"/>
        <v>2.16</v>
      </c>
      <c r="D54" s="140">
        <f>O54*'[1]Internal Kennedy Total'!T46</f>
        <v>1343.5231935752579</v>
      </c>
      <c r="E54" s="141">
        <f>+'[1]Index Pricing'!$B$4+'Box Draw Detail'!$K$17</f>
        <v>2.7753999999999999</v>
      </c>
      <c r="F54" s="142">
        <f>O54*'[1]Internal Kennedy Total'!U46</f>
        <v>3833.1617505713489</v>
      </c>
      <c r="G54" s="141">
        <f t="shared" si="1"/>
        <v>2.54</v>
      </c>
      <c r="H54" s="143">
        <f>O54*'[1]Internal Kennedy Total'!V46</f>
        <v>1541.5698840214443</v>
      </c>
      <c r="I54" s="141">
        <f t="shared" si="2"/>
        <v>1.9927000000000001</v>
      </c>
      <c r="J54" s="144">
        <f>O54*'[1]Internal Kennedy Total'!W46</f>
        <v>704.34347166748535</v>
      </c>
      <c r="K54" s="141">
        <f>B54+$K$19+'[1]Kennedy Gas Daily Pricing'!B35</f>
        <v>2.1100000000000003</v>
      </c>
      <c r="L54" s="144">
        <f>'[1]Internal Kennedy Total'!X46*'[1]Internal Kennedy Total'!M46</f>
        <v>4863.6096917551467</v>
      </c>
      <c r="M54" s="145">
        <v>-1009.6109609711159</v>
      </c>
      <c r="N54" s="146">
        <f t="shared" si="3"/>
        <v>13295.8189525618</v>
      </c>
      <c r="O54" s="147">
        <f>'[1]Internal Kennedy Total'!M46</f>
        <v>12286.207991590683</v>
      </c>
      <c r="P54" s="135">
        <f t="shared" si="4"/>
        <v>2902.0100981225573</v>
      </c>
      <c r="Q54" s="136">
        <f t="shared" si="5"/>
        <v>10638.557122535722</v>
      </c>
      <c r="R54" s="136">
        <f t="shared" si="6"/>
        <v>3915.5875054144685</v>
      </c>
      <c r="S54" s="136">
        <f t="shared" si="7"/>
        <v>1403.5452359917981</v>
      </c>
      <c r="T54" s="137">
        <f t="shared" si="8"/>
        <v>10262.216449603362</v>
      </c>
      <c r="U54" s="148">
        <f t="shared" si="9"/>
        <v>29121.916411667906</v>
      </c>
    </row>
    <row r="55" spans="1:21" x14ac:dyDescent="0.2">
      <c r="A55" s="124">
        <f>+'[1]Index Pricing'!A36</f>
        <v>37225</v>
      </c>
      <c r="B55" s="125">
        <f>+'[1]Index Pricing'!B36</f>
        <v>2.16</v>
      </c>
      <c r="C55" s="139">
        <f t="shared" si="0"/>
        <v>2.16</v>
      </c>
      <c r="D55" s="140">
        <f>O55*'[1]Internal Kennedy Total'!T47</f>
        <v>1343.5231935752579</v>
      </c>
      <c r="E55" s="141">
        <f>+'[1]Index Pricing'!$B$4+'Box Draw Detail'!$K$17</f>
        <v>2.7753999999999999</v>
      </c>
      <c r="F55" s="142">
        <f>O55*'[1]Internal Kennedy Total'!U47</f>
        <v>3833.1617505713489</v>
      </c>
      <c r="G55" s="141">
        <f t="shared" si="1"/>
        <v>2.54</v>
      </c>
      <c r="H55" s="143">
        <f>O55*'[1]Internal Kennedy Total'!V47</f>
        <v>1541.5698840214443</v>
      </c>
      <c r="I55" s="141">
        <f t="shared" si="2"/>
        <v>1.9927000000000001</v>
      </c>
      <c r="J55" s="144">
        <f>O55*'[1]Internal Kennedy Total'!W47</f>
        <v>704.34347166748535</v>
      </c>
      <c r="K55" s="141">
        <f>B55+$K$19+'[1]Kennedy Gas Daily Pricing'!B36</f>
        <v>2.1100000000000003</v>
      </c>
      <c r="L55" s="144">
        <f>'[1]Internal Kennedy Total'!X47*'[1]Internal Kennedy Total'!M47</f>
        <v>4863.6096917551467</v>
      </c>
      <c r="M55" s="145">
        <v>-1009.6109609711159</v>
      </c>
      <c r="N55" s="146">
        <f t="shared" si="3"/>
        <v>13295.8189525618</v>
      </c>
      <c r="O55" s="147">
        <f>'[1]Internal Kennedy Total'!M47</f>
        <v>12286.207991590683</v>
      </c>
      <c r="P55" s="135">
        <f t="shared" si="4"/>
        <v>2902.0100981225573</v>
      </c>
      <c r="Q55" s="136">
        <f t="shared" si="5"/>
        <v>10638.557122535722</v>
      </c>
      <c r="R55" s="136">
        <f t="shared" si="6"/>
        <v>3915.5875054144685</v>
      </c>
      <c r="S55" s="136">
        <f t="shared" si="7"/>
        <v>1403.5452359917981</v>
      </c>
      <c r="T55" s="137">
        <f t="shared" si="8"/>
        <v>10262.216449603362</v>
      </c>
      <c r="U55" s="148">
        <f t="shared" si="9"/>
        <v>29121.916411667906</v>
      </c>
    </row>
    <row r="56" spans="1:21" ht="13.5" thickBot="1" x14ac:dyDescent="0.25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1" x14ac:dyDescent="0.2">
      <c r="D57" s="163">
        <f>SUM(D26:D56)</f>
        <v>40305.695807257733</v>
      </c>
      <c r="F57" s="164">
        <f>SUM(F26:F56)</f>
        <v>114994.85251714051</v>
      </c>
      <c r="H57" s="163">
        <f>SUM(H26:H56)</f>
        <v>46247.096520643332</v>
      </c>
      <c r="J57" s="165">
        <f>SUM(J26:J56)</f>
        <v>21130.304150024564</v>
      </c>
      <c r="K57" s="165"/>
      <c r="L57" s="165">
        <f t="shared" ref="L57:T57" si="10">SUM(L26:L56)</f>
        <v>153321.88440123337</v>
      </c>
      <c r="M57" s="166">
        <f t="shared" si="10"/>
        <v>-30897.535950884485</v>
      </c>
      <c r="N57" s="147">
        <f t="shared" si="10"/>
        <v>406897.36934718402</v>
      </c>
      <c r="O57" s="147">
        <f t="shared" si="10"/>
        <v>375999.83339629945</v>
      </c>
      <c r="P57" s="167">
        <f t="shared" si="10"/>
        <v>71985.972711762312</v>
      </c>
      <c r="Q57" s="167">
        <f t="shared" si="10"/>
        <v>319156.71367607149</v>
      </c>
      <c r="R57" s="167">
        <f t="shared" si="10"/>
        <v>117467.62516243409</v>
      </c>
      <c r="S57" s="167">
        <f t="shared" si="10"/>
        <v>34203.62332764476</v>
      </c>
      <c r="T57" s="167">
        <f t="shared" si="10"/>
        <v>271683.90620264941</v>
      </c>
      <c r="U57" s="168">
        <f>SUM(P57:T57)</f>
        <v>814497.84108056198</v>
      </c>
    </row>
    <row r="58" spans="1:21" x14ac:dyDescent="0.2">
      <c r="D58" s="94"/>
      <c r="F58" s="94"/>
      <c r="M58" s="94"/>
      <c r="P58" s="169"/>
      <c r="R58" s="170"/>
    </row>
    <row r="59" spans="1:21" x14ac:dyDescent="0.2">
      <c r="N59" s="105"/>
      <c r="O59" s="105"/>
      <c r="Q59" s="53" t="s">
        <v>109</v>
      </c>
      <c r="R59" s="171">
        <f>U57/N57</f>
        <v>2.0017279600193092</v>
      </c>
    </row>
    <row r="60" spans="1:21" x14ac:dyDescent="0.2">
      <c r="A60" s="58" t="s">
        <v>110</v>
      </c>
      <c r="S60" s="39"/>
    </row>
    <row r="61" spans="1:21" x14ac:dyDescent="0.2">
      <c r="U61" s="172"/>
    </row>
    <row r="62" spans="1:21" x14ac:dyDescent="0.2">
      <c r="R62" s="173"/>
      <c r="S62" s="173"/>
      <c r="U62" s="174"/>
    </row>
    <row r="63" spans="1:21" x14ac:dyDescent="0.2">
      <c r="S63" s="174"/>
    </row>
    <row r="64" spans="1:21" x14ac:dyDescent="0.2">
      <c r="S64" s="172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13" sqref="E13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20.4257812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5.5703125" style="58" customWidth="1"/>
    <col min="20" max="20" width="15" style="58" customWidth="1"/>
    <col min="21" max="21" width="15" style="58" bestFit="1" customWidth="1"/>
    <col min="22" max="22" width="13.28515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3.28515625" style="58" bestFit="1" customWidth="1"/>
    <col min="27" max="27" width="15" style="58" bestFit="1" customWidth="1"/>
    <col min="28" max="28" width="9.140625" style="58"/>
    <col min="29" max="29" width="11.140625" style="58" bestFit="1" customWidth="1"/>
    <col min="30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41887.550696296297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175">
        <v>0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176">
        <v>0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111</v>
      </c>
      <c r="B15" s="82"/>
      <c r="C15" s="82" t="s">
        <v>70</v>
      </c>
      <c r="D15" s="82" t="s">
        <v>112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-$E$11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3" x14ac:dyDescent="0.2">
      <c r="A17" s="87" t="s">
        <v>77</v>
      </c>
      <c r="B17" s="88" t="s">
        <v>79</v>
      </c>
      <c r="C17" s="89">
        <v>0.01</v>
      </c>
      <c r="D17" s="88">
        <f>-$E$11</f>
        <v>0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-0.2646</v>
      </c>
    </row>
    <row r="18" spans="1:23" x14ac:dyDescent="0.2">
      <c r="A18" s="87" t="s">
        <v>77</v>
      </c>
      <c r="B18" s="88" t="s">
        <v>80</v>
      </c>
      <c r="C18" s="89">
        <v>0</v>
      </c>
      <c r="D18" s="88">
        <f>-$E$11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3" x14ac:dyDescent="0.2">
      <c r="A19" s="87" t="s">
        <v>81</v>
      </c>
      <c r="B19" s="88" t="s">
        <v>78</v>
      </c>
      <c r="C19" s="92" t="s">
        <v>82</v>
      </c>
      <c r="D19" s="88">
        <f>-$E$11</f>
        <v>0</v>
      </c>
      <c r="E19" s="88"/>
      <c r="F19" s="88"/>
      <c r="G19" s="88"/>
      <c r="H19" s="88"/>
      <c r="I19" s="88">
        <f>I18</f>
        <v>0</v>
      </c>
      <c r="J19" s="90"/>
      <c r="K19" s="91">
        <f>ROUND(SUM(C19:J19),4)</f>
        <v>0</v>
      </c>
      <c r="L19" s="93"/>
      <c r="N19" s="94"/>
      <c r="O19" s="94"/>
    </row>
    <row r="20" spans="1:23" x14ac:dyDescent="0.2">
      <c r="A20" s="87" t="s">
        <v>81</v>
      </c>
      <c r="B20" s="88" t="s">
        <v>78</v>
      </c>
      <c r="C20" s="89">
        <v>0.1</v>
      </c>
      <c r="D20" s="88">
        <f>D18</f>
        <v>0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0</v>
      </c>
      <c r="J20" s="90"/>
      <c r="K20" s="91">
        <f>ROUND(SUM(C20:J20),4)</f>
        <v>-0.1673</v>
      </c>
      <c r="L20" s="93"/>
    </row>
    <row r="21" spans="1:23" ht="13.5" thickBot="1" x14ac:dyDescent="0.25">
      <c r="A21" s="177"/>
      <c r="B21" s="177"/>
      <c r="C21" s="178"/>
      <c r="D21" s="177"/>
      <c r="E21" s="177"/>
      <c r="F21" s="177"/>
      <c r="G21" s="177"/>
      <c r="H21" s="177"/>
      <c r="I21" s="177"/>
      <c r="J21" s="179"/>
      <c r="K21" s="179"/>
      <c r="L21" s="179"/>
      <c r="M21" s="180"/>
      <c r="N21" s="93"/>
    </row>
    <row r="22" spans="1:23" ht="23.25" thickBot="1" x14ac:dyDescent="0.5">
      <c r="C22" s="190" t="s">
        <v>113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/>
      <c r="W22"/>
    </row>
    <row r="23" spans="1:23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114</v>
      </c>
      <c r="N23" s="102" t="s">
        <v>115</v>
      </c>
      <c r="O23" s="103" t="s">
        <v>96</v>
      </c>
      <c r="P23" s="187" t="s">
        <v>116</v>
      </c>
      <c r="Q23" s="188"/>
      <c r="R23" s="188"/>
      <c r="S23" s="188"/>
      <c r="T23" s="189"/>
      <c r="U23" s="104"/>
      <c r="V23"/>
      <c r="W23"/>
    </row>
    <row r="24" spans="1:23" x14ac:dyDescent="0.2">
      <c r="B24" s="113"/>
      <c r="C24" s="181"/>
      <c r="D24" s="113"/>
      <c r="E24" s="181"/>
      <c r="F24" s="142">
        <f>IF(+C7*0.8&gt;12000,12000,+C7*0.8)</f>
        <v>12000</v>
      </c>
      <c r="G24" s="181"/>
      <c r="H24" s="113"/>
      <c r="I24" s="107"/>
      <c r="J24" s="106"/>
      <c r="K24" s="107"/>
      <c r="L24" s="106"/>
      <c r="M24" s="182" t="s">
        <v>98</v>
      </c>
      <c r="N24" s="182"/>
      <c r="O24" s="183"/>
      <c r="P24" s="111"/>
      <c r="Q24" s="112"/>
      <c r="R24" s="112"/>
      <c r="S24" s="112"/>
      <c r="T24" s="113"/>
      <c r="U24" s="184"/>
    </row>
    <row r="25" spans="1:23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2.67</v>
      </c>
      <c r="D26" s="127">
        <f>O26*'[1]Internal Kennedy Total'!T18</f>
        <v>2862.4768064247419</v>
      </c>
      <c r="E26" s="128">
        <f>+'[1]Index Pricing'!$B$4+'S Kitty Detail'!$K$17</f>
        <v>2.7753999999999999</v>
      </c>
      <c r="F26" s="129">
        <f>O26*'[1]Internal Kennedy Total'!U18</f>
        <v>8166.8382494286507</v>
      </c>
      <c r="G26" s="128">
        <f t="shared" ref="G26:G55" si="1">$C$6+$K$18</f>
        <v>2.54</v>
      </c>
      <c r="H26" s="130">
        <f>O26*'[1]Internal Kennedy Total'!V18</f>
        <v>3284.4301159785555</v>
      </c>
      <c r="I26" s="128">
        <f t="shared" ref="I26:I55" si="2">B26+$K$20</f>
        <v>2.5026999999999999</v>
      </c>
      <c r="J26" s="131">
        <f>O26*'[1]Internal Kennedy Total'!W18</f>
        <v>1500.6565283325144</v>
      </c>
      <c r="K26" s="128">
        <f>B26+$K$19+'[1]Kennedy Gas Daily Pricing'!B7</f>
        <v>2.62</v>
      </c>
      <c r="L26" s="131">
        <f>O26*'[1]Internal Kennedy Total'!X18</f>
        <v>11181.900252728026</v>
      </c>
      <c r="M26" s="132">
        <v>-2054.7473718466395</v>
      </c>
      <c r="N26" s="133">
        <f t="shared" ref="N26:N55" si="3">O26-M26</f>
        <v>29051.049324739128</v>
      </c>
      <c r="O26" s="134">
        <f>'[1]Internal Kennedy Total'!N18</f>
        <v>26996.301952892489</v>
      </c>
      <c r="P26" s="135">
        <f t="shared" ref="P26:P55" si="4">+C26*D26</f>
        <v>7642.8130731540605</v>
      </c>
      <c r="Q26" s="136">
        <f t="shared" ref="Q26:Q55" si="5">+E26*F26</f>
        <v>22666.242877464276</v>
      </c>
      <c r="R26" s="136">
        <f t="shared" ref="R26:R55" si="6">+G26*H26</f>
        <v>8342.4524945855319</v>
      </c>
      <c r="S26" s="136">
        <f t="shared" ref="S26:S55" si="7">I26*J26</f>
        <v>3755.6930934577836</v>
      </c>
      <c r="T26" s="137">
        <f t="shared" ref="T26:T55" si="8">K26*L26</f>
        <v>29296.578662147429</v>
      </c>
      <c r="U26" s="138">
        <f t="shared" ref="U26:U55" si="9">SUM(P26:T26)</f>
        <v>71703.78020080908</v>
      </c>
      <c r="W26" s="185"/>
    </row>
    <row r="27" spans="1:23" x14ac:dyDescent="0.2">
      <c r="A27" s="124">
        <f t="shared" ref="A27:A55" si="10">+A26+1</f>
        <v>37197</v>
      </c>
      <c r="B27" s="125">
        <f>+'[1]Index Pricing'!B8</f>
        <v>2.36</v>
      </c>
      <c r="C27" s="139">
        <f t="shared" si="0"/>
        <v>2.36</v>
      </c>
      <c r="D27" s="140">
        <f>O27*'[1]Internal Kennedy Total'!T19</f>
        <v>2862.4768064247423</v>
      </c>
      <c r="E27" s="141">
        <f>+'[1]Index Pricing'!$B$4+'S Kitty Detail'!$K$17</f>
        <v>2.7753999999999999</v>
      </c>
      <c r="F27" s="142">
        <f>O27*'[1]Internal Kennedy Total'!U19</f>
        <v>8166.8382494286507</v>
      </c>
      <c r="G27" s="141">
        <f t="shared" si="1"/>
        <v>2.54</v>
      </c>
      <c r="H27" s="143">
        <f>O27*'[1]Internal Kennedy Total'!V19</f>
        <v>3284.4301159785559</v>
      </c>
      <c r="I27" s="141">
        <f t="shared" si="2"/>
        <v>2.1926999999999999</v>
      </c>
      <c r="J27" s="144">
        <f>O27*'[1]Internal Kennedy Total'!W19</f>
        <v>1500.6565283325147</v>
      </c>
      <c r="K27" s="141">
        <f>B27+$K$19+'[1]Kennedy Gas Daily Pricing'!B8</f>
        <v>2.31</v>
      </c>
      <c r="L27" s="144">
        <f>O27*'[1]Internal Kennedy Total'!X19</f>
        <v>12481.867485995306</v>
      </c>
      <c r="M27" s="145">
        <v>-2153.6907108529845</v>
      </c>
      <c r="N27" s="146">
        <f t="shared" si="3"/>
        <v>30449.959897012755</v>
      </c>
      <c r="O27" s="147">
        <f>'[1]Internal Kennedy Total'!N19</f>
        <v>28296.26918615977</v>
      </c>
      <c r="P27" s="135">
        <f t="shared" si="4"/>
        <v>6755.4452631623917</v>
      </c>
      <c r="Q27" s="136">
        <f t="shared" si="5"/>
        <v>22666.242877464276</v>
      </c>
      <c r="R27" s="136">
        <f t="shared" si="6"/>
        <v>8342.4524945855319</v>
      </c>
      <c r="S27" s="136">
        <f t="shared" si="7"/>
        <v>3290.4895696747049</v>
      </c>
      <c r="T27" s="137">
        <f t="shared" si="8"/>
        <v>28833.113892649159</v>
      </c>
      <c r="U27" s="148">
        <f t="shared" si="9"/>
        <v>69887.744097536066</v>
      </c>
    </row>
    <row r="28" spans="1:23" x14ac:dyDescent="0.2">
      <c r="A28" s="124">
        <f t="shared" si="10"/>
        <v>37198</v>
      </c>
      <c r="B28" s="125">
        <f>+'[1]Index Pricing'!B9</f>
        <v>2.0150000000000001</v>
      </c>
      <c r="C28" s="139">
        <f t="shared" si="0"/>
        <v>2.0150000000000001</v>
      </c>
      <c r="D28" s="140">
        <f>O28*'[1]Internal Kennedy Total'!T20</f>
        <v>2862.4768064247419</v>
      </c>
      <c r="E28" s="141">
        <f>+'[1]Index Pricing'!$B$4+'S Kitty Detail'!$K$17</f>
        <v>2.7753999999999999</v>
      </c>
      <c r="F28" s="142">
        <f>O28*'[1]Internal Kennedy Total'!U20</f>
        <v>8166.8382494286507</v>
      </c>
      <c r="G28" s="141">
        <f t="shared" si="1"/>
        <v>2.54</v>
      </c>
      <c r="H28" s="143">
        <f>O28*'[1]Internal Kennedy Total'!V20</f>
        <v>3284.4301159785555</v>
      </c>
      <c r="I28" s="141">
        <f t="shared" si="2"/>
        <v>1.8477000000000001</v>
      </c>
      <c r="J28" s="144">
        <f>O28*'[1]Internal Kennedy Total'!W20</f>
        <v>1500.6565283325147</v>
      </c>
      <c r="K28" s="141">
        <f>B28+$K$19+'[1]Kennedy Gas Daily Pricing'!B9</f>
        <v>1.9650000000000001</v>
      </c>
      <c r="L28" s="144">
        <f>O28*'[1]Internal Kennedy Total'!X20</f>
        <v>13462.348436787755</v>
      </c>
      <c r="M28" s="145">
        <v>-2228.3172526771923</v>
      </c>
      <c r="N28" s="146">
        <f t="shared" si="3"/>
        <v>31505.06738962941</v>
      </c>
      <c r="O28" s="147">
        <f>'[1]Internal Kennedy Total'!N20</f>
        <v>29276.750136952218</v>
      </c>
      <c r="P28" s="135">
        <f t="shared" si="4"/>
        <v>5767.8907649458552</v>
      </c>
      <c r="Q28" s="136">
        <f t="shared" si="5"/>
        <v>22666.242877464276</v>
      </c>
      <c r="R28" s="136">
        <f t="shared" si="6"/>
        <v>8342.4524945855319</v>
      </c>
      <c r="S28" s="136">
        <f t="shared" si="7"/>
        <v>2772.7630673999874</v>
      </c>
      <c r="T28" s="137">
        <f t="shared" si="8"/>
        <v>26453.514678287942</v>
      </c>
      <c r="U28" s="148">
        <f t="shared" si="9"/>
        <v>66002.863882683596</v>
      </c>
    </row>
    <row r="29" spans="1:23" x14ac:dyDescent="0.2">
      <c r="A29" s="124">
        <f t="shared" si="10"/>
        <v>37199</v>
      </c>
      <c r="B29" s="125">
        <f>+'[1]Index Pricing'!B10</f>
        <v>2.0150000000000001</v>
      </c>
      <c r="C29" s="139">
        <f t="shared" si="0"/>
        <v>2.0150000000000001</v>
      </c>
      <c r="D29" s="140">
        <f>O29*'[1]Internal Kennedy Total'!T21</f>
        <v>2862.4768064247419</v>
      </c>
      <c r="E29" s="141">
        <f>+'[1]Index Pricing'!$B$4+'S Kitty Detail'!$K$17</f>
        <v>2.7753999999999999</v>
      </c>
      <c r="F29" s="142">
        <f>O29*'[1]Internal Kennedy Total'!U21</f>
        <v>8166.8382494286507</v>
      </c>
      <c r="G29" s="141">
        <f t="shared" si="1"/>
        <v>2.54</v>
      </c>
      <c r="H29" s="143">
        <f>O29*'[1]Internal Kennedy Total'!V21</f>
        <v>3284.4301159785559</v>
      </c>
      <c r="I29" s="141">
        <f t="shared" si="2"/>
        <v>1.8477000000000001</v>
      </c>
      <c r="J29" s="144">
        <f>O29*'[1]Internal Kennedy Total'!W21</f>
        <v>1500.6565283325147</v>
      </c>
      <c r="K29" s="141">
        <f>B29+$K$19+'[1]Kennedy Gas Daily Pricing'!B10</f>
        <v>1.9650000000000001</v>
      </c>
      <c r="L29" s="144">
        <f>O29*'[1]Internal Kennedy Total'!X21</f>
        <v>12955.083785410015</v>
      </c>
      <c r="M29" s="145">
        <v>-2189.7082346321322</v>
      </c>
      <c r="N29" s="146">
        <f t="shared" si="3"/>
        <v>30959.193720206611</v>
      </c>
      <c r="O29" s="147">
        <f>'[1]Internal Kennedy Total'!N21</f>
        <v>28769.485485574478</v>
      </c>
      <c r="P29" s="135">
        <f t="shared" si="4"/>
        <v>5767.8907649458552</v>
      </c>
      <c r="Q29" s="136">
        <f t="shared" si="5"/>
        <v>22666.242877464276</v>
      </c>
      <c r="R29" s="136">
        <f t="shared" si="6"/>
        <v>8342.4524945855319</v>
      </c>
      <c r="S29" s="136">
        <f t="shared" si="7"/>
        <v>2772.7630673999874</v>
      </c>
      <c r="T29" s="137">
        <f t="shared" si="8"/>
        <v>25456.73963833068</v>
      </c>
      <c r="U29" s="148">
        <f t="shared" si="9"/>
        <v>65006.088842726327</v>
      </c>
    </row>
    <row r="30" spans="1:23" x14ac:dyDescent="0.2">
      <c r="A30" s="124">
        <f t="shared" si="10"/>
        <v>37200</v>
      </c>
      <c r="B30" s="125">
        <f>+'[1]Index Pricing'!B11</f>
        <v>2.0150000000000001</v>
      </c>
      <c r="C30" s="139">
        <f t="shared" si="0"/>
        <v>2.0150000000000001</v>
      </c>
      <c r="D30" s="140">
        <f>O30*'[1]Internal Kennedy Total'!T22</f>
        <v>2862.4768064247423</v>
      </c>
      <c r="E30" s="141">
        <f>+'[1]Index Pricing'!$B$4+'S Kitty Detail'!$K$17</f>
        <v>2.7753999999999999</v>
      </c>
      <c r="F30" s="142">
        <f>O30*'[1]Internal Kennedy Total'!U22</f>
        <v>8166.8382494286498</v>
      </c>
      <c r="G30" s="141">
        <f t="shared" si="1"/>
        <v>2.54</v>
      </c>
      <c r="H30" s="143">
        <f>O30*'[1]Internal Kennedy Total'!V22</f>
        <v>3284.4301159785559</v>
      </c>
      <c r="I30" s="141">
        <f t="shared" si="2"/>
        <v>1.8477000000000001</v>
      </c>
      <c r="J30" s="144">
        <f>O30*'[1]Internal Kennedy Total'!W22</f>
        <v>1500.6565283325147</v>
      </c>
      <c r="K30" s="141">
        <f>B30+$K$19+'[1]Kennedy Gas Daily Pricing'!B11</f>
        <v>1.9650000000000001</v>
      </c>
      <c r="L30" s="144">
        <f>O30*'[1]Internal Kennedy Total'!X22</f>
        <v>13338.518362445437</v>
      </c>
      <c r="M30" s="145">
        <v>-2218.8922758690933</v>
      </c>
      <c r="N30" s="146">
        <f t="shared" si="3"/>
        <v>31371.812338478994</v>
      </c>
      <c r="O30" s="147">
        <f>'[1]Internal Kennedy Total'!N22</f>
        <v>29152.920062609901</v>
      </c>
      <c r="P30" s="135">
        <f t="shared" si="4"/>
        <v>5767.8907649458561</v>
      </c>
      <c r="Q30" s="136">
        <f t="shared" si="5"/>
        <v>22666.242877464272</v>
      </c>
      <c r="R30" s="136">
        <f t="shared" si="6"/>
        <v>8342.4524945855319</v>
      </c>
      <c r="S30" s="136">
        <f t="shared" si="7"/>
        <v>2772.7630673999874</v>
      </c>
      <c r="T30" s="137">
        <f t="shared" si="8"/>
        <v>26210.188582205283</v>
      </c>
      <c r="U30" s="148">
        <f t="shared" si="9"/>
        <v>65759.537786600937</v>
      </c>
    </row>
    <row r="31" spans="1:23" x14ac:dyDescent="0.2">
      <c r="A31" s="124">
        <f t="shared" si="10"/>
        <v>37201</v>
      </c>
      <c r="B31" s="125">
        <f>+'[1]Index Pricing'!B12</f>
        <v>2.16</v>
      </c>
      <c r="C31" s="139">
        <f t="shared" si="0"/>
        <v>2.16</v>
      </c>
      <c r="D31" s="140">
        <f>O31*'[1]Internal Kennedy Total'!T23</f>
        <v>2862.4768064247423</v>
      </c>
      <c r="E31" s="141">
        <f>+'[1]Index Pricing'!$B$4+'S Kitty Detail'!$K$17</f>
        <v>2.7753999999999999</v>
      </c>
      <c r="F31" s="142">
        <f>O31*'[1]Internal Kennedy Total'!U23</f>
        <v>8166.8382494286516</v>
      </c>
      <c r="G31" s="141">
        <f t="shared" si="1"/>
        <v>2.54</v>
      </c>
      <c r="H31" s="143">
        <f>O31*'[1]Internal Kennedy Total'!V23</f>
        <v>3284.4301159785559</v>
      </c>
      <c r="I31" s="141">
        <f t="shared" si="2"/>
        <v>1.9927000000000001</v>
      </c>
      <c r="J31" s="144">
        <f>O31*'[1]Internal Kennedy Total'!W23</f>
        <v>1500.6565283325149</v>
      </c>
      <c r="K31" s="141">
        <f>B31+$K$19+'[1]Kennedy Gas Daily Pricing'!B12</f>
        <v>2.1100000000000003</v>
      </c>
      <c r="L31" s="144">
        <f>O31*'[1]Internal Kennedy Total'!X23</f>
        <v>12895.491751235579</v>
      </c>
      <c r="M31" s="145">
        <v>-2185.1725550484402</v>
      </c>
      <c r="N31" s="146">
        <f t="shared" si="3"/>
        <v>30895.066006448484</v>
      </c>
      <c r="O31" s="147">
        <f>'[1]Internal Kennedy Total'!N23</f>
        <v>28709.893451400043</v>
      </c>
      <c r="P31" s="135">
        <f t="shared" si="4"/>
        <v>6182.9499018774441</v>
      </c>
      <c r="Q31" s="136">
        <f t="shared" si="5"/>
        <v>22666.242877464279</v>
      </c>
      <c r="R31" s="136">
        <f t="shared" si="6"/>
        <v>8342.4524945855319</v>
      </c>
      <c r="S31" s="136">
        <f t="shared" si="7"/>
        <v>2990.3582640082027</v>
      </c>
      <c r="T31" s="137">
        <f t="shared" si="8"/>
        <v>27209.487595107075</v>
      </c>
      <c r="U31" s="148">
        <f t="shared" si="9"/>
        <v>67391.491133042538</v>
      </c>
    </row>
    <row r="32" spans="1:23" x14ac:dyDescent="0.2">
      <c r="A32" s="124">
        <f t="shared" si="10"/>
        <v>37202</v>
      </c>
      <c r="B32" s="149">
        <f>+'[1]Index Pricing'!B13</f>
        <v>2.1349999999999998</v>
      </c>
      <c r="C32" s="139">
        <f t="shared" si="0"/>
        <v>2.1349999999999998</v>
      </c>
      <c r="D32" s="140">
        <f>O32*'[1]Internal Kennedy Total'!T24</f>
        <v>2862.4768064247419</v>
      </c>
      <c r="E32" s="141">
        <f>+'[1]Index Pricing'!$B$4+'S Kitty Detail'!$K$17</f>
        <v>2.7753999999999999</v>
      </c>
      <c r="F32" s="142">
        <f>O32*'[1]Internal Kennedy Total'!U24</f>
        <v>8166.8382494286516</v>
      </c>
      <c r="G32" s="141">
        <f t="shared" si="1"/>
        <v>2.54</v>
      </c>
      <c r="H32" s="143">
        <f>O32*'[1]Internal Kennedy Total'!V24</f>
        <v>3284.4301159785559</v>
      </c>
      <c r="I32" s="141">
        <f t="shared" si="2"/>
        <v>1.9676999999999998</v>
      </c>
      <c r="J32" s="144">
        <f>O32*'[1]Internal Kennedy Total'!W24</f>
        <v>1500.6565283325144</v>
      </c>
      <c r="K32" s="141">
        <f>B32+$K$19+'[1]Kennedy Gas Daily Pricing'!B13</f>
        <v>2.085</v>
      </c>
      <c r="L32" s="144">
        <f>O32*'[1]Internal Kennedy Total'!X24</f>
        <v>13423.821523947747</v>
      </c>
      <c r="M32" s="145">
        <v>-2225.3848853832751</v>
      </c>
      <c r="N32" s="146">
        <f t="shared" si="3"/>
        <v>31463.608109495486</v>
      </c>
      <c r="O32" s="147">
        <f>'[1]Internal Kennedy Total'!N24</f>
        <v>29238.223224112211</v>
      </c>
      <c r="P32" s="135">
        <f t="shared" si="4"/>
        <v>6111.3879817168236</v>
      </c>
      <c r="Q32" s="136">
        <f t="shared" si="5"/>
        <v>22666.242877464279</v>
      </c>
      <c r="R32" s="136">
        <f t="shared" si="6"/>
        <v>8342.4524945855319</v>
      </c>
      <c r="S32" s="136">
        <f t="shared" si="7"/>
        <v>2952.8418507998881</v>
      </c>
      <c r="T32" s="137">
        <f t="shared" si="8"/>
        <v>27988.667877431053</v>
      </c>
      <c r="U32" s="148">
        <f t="shared" si="9"/>
        <v>68061.593081997577</v>
      </c>
    </row>
    <row r="33" spans="1:21" x14ac:dyDescent="0.2">
      <c r="A33" s="124">
        <f t="shared" si="10"/>
        <v>37203</v>
      </c>
      <c r="B33" s="125">
        <f>+'[1]Index Pricing'!B14</f>
        <v>2.13</v>
      </c>
      <c r="C33" s="139">
        <f t="shared" si="0"/>
        <v>2.13</v>
      </c>
      <c r="D33" s="140">
        <f>O33*'[1]Internal Kennedy Total'!T25</f>
        <v>2862.4768064247423</v>
      </c>
      <c r="E33" s="141">
        <f>+'[1]Index Pricing'!$B$4+'S Kitty Detail'!$K$17</f>
        <v>2.7753999999999999</v>
      </c>
      <c r="F33" s="142">
        <f>O33*'[1]Internal Kennedy Total'!U25</f>
        <v>8166.8382494286507</v>
      </c>
      <c r="G33" s="141">
        <f t="shared" si="1"/>
        <v>2.54</v>
      </c>
      <c r="H33" s="143">
        <f>O33*'[1]Internal Kennedy Total'!V25</f>
        <v>3284.4301159785559</v>
      </c>
      <c r="I33" s="141">
        <f t="shared" si="2"/>
        <v>1.9626999999999999</v>
      </c>
      <c r="J33" s="144">
        <f>O33*'[1]Internal Kennedy Total'!W25</f>
        <v>1500.6565283325147</v>
      </c>
      <c r="K33" s="141">
        <f>B33+$K$19+'[1]Kennedy Gas Daily Pricing'!B14</f>
        <v>2.08</v>
      </c>
      <c r="L33" s="144">
        <f>O33*'[1]Internal Kennedy Total'!X25</f>
        <v>13373.158097360401</v>
      </c>
      <c r="M33" s="145">
        <v>-2221.5287815802153</v>
      </c>
      <c r="N33" s="146">
        <f t="shared" si="3"/>
        <v>31409.088579105079</v>
      </c>
      <c r="O33" s="147">
        <f>'[1]Internal Kennedy Total'!N25</f>
        <v>29187.559797524864</v>
      </c>
      <c r="P33" s="135">
        <f t="shared" si="4"/>
        <v>6097.0755976847013</v>
      </c>
      <c r="Q33" s="136">
        <f t="shared" si="5"/>
        <v>22666.242877464276</v>
      </c>
      <c r="R33" s="136">
        <f t="shared" si="6"/>
        <v>8342.4524945855319</v>
      </c>
      <c r="S33" s="136">
        <f t="shared" si="7"/>
        <v>2945.3385681582263</v>
      </c>
      <c r="T33" s="137">
        <f t="shared" si="8"/>
        <v>27816.168842509636</v>
      </c>
      <c r="U33" s="148">
        <f t="shared" si="9"/>
        <v>67867.278380402364</v>
      </c>
    </row>
    <row r="34" spans="1:21" x14ac:dyDescent="0.2">
      <c r="A34" s="124">
        <f t="shared" si="10"/>
        <v>37204</v>
      </c>
      <c r="B34" s="125">
        <f>+'[1]Index Pricing'!B15</f>
        <v>1.9350000000000001</v>
      </c>
      <c r="C34" s="139">
        <f t="shared" si="0"/>
        <v>1.9350000000000001</v>
      </c>
      <c r="D34" s="140">
        <f>O34*'[1]Internal Kennedy Total'!T26</f>
        <v>2862.4768064247423</v>
      </c>
      <c r="E34" s="141">
        <f>+'[1]Index Pricing'!$B$4+'S Kitty Detail'!$K$17</f>
        <v>2.7753999999999999</v>
      </c>
      <c r="F34" s="142">
        <f>O34*'[1]Internal Kennedy Total'!U26</f>
        <v>8166.8382494286507</v>
      </c>
      <c r="G34" s="141">
        <f t="shared" si="1"/>
        <v>2.54</v>
      </c>
      <c r="H34" s="143">
        <f>O34*'[1]Internal Kennedy Total'!V26</f>
        <v>3284.4301159785559</v>
      </c>
      <c r="I34" s="141">
        <f t="shared" si="2"/>
        <v>1.7677</v>
      </c>
      <c r="J34" s="144">
        <f>O34*'[1]Internal Kennedy Total'!W26</f>
        <v>1500.6565283325147</v>
      </c>
      <c r="K34" s="141">
        <f>B34+$K$19+'[1]Kennedy Gas Daily Pricing'!B15</f>
        <v>1.885</v>
      </c>
      <c r="L34" s="144">
        <f>O34*'[1]Internal Kennedy Total'!X26</f>
        <v>12769.41797220061</v>
      </c>
      <c r="M34" s="145">
        <v>-2175.5768049867129</v>
      </c>
      <c r="N34" s="146">
        <f t="shared" si="3"/>
        <v>30759.396477351787</v>
      </c>
      <c r="O34" s="147">
        <f>'[1]Internal Kennedy Total'!N26</f>
        <v>28583.819672365073</v>
      </c>
      <c r="P34" s="135">
        <f t="shared" si="4"/>
        <v>5538.8926204318768</v>
      </c>
      <c r="Q34" s="136">
        <f t="shared" si="5"/>
        <v>22666.242877464276</v>
      </c>
      <c r="R34" s="136">
        <f t="shared" si="6"/>
        <v>8342.4524945855319</v>
      </c>
      <c r="S34" s="136">
        <f t="shared" si="7"/>
        <v>2652.7105451333864</v>
      </c>
      <c r="T34" s="137">
        <f t="shared" si="8"/>
        <v>24070.35287759815</v>
      </c>
      <c r="U34" s="148">
        <f t="shared" si="9"/>
        <v>63270.651415213215</v>
      </c>
    </row>
    <row r="35" spans="1:21" x14ac:dyDescent="0.2">
      <c r="A35" s="124">
        <f t="shared" si="10"/>
        <v>37205</v>
      </c>
      <c r="B35" s="125">
        <f>+'[1]Index Pricing'!B16</f>
        <v>1.7</v>
      </c>
      <c r="C35" s="139">
        <f t="shared" si="0"/>
        <v>1.7</v>
      </c>
      <c r="D35" s="140">
        <f>O35*'[1]Internal Kennedy Total'!T27</f>
        <v>2862.4768064247423</v>
      </c>
      <c r="E35" s="141">
        <f>+'[1]Index Pricing'!$B$4+'S Kitty Detail'!$K$17</f>
        <v>2.7753999999999999</v>
      </c>
      <c r="F35" s="142">
        <f>O35*'[1]Internal Kennedy Total'!U27</f>
        <v>8166.8382494286516</v>
      </c>
      <c r="G35" s="141">
        <f t="shared" si="1"/>
        <v>2.54</v>
      </c>
      <c r="H35" s="143">
        <f>O35*'[1]Internal Kennedy Total'!V27</f>
        <v>3284.4301159785559</v>
      </c>
      <c r="I35" s="141">
        <f t="shared" si="2"/>
        <v>1.5327</v>
      </c>
      <c r="J35" s="144">
        <f>O35*'[1]Internal Kennedy Total'!W27</f>
        <v>1500.6565283325147</v>
      </c>
      <c r="K35" s="141">
        <f>B35+$K$19+'[1]Kennedy Gas Daily Pricing'!B16</f>
        <v>1.65</v>
      </c>
      <c r="L35" s="144">
        <f>O35*'[1]Internal Kennedy Total'!X27</f>
        <v>10197.070591304459</v>
      </c>
      <c r="M35" s="145">
        <v>-1979.7898401796076</v>
      </c>
      <c r="N35" s="146">
        <f t="shared" si="3"/>
        <v>27991.262131648531</v>
      </c>
      <c r="O35" s="147">
        <f>'[1]Internal Kennedy Total'!N27</f>
        <v>26011.472291468923</v>
      </c>
      <c r="P35" s="135">
        <f t="shared" si="4"/>
        <v>4866.2105709220623</v>
      </c>
      <c r="Q35" s="136">
        <f t="shared" si="5"/>
        <v>22666.242877464279</v>
      </c>
      <c r="R35" s="136">
        <f t="shared" si="6"/>
        <v>8342.4524945855319</v>
      </c>
      <c r="S35" s="136">
        <f t="shared" si="7"/>
        <v>2300.0562609752451</v>
      </c>
      <c r="T35" s="137">
        <f t="shared" si="8"/>
        <v>16825.166475652357</v>
      </c>
      <c r="U35" s="148">
        <f t="shared" si="9"/>
        <v>55000.128679599482</v>
      </c>
    </row>
    <row r="36" spans="1:21" x14ac:dyDescent="0.2">
      <c r="A36" s="124">
        <f t="shared" si="10"/>
        <v>37206</v>
      </c>
      <c r="B36" s="125">
        <f>+'[1]Index Pricing'!B17</f>
        <v>1.7</v>
      </c>
      <c r="C36" s="139">
        <f t="shared" si="0"/>
        <v>1.7</v>
      </c>
      <c r="D36" s="140">
        <f>O36*'[1]Internal Kennedy Total'!T28</f>
        <v>2862.4768064247419</v>
      </c>
      <c r="E36" s="141">
        <f>+'[1]Index Pricing'!$B$4+'S Kitty Detail'!$K$17</f>
        <v>2.7753999999999999</v>
      </c>
      <c r="F36" s="142">
        <f>O36*'[1]Internal Kennedy Total'!U28</f>
        <v>8166.8382494286507</v>
      </c>
      <c r="G36" s="141">
        <f t="shared" si="1"/>
        <v>2.54</v>
      </c>
      <c r="H36" s="143">
        <f>O36*'[1]Internal Kennedy Total'!V28</f>
        <v>3284.4301159785555</v>
      </c>
      <c r="I36" s="141">
        <f t="shared" si="2"/>
        <v>1.5327</v>
      </c>
      <c r="J36" s="144">
        <f>O36*'[1]Internal Kennedy Total'!W28</f>
        <v>1500.6565283325144</v>
      </c>
      <c r="K36" s="141">
        <f>B36+$K$19+'[1]Kennedy Gas Daily Pricing'!B17</f>
        <v>1.65</v>
      </c>
      <c r="L36" s="144">
        <f>O36*'[1]Internal Kennedy Total'!X28</f>
        <v>9710.5661077492605</v>
      </c>
      <c r="M36" s="145">
        <v>-1942.7609237479796</v>
      </c>
      <c r="N36" s="146">
        <f t="shared" si="3"/>
        <v>27467.728731661704</v>
      </c>
      <c r="O36" s="147">
        <f>'[1]Internal Kennedy Total'!N28</f>
        <v>25524.967807913723</v>
      </c>
      <c r="P36" s="135">
        <f t="shared" si="4"/>
        <v>4866.2105709220614</v>
      </c>
      <c r="Q36" s="136">
        <f t="shared" si="5"/>
        <v>22666.242877464276</v>
      </c>
      <c r="R36" s="136">
        <f t="shared" si="6"/>
        <v>8342.4524945855319</v>
      </c>
      <c r="S36" s="136">
        <f t="shared" si="7"/>
        <v>2300.0562609752446</v>
      </c>
      <c r="T36" s="137">
        <f t="shared" si="8"/>
        <v>16022.434077786278</v>
      </c>
      <c r="U36" s="148">
        <f t="shared" si="9"/>
        <v>54197.396281733396</v>
      </c>
    </row>
    <row r="37" spans="1:21" x14ac:dyDescent="0.2">
      <c r="A37" s="124">
        <f t="shared" si="10"/>
        <v>37207</v>
      </c>
      <c r="B37" s="125">
        <f>+'[1]Index Pricing'!B18</f>
        <v>1.7</v>
      </c>
      <c r="C37" s="139">
        <f t="shared" si="0"/>
        <v>1.7</v>
      </c>
      <c r="D37" s="140">
        <f>O37*'[1]Internal Kennedy Total'!T29</f>
        <v>2862.4768064247423</v>
      </c>
      <c r="E37" s="141">
        <f>+'[1]Index Pricing'!$B$4+'S Kitty Detail'!$K$17</f>
        <v>2.7753999999999999</v>
      </c>
      <c r="F37" s="142">
        <f>O37*'[1]Internal Kennedy Total'!U29</f>
        <v>8166.8382494286507</v>
      </c>
      <c r="G37" s="141">
        <f t="shared" si="1"/>
        <v>2.54</v>
      </c>
      <c r="H37" s="143">
        <f>O37*'[1]Internal Kennedy Total'!V29</f>
        <v>3284.4301159785564</v>
      </c>
      <c r="I37" s="141">
        <f t="shared" si="2"/>
        <v>1.5327</v>
      </c>
      <c r="J37" s="144">
        <f>O37*'[1]Internal Kennedy Total'!W29</f>
        <v>1500.6565283325147</v>
      </c>
      <c r="K37" s="141">
        <f>B37+$K$19+'[1]Kennedy Gas Daily Pricing'!B18</f>
        <v>1.65</v>
      </c>
      <c r="L37" s="144">
        <f>O37*'[1]Internal Kennedy Total'!X29</f>
        <v>9937.3134720926537</v>
      </c>
      <c r="M37" s="145">
        <v>-1960.0191597749263</v>
      </c>
      <c r="N37" s="146">
        <f t="shared" si="3"/>
        <v>27711.734332032043</v>
      </c>
      <c r="O37" s="147">
        <f>'[1]Internal Kennedy Total'!N29</f>
        <v>25751.715172257118</v>
      </c>
      <c r="P37" s="135">
        <f t="shared" si="4"/>
        <v>4866.2105709220623</v>
      </c>
      <c r="Q37" s="136">
        <f t="shared" si="5"/>
        <v>22666.242877464276</v>
      </c>
      <c r="R37" s="136">
        <f t="shared" si="6"/>
        <v>8342.4524945855337</v>
      </c>
      <c r="S37" s="136">
        <f t="shared" si="7"/>
        <v>2300.0562609752451</v>
      </c>
      <c r="T37" s="137">
        <f t="shared" si="8"/>
        <v>16396.567228952877</v>
      </c>
      <c r="U37" s="148">
        <f t="shared" si="9"/>
        <v>54571.529432900003</v>
      </c>
    </row>
    <row r="38" spans="1:21" x14ac:dyDescent="0.2">
      <c r="A38" s="124">
        <f t="shared" si="10"/>
        <v>37208</v>
      </c>
      <c r="B38" s="125">
        <f>+'[1]Index Pricing'!B19</f>
        <v>1.52</v>
      </c>
      <c r="C38" s="139">
        <f t="shared" si="0"/>
        <v>1.52</v>
      </c>
      <c r="D38" s="140">
        <f>O38*'[1]Internal Kennedy Total'!T30</f>
        <v>2862.4768064247423</v>
      </c>
      <c r="E38" s="141">
        <f>+'[1]Index Pricing'!$B$4+'S Kitty Detail'!$K$17</f>
        <v>2.7753999999999999</v>
      </c>
      <c r="F38" s="142">
        <f>O38*'[1]Internal Kennedy Total'!U30</f>
        <v>8166.8382494286516</v>
      </c>
      <c r="G38" s="141">
        <f t="shared" si="1"/>
        <v>2.54</v>
      </c>
      <c r="H38" s="143">
        <f>O38*'[1]Internal Kennedy Total'!V30</f>
        <v>3284.4301159785559</v>
      </c>
      <c r="I38" s="141">
        <f t="shared" si="2"/>
        <v>1.3527</v>
      </c>
      <c r="J38" s="144">
        <f>O38*'[1]Internal Kennedy Total'!W30</f>
        <v>1500.6565283325147</v>
      </c>
      <c r="K38" s="141">
        <f>B38+$K$19+'[1]Kennedy Gas Daily Pricing'!B19</f>
        <v>1.47</v>
      </c>
      <c r="L38" s="144">
        <f>O38*'[1]Internal Kennedy Total'!X30</f>
        <v>5946.7034715973141</v>
      </c>
      <c r="M38" s="145">
        <v>-1656.2851363190148</v>
      </c>
      <c r="N38" s="146">
        <f t="shared" si="3"/>
        <v>23417.390308080794</v>
      </c>
      <c r="O38" s="147">
        <f>'[1]Internal Kennedy Total'!N30</f>
        <v>21761.105171761777</v>
      </c>
      <c r="P38" s="135">
        <f t="shared" si="4"/>
        <v>4350.9647457656083</v>
      </c>
      <c r="Q38" s="136">
        <f t="shared" si="5"/>
        <v>22666.242877464279</v>
      </c>
      <c r="R38" s="136">
        <f t="shared" si="6"/>
        <v>8342.4524945855319</v>
      </c>
      <c r="S38" s="136">
        <f t="shared" si="7"/>
        <v>2029.9380858753925</v>
      </c>
      <c r="T38" s="137">
        <f t="shared" si="8"/>
        <v>8741.6541032480509</v>
      </c>
      <c r="U38" s="148">
        <f t="shared" si="9"/>
        <v>46131.252306938863</v>
      </c>
    </row>
    <row r="39" spans="1:21" x14ac:dyDescent="0.2">
      <c r="A39" s="124">
        <f t="shared" si="10"/>
        <v>37209</v>
      </c>
      <c r="B39" s="125">
        <f>+'[1]Index Pricing'!B20</f>
        <v>1.595</v>
      </c>
      <c r="C39" s="139">
        <f t="shared" si="0"/>
        <v>1.595</v>
      </c>
      <c r="D39" s="140">
        <f>O39*'[1]Internal Kennedy Total'!T31</f>
        <v>2862.4768064247419</v>
      </c>
      <c r="E39" s="141">
        <f>+'[1]Index Pricing'!$B$4+'S Kitty Detail'!$K$17</f>
        <v>2.7753999999999999</v>
      </c>
      <c r="F39" s="142">
        <f>O39*'[1]Internal Kennedy Total'!U31</f>
        <v>8166.8382494286498</v>
      </c>
      <c r="G39" s="141">
        <f t="shared" si="1"/>
        <v>2.54</v>
      </c>
      <c r="H39" s="143">
        <f>O39*'[1]Internal Kennedy Total'!V31</f>
        <v>3284.4301159785555</v>
      </c>
      <c r="I39" s="141">
        <f t="shared" si="2"/>
        <v>1.4277</v>
      </c>
      <c r="J39" s="144">
        <f>O39*'[1]Internal Kennedy Total'!W31</f>
        <v>1500.6565283325147</v>
      </c>
      <c r="K39" s="141">
        <f>B39+$K$19+'[1]Kennedy Gas Daily Pricing'!B20</f>
        <v>1.5449999999999999</v>
      </c>
      <c r="L39" s="144">
        <f>O39*'[1]Internal Kennedy Total'!X31</f>
        <v>8281.5852202255683</v>
      </c>
      <c r="M39" s="145">
        <v>-1833.9980743702413</v>
      </c>
      <c r="N39" s="146">
        <f t="shared" si="3"/>
        <v>25929.984994760271</v>
      </c>
      <c r="O39" s="147">
        <f>'[1]Internal Kennedy Total'!N31</f>
        <v>24095.986920390031</v>
      </c>
      <c r="P39" s="135">
        <f t="shared" si="4"/>
        <v>4565.6505062474635</v>
      </c>
      <c r="Q39" s="136">
        <f t="shared" si="5"/>
        <v>22666.242877464272</v>
      </c>
      <c r="R39" s="136">
        <f t="shared" si="6"/>
        <v>8342.4524945855319</v>
      </c>
      <c r="S39" s="136">
        <f t="shared" si="7"/>
        <v>2142.4873255003313</v>
      </c>
      <c r="T39" s="137">
        <f t="shared" si="8"/>
        <v>12795.049165248502</v>
      </c>
      <c r="U39" s="148">
        <f t="shared" si="9"/>
        <v>50511.882369046099</v>
      </c>
    </row>
    <row r="40" spans="1:21" x14ac:dyDescent="0.2">
      <c r="A40" s="124">
        <f t="shared" si="10"/>
        <v>37210</v>
      </c>
      <c r="B40" s="125">
        <f>+'[1]Index Pricing'!B21</f>
        <v>1.84</v>
      </c>
      <c r="C40" s="139">
        <f t="shared" si="0"/>
        <v>1.84</v>
      </c>
      <c r="D40" s="140">
        <f>O40*'[1]Internal Kennedy Total'!T32</f>
        <v>2862.4768064247423</v>
      </c>
      <c r="E40" s="141">
        <f>+'[1]Index Pricing'!$B$4+'S Kitty Detail'!$K$17</f>
        <v>2.7753999999999999</v>
      </c>
      <c r="F40" s="142">
        <f>O40*'[1]Internal Kennedy Total'!U32</f>
        <v>8166.8382494286507</v>
      </c>
      <c r="G40" s="141">
        <f t="shared" si="1"/>
        <v>2.54</v>
      </c>
      <c r="H40" s="143">
        <f>O40*'[1]Internal Kennedy Total'!V32</f>
        <v>3284.4301159785564</v>
      </c>
      <c r="I40" s="141">
        <f t="shared" si="2"/>
        <v>1.6727000000000001</v>
      </c>
      <c r="J40" s="144">
        <f>O40*'[1]Internal Kennedy Total'!W32</f>
        <v>1500.6565283325147</v>
      </c>
      <c r="K40" s="141">
        <f>B40+$K$19+'[1]Kennedy Gas Daily Pricing'!B21</f>
        <v>1.79</v>
      </c>
      <c r="L40" s="144">
        <f>O40*'[1]Internal Kennedy Total'!X32</f>
        <v>9657.8935470785764</v>
      </c>
      <c r="M40" s="145">
        <v>-1938.7519003715418</v>
      </c>
      <c r="N40" s="146">
        <f t="shared" si="3"/>
        <v>27411.047147614583</v>
      </c>
      <c r="O40" s="147">
        <f>'[1]Internal Kennedy Total'!N32</f>
        <v>25472.295247243041</v>
      </c>
      <c r="P40" s="135">
        <f t="shared" si="4"/>
        <v>5266.9573238215262</v>
      </c>
      <c r="Q40" s="136">
        <f t="shared" si="5"/>
        <v>22666.242877464276</v>
      </c>
      <c r="R40" s="136">
        <f t="shared" si="6"/>
        <v>8342.4524945855337</v>
      </c>
      <c r="S40" s="136">
        <f t="shared" si="7"/>
        <v>2510.1481749417972</v>
      </c>
      <c r="T40" s="137">
        <f t="shared" si="8"/>
        <v>17287.629449270651</v>
      </c>
      <c r="U40" s="148">
        <f t="shared" si="9"/>
        <v>56073.430320083782</v>
      </c>
    </row>
    <row r="41" spans="1:21" x14ac:dyDescent="0.2">
      <c r="A41" s="124">
        <f t="shared" si="10"/>
        <v>37211</v>
      </c>
      <c r="B41" s="125">
        <f>+'[1]Index Pricing'!B22</f>
        <v>1.4350000000000001</v>
      </c>
      <c r="C41" s="139">
        <f t="shared" si="0"/>
        <v>1.4350000000000001</v>
      </c>
      <c r="D41" s="140">
        <f>O41*'[1]Internal Kennedy Total'!T33</f>
        <v>2862.4768064247423</v>
      </c>
      <c r="E41" s="141">
        <f>+'[1]Index Pricing'!$B$4+'S Kitty Detail'!$K$17</f>
        <v>2.7753999999999999</v>
      </c>
      <c r="F41" s="142">
        <f>O41*'[1]Internal Kennedy Total'!U33</f>
        <v>8166.8382494286516</v>
      </c>
      <c r="G41" s="141">
        <f t="shared" si="1"/>
        <v>2.54</v>
      </c>
      <c r="H41" s="143">
        <f>O41*'[1]Internal Kennedy Total'!V33</f>
        <v>3284.4301159785559</v>
      </c>
      <c r="I41" s="141">
        <f t="shared" si="2"/>
        <v>1.2677</v>
      </c>
      <c r="J41" s="144">
        <f>O41*'[1]Internal Kennedy Total'!W33</f>
        <v>1500.6565283325147</v>
      </c>
      <c r="K41" s="141">
        <f>B41+$K$19+'[1]Kennedy Gas Daily Pricing'!B22</f>
        <v>1.385</v>
      </c>
      <c r="L41" s="144">
        <f>O41*'[1]Internal Kennedy Total'!X33</f>
        <v>9867.7517495900393</v>
      </c>
      <c r="M41" s="145">
        <v>-1954.7246654866797</v>
      </c>
      <c r="N41" s="146">
        <f t="shared" si="3"/>
        <v>27636.878115241183</v>
      </c>
      <c r="O41" s="147">
        <f>'[1]Internal Kennedy Total'!N33</f>
        <v>25682.153449754504</v>
      </c>
      <c r="P41" s="135">
        <f t="shared" si="4"/>
        <v>4107.654217219505</v>
      </c>
      <c r="Q41" s="136">
        <f t="shared" si="5"/>
        <v>22666.242877464279</v>
      </c>
      <c r="R41" s="136">
        <f t="shared" si="6"/>
        <v>8342.4524945855319</v>
      </c>
      <c r="S41" s="136">
        <f t="shared" si="7"/>
        <v>1902.382280967129</v>
      </c>
      <c r="T41" s="137">
        <f t="shared" si="8"/>
        <v>13666.836173182204</v>
      </c>
      <c r="U41" s="148">
        <f t="shared" si="9"/>
        <v>50685.568043418651</v>
      </c>
    </row>
    <row r="42" spans="1:21" x14ac:dyDescent="0.2">
      <c r="A42" s="124">
        <f t="shared" si="10"/>
        <v>37212</v>
      </c>
      <c r="B42" s="125">
        <f>+'[1]Index Pricing'!B23</f>
        <v>1.135</v>
      </c>
      <c r="C42" s="139">
        <f t="shared" si="0"/>
        <v>1.135</v>
      </c>
      <c r="D42" s="140">
        <f>O42*'[1]Internal Kennedy Total'!T34</f>
        <v>2862.4768064247423</v>
      </c>
      <c r="E42" s="141">
        <f>+'[1]Index Pricing'!$B$4+'S Kitty Detail'!$K$17</f>
        <v>2.7753999999999999</v>
      </c>
      <c r="F42" s="142">
        <f>O42*'[1]Internal Kennedy Total'!U34</f>
        <v>8166.8382494286507</v>
      </c>
      <c r="G42" s="141">
        <f t="shared" si="1"/>
        <v>2.54</v>
      </c>
      <c r="H42" s="143">
        <f>O42*'[1]Internal Kennedy Total'!V34</f>
        <v>3284.4301159785559</v>
      </c>
      <c r="I42" s="141">
        <f t="shared" si="2"/>
        <v>0.9677</v>
      </c>
      <c r="J42" s="144">
        <f>O42*'[1]Internal Kennedy Total'!W34</f>
        <v>1500.6565283325147</v>
      </c>
      <c r="K42" s="141">
        <f>B42+$K$19+'[1]Kennedy Gas Daily Pricing'!B23</f>
        <v>1.085</v>
      </c>
      <c r="L42" s="144">
        <f>O42*'[1]Internal Kennedy Total'!X34</f>
        <v>9190.4031180903694</v>
      </c>
      <c r="M42" s="145">
        <v>-1903.1701850683444</v>
      </c>
      <c r="N42" s="146">
        <f t="shared" si="3"/>
        <v>26907.975003323179</v>
      </c>
      <c r="O42" s="147">
        <f>'[1]Internal Kennedy Total'!N34</f>
        <v>25004.804818254834</v>
      </c>
      <c r="P42" s="135">
        <f t="shared" si="4"/>
        <v>3248.9111752920826</v>
      </c>
      <c r="Q42" s="136">
        <f t="shared" si="5"/>
        <v>22666.242877464276</v>
      </c>
      <c r="R42" s="136">
        <f t="shared" si="6"/>
        <v>8342.4524945855319</v>
      </c>
      <c r="S42" s="136">
        <f t="shared" si="7"/>
        <v>1452.1853224673744</v>
      </c>
      <c r="T42" s="137">
        <f t="shared" si="8"/>
        <v>9971.5873831280496</v>
      </c>
      <c r="U42" s="148">
        <f t="shared" si="9"/>
        <v>45681.379252937317</v>
      </c>
    </row>
    <row r="43" spans="1:21" x14ac:dyDescent="0.2">
      <c r="A43" s="124">
        <f t="shared" si="10"/>
        <v>37213</v>
      </c>
      <c r="B43" s="125">
        <f>+'[1]Index Pricing'!B24</f>
        <v>1.135</v>
      </c>
      <c r="C43" s="139">
        <f t="shared" si="0"/>
        <v>1.135</v>
      </c>
      <c r="D43" s="140">
        <f>O43*'[1]Internal Kennedy Total'!T35</f>
        <v>2862.4768064247419</v>
      </c>
      <c r="E43" s="141">
        <f>+'[1]Index Pricing'!$B$4+'S Kitty Detail'!$K$17</f>
        <v>2.7753999999999999</v>
      </c>
      <c r="F43" s="142">
        <f>O43*'[1]Internal Kennedy Total'!U35</f>
        <v>8166.8382494286516</v>
      </c>
      <c r="G43" s="141">
        <f t="shared" si="1"/>
        <v>2.54</v>
      </c>
      <c r="H43" s="143">
        <f>O43*'[1]Internal Kennedy Total'!V35</f>
        <v>3284.4301159785555</v>
      </c>
      <c r="I43" s="141">
        <f t="shared" si="2"/>
        <v>0.9677</v>
      </c>
      <c r="J43" s="144">
        <f>O43*'[1]Internal Kennedy Total'!W35</f>
        <v>1500.6565283325147</v>
      </c>
      <c r="K43" s="141">
        <f>B43+$K$19+'[1]Kennedy Gas Daily Pricing'!B24</f>
        <v>1.085</v>
      </c>
      <c r="L43" s="144">
        <f>O43*'[1]Internal Kennedy Total'!X35</f>
        <v>7435.9348991471606</v>
      </c>
      <c r="M43" s="145">
        <v>-1769.633785595832</v>
      </c>
      <c r="N43" s="146">
        <f t="shared" si="3"/>
        <v>25019.970384907458</v>
      </c>
      <c r="O43" s="147">
        <f>'[1]Internal Kennedy Total'!N35</f>
        <v>23250.336599311624</v>
      </c>
      <c r="P43" s="135">
        <f t="shared" si="4"/>
        <v>3248.9111752920821</v>
      </c>
      <c r="Q43" s="136">
        <f t="shared" si="5"/>
        <v>22666.242877464279</v>
      </c>
      <c r="R43" s="136">
        <f t="shared" si="6"/>
        <v>8342.4524945855319</v>
      </c>
      <c r="S43" s="136">
        <f t="shared" si="7"/>
        <v>1452.1853224673744</v>
      </c>
      <c r="T43" s="137">
        <f t="shared" si="8"/>
        <v>8067.9893655746691</v>
      </c>
      <c r="U43" s="148">
        <f t="shared" si="9"/>
        <v>43777.78123538394</v>
      </c>
    </row>
    <row r="44" spans="1:21" x14ac:dyDescent="0.2">
      <c r="A44" s="124">
        <f t="shared" si="10"/>
        <v>37214</v>
      </c>
      <c r="B44" s="125">
        <f>+'[1]Index Pricing'!B25</f>
        <v>1.135</v>
      </c>
      <c r="C44" s="139">
        <f t="shared" si="0"/>
        <v>1.135</v>
      </c>
      <c r="D44" s="140">
        <f>O44*'[1]Internal Kennedy Total'!T36</f>
        <v>2862.4768064247423</v>
      </c>
      <c r="E44" s="141">
        <f>+'[1]Index Pricing'!$B$4+'S Kitty Detail'!$K$17</f>
        <v>2.7753999999999999</v>
      </c>
      <c r="F44" s="142">
        <f>O44*'[1]Internal Kennedy Total'!U36</f>
        <v>8166.8382494286516</v>
      </c>
      <c r="G44" s="141">
        <f t="shared" si="1"/>
        <v>2.54</v>
      </c>
      <c r="H44" s="143">
        <f>O44*'[1]Internal Kennedy Total'!V36</f>
        <v>3284.4301159785555</v>
      </c>
      <c r="I44" s="141">
        <f t="shared" si="2"/>
        <v>0.9677</v>
      </c>
      <c r="J44" s="144">
        <f>O44*'[1]Internal Kennedy Total'!W36</f>
        <v>1500.6565283325147</v>
      </c>
      <c r="K44" s="141">
        <f>B44+$K$19+'[1]Kennedy Gas Daily Pricing'!B25</f>
        <v>1.085</v>
      </c>
      <c r="L44" s="144">
        <f>O44*'[1]Internal Kennedy Total'!X36</f>
        <v>9538.018854690783</v>
      </c>
      <c r="M44" s="145">
        <v>-1929.6279763035509</v>
      </c>
      <c r="N44" s="146">
        <f t="shared" si="3"/>
        <v>27282.048531158798</v>
      </c>
      <c r="O44" s="147">
        <f>'[1]Internal Kennedy Total'!N36</f>
        <v>25352.420554855245</v>
      </c>
      <c r="P44" s="135">
        <f t="shared" si="4"/>
        <v>3248.9111752920826</v>
      </c>
      <c r="Q44" s="136">
        <f t="shared" si="5"/>
        <v>22666.242877464279</v>
      </c>
      <c r="R44" s="136">
        <f t="shared" si="6"/>
        <v>8342.4524945855319</v>
      </c>
      <c r="S44" s="136">
        <f t="shared" si="7"/>
        <v>1452.1853224673744</v>
      </c>
      <c r="T44" s="137">
        <f t="shared" si="8"/>
        <v>10348.7504573395</v>
      </c>
      <c r="U44" s="148">
        <f t="shared" si="9"/>
        <v>46058.542327148767</v>
      </c>
    </row>
    <row r="45" spans="1:21" x14ac:dyDescent="0.2">
      <c r="A45" s="124">
        <f t="shared" si="10"/>
        <v>37215</v>
      </c>
      <c r="B45" s="125">
        <f>+'[1]Index Pricing'!B26</f>
        <v>1.5349999999999999</v>
      </c>
      <c r="C45" s="139">
        <f t="shared" si="0"/>
        <v>1.5349999999999999</v>
      </c>
      <c r="D45" s="140">
        <f>O45*'[1]Internal Kennedy Total'!T37</f>
        <v>2862.4768064247423</v>
      </c>
      <c r="E45" s="141">
        <f>+'[1]Index Pricing'!$B$4+'S Kitty Detail'!$K$17</f>
        <v>2.7753999999999999</v>
      </c>
      <c r="F45" s="142">
        <f>O45*'[1]Internal Kennedy Total'!U37</f>
        <v>8166.8382494286507</v>
      </c>
      <c r="G45" s="141">
        <f t="shared" si="1"/>
        <v>2.54</v>
      </c>
      <c r="H45" s="143">
        <f>O45*'[1]Internal Kennedy Total'!V37</f>
        <v>3284.4301159785555</v>
      </c>
      <c r="I45" s="141">
        <f t="shared" si="2"/>
        <v>1.3676999999999999</v>
      </c>
      <c r="J45" s="144">
        <f>O45*'[1]Internal Kennedy Total'!W37</f>
        <v>1500.6565283325147</v>
      </c>
      <c r="K45" s="141">
        <f>B45+$K$19+'[1]Kennedy Gas Daily Pricing'!B26</f>
        <v>1.4849999999999999</v>
      </c>
      <c r="L45" s="144">
        <f>O45*'[1]Internal Kennedy Total'!X37</f>
        <v>11415.712188281012</v>
      </c>
      <c r="M45" s="145">
        <v>-2072.5433077834277</v>
      </c>
      <c r="N45" s="146">
        <f t="shared" si="3"/>
        <v>29302.657196228902</v>
      </c>
      <c r="O45" s="147">
        <f>'[1]Internal Kennedy Total'!N37</f>
        <v>27230.113888445474</v>
      </c>
      <c r="P45" s="135">
        <f t="shared" si="4"/>
        <v>4393.9018978619797</v>
      </c>
      <c r="Q45" s="136">
        <f t="shared" si="5"/>
        <v>22666.242877464276</v>
      </c>
      <c r="R45" s="136">
        <f t="shared" si="6"/>
        <v>8342.4524945855319</v>
      </c>
      <c r="S45" s="136">
        <f t="shared" si="7"/>
        <v>2052.4479338003803</v>
      </c>
      <c r="T45" s="137">
        <f t="shared" si="8"/>
        <v>16952.332599597299</v>
      </c>
      <c r="U45" s="148">
        <f t="shared" si="9"/>
        <v>54407.377803309464</v>
      </c>
    </row>
    <row r="46" spans="1:21" x14ac:dyDescent="0.2">
      <c r="A46" s="124">
        <f t="shared" si="10"/>
        <v>37216</v>
      </c>
      <c r="B46" s="125">
        <f>+'[1]Index Pricing'!B27</f>
        <v>2.2050000000000001</v>
      </c>
      <c r="C46" s="139">
        <f t="shared" si="0"/>
        <v>2.2050000000000001</v>
      </c>
      <c r="D46" s="140">
        <f>O46*'[1]Internal Kennedy Total'!T38</f>
        <v>2862.4768064247419</v>
      </c>
      <c r="E46" s="141">
        <f>+'[1]Index Pricing'!$B$4+'S Kitty Detail'!$K$17</f>
        <v>2.7753999999999999</v>
      </c>
      <c r="F46" s="142">
        <f>O46*'[1]Internal Kennedy Total'!U38</f>
        <v>8166.8382494286516</v>
      </c>
      <c r="G46" s="141">
        <f t="shared" si="1"/>
        <v>2.54</v>
      </c>
      <c r="H46" s="143">
        <f>O46*'[1]Internal Kennedy Total'!V38</f>
        <v>3284.4301159785555</v>
      </c>
      <c r="I46" s="141">
        <f t="shared" si="2"/>
        <v>2.0377000000000001</v>
      </c>
      <c r="J46" s="144">
        <f>O46*'[1]Internal Kennedy Total'!W38</f>
        <v>1500.6565283325147</v>
      </c>
      <c r="K46" s="141">
        <f>B46+$K$19+'[1]Kennedy Gas Daily Pricing'!B27</f>
        <v>2.1550000000000002</v>
      </c>
      <c r="L46" s="144">
        <f>O46*'[1]Internal Kennedy Total'!X38</f>
        <v>12675.171836817071</v>
      </c>
      <c r="M46" s="145">
        <v>-2168.4035262419447</v>
      </c>
      <c r="N46" s="146">
        <f t="shared" si="3"/>
        <v>30657.977063223479</v>
      </c>
      <c r="O46" s="147">
        <f>'[1]Internal Kennedy Total'!N38</f>
        <v>28489.573536981534</v>
      </c>
      <c r="P46" s="135">
        <f t="shared" si="4"/>
        <v>6311.7613581665564</v>
      </c>
      <c r="Q46" s="136">
        <f t="shared" si="5"/>
        <v>22666.242877464279</v>
      </c>
      <c r="R46" s="136">
        <f t="shared" si="6"/>
        <v>8342.4524945855319</v>
      </c>
      <c r="S46" s="136">
        <f t="shared" si="7"/>
        <v>3057.887807783165</v>
      </c>
      <c r="T46" s="137">
        <f t="shared" si="8"/>
        <v>27314.995308340793</v>
      </c>
      <c r="U46" s="148">
        <f t="shared" si="9"/>
        <v>67693.339846340328</v>
      </c>
    </row>
    <row r="47" spans="1:21" x14ac:dyDescent="0.2">
      <c r="A47" s="124">
        <f t="shared" si="10"/>
        <v>37217</v>
      </c>
      <c r="B47" s="125">
        <f>+'[1]Index Pricing'!B28</f>
        <v>1.43</v>
      </c>
      <c r="C47" s="139">
        <f t="shared" si="0"/>
        <v>1.43</v>
      </c>
      <c r="D47" s="140">
        <f>O47*'[1]Internal Kennedy Total'!T39</f>
        <v>2862.4768064247419</v>
      </c>
      <c r="E47" s="141">
        <f>+'[1]Index Pricing'!$B$4+'S Kitty Detail'!$K$17</f>
        <v>2.7753999999999999</v>
      </c>
      <c r="F47" s="142">
        <f>O47*'[1]Internal Kennedy Total'!U39</f>
        <v>8166.8382494286516</v>
      </c>
      <c r="G47" s="141">
        <f t="shared" si="1"/>
        <v>2.54</v>
      </c>
      <c r="H47" s="143">
        <f>O47*'[1]Internal Kennedy Total'!V39</f>
        <v>3284.4301159785555</v>
      </c>
      <c r="I47" s="141">
        <f t="shared" si="2"/>
        <v>1.2626999999999999</v>
      </c>
      <c r="J47" s="144">
        <f>O47*'[1]Internal Kennedy Total'!W39</f>
        <v>1500.6565283325144</v>
      </c>
      <c r="K47" s="141">
        <f>B47+$K$19+'[1]Kennedy Gas Daily Pricing'!B28</f>
        <v>1.38</v>
      </c>
      <c r="L47" s="144">
        <f>O47*'[1]Internal Kennedy Total'!X39</f>
        <v>13260.853588468519</v>
      </c>
      <c r="M47" s="145">
        <v>-2212.9810406750062</v>
      </c>
      <c r="N47" s="146">
        <f t="shared" si="3"/>
        <v>31288.236329307991</v>
      </c>
      <c r="O47" s="147">
        <f>'[1]Internal Kennedy Total'!N39</f>
        <v>29075.255288632983</v>
      </c>
      <c r="P47" s="135">
        <f t="shared" si="4"/>
        <v>4093.3418331873809</v>
      </c>
      <c r="Q47" s="136">
        <f t="shared" si="5"/>
        <v>22666.242877464279</v>
      </c>
      <c r="R47" s="136">
        <f t="shared" si="6"/>
        <v>8342.4524945855319</v>
      </c>
      <c r="S47" s="136">
        <f t="shared" si="7"/>
        <v>1894.8789983254658</v>
      </c>
      <c r="T47" s="137">
        <f t="shared" si="8"/>
        <v>18299.977952086556</v>
      </c>
      <c r="U47" s="148">
        <f t="shared" si="9"/>
        <v>55296.894155649214</v>
      </c>
    </row>
    <row r="48" spans="1:21" x14ac:dyDescent="0.2">
      <c r="A48" s="124">
        <f t="shared" si="10"/>
        <v>37218</v>
      </c>
      <c r="B48" s="125">
        <f>+'[1]Index Pricing'!B29</f>
        <v>1.43</v>
      </c>
      <c r="C48" s="139">
        <f t="shared" si="0"/>
        <v>1.43</v>
      </c>
      <c r="D48" s="140">
        <f>O48*'[1]Internal Kennedy Total'!T40</f>
        <v>2862.4768064247423</v>
      </c>
      <c r="E48" s="141">
        <f>+'[1]Index Pricing'!$B$4+'S Kitty Detail'!$K$17</f>
        <v>2.7753999999999999</v>
      </c>
      <c r="F48" s="142">
        <f>O48*'[1]Internal Kennedy Total'!U40</f>
        <v>8166.8382494286516</v>
      </c>
      <c r="G48" s="141">
        <f t="shared" si="1"/>
        <v>2.54</v>
      </c>
      <c r="H48" s="143">
        <f>O48*'[1]Internal Kennedy Total'!V40</f>
        <v>3284.4301159785559</v>
      </c>
      <c r="I48" s="141">
        <f t="shared" si="2"/>
        <v>1.2626999999999999</v>
      </c>
      <c r="J48" s="144">
        <f>O48*'[1]Internal Kennedy Total'!W40</f>
        <v>1500.6565283325147</v>
      </c>
      <c r="K48" s="141">
        <f>B48+$K$19+'[1]Kennedy Gas Daily Pricing'!B29</f>
        <v>1.38</v>
      </c>
      <c r="L48" s="144">
        <f>O48*'[1]Internal Kennedy Total'!X40</f>
        <v>13374.038464307378</v>
      </c>
      <c r="M48" s="145">
        <v>-2221.5957882270413</v>
      </c>
      <c r="N48" s="146">
        <f t="shared" si="3"/>
        <v>31410.035952698883</v>
      </c>
      <c r="O48" s="147">
        <f>'[1]Internal Kennedy Total'!N40</f>
        <v>29188.440164471842</v>
      </c>
      <c r="P48" s="135">
        <f t="shared" si="4"/>
        <v>4093.3418331873813</v>
      </c>
      <c r="Q48" s="136">
        <f t="shared" si="5"/>
        <v>22666.242877464279</v>
      </c>
      <c r="R48" s="136">
        <f t="shared" si="6"/>
        <v>8342.4524945855319</v>
      </c>
      <c r="S48" s="136">
        <f t="shared" si="7"/>
        <v>1894.8789983254662</v>
      </c>
      <c r="T48" s="137">
        <f t="shared" si="8"/>
        <v>18456.173080744178</v>
      </c>
      <c r="U48" s="148">
        <f t="shared" si="9"/>
        <v>55453.089284306836</v>
      </c>
    </row>
    <row r="49" spans="1:26" x14ac:dyDescent="0.2">
      <c r="A49" s="124">
        <f t="shared" si="10"/>
        <v>37219</v>
      </c>
      <c r="B49" s="125">
        <f>+'[1]Index Pricing'!B30</f>
        <v>1.43</v>
      </c>
      <c r="C49" s="139">
        <f t="shared" si="0"/>
        <v>1.43</v>
      </c>
      <c r="D49" s="140">
        <f>O49*'[1]Internal Kennedy Total'!T41</f>
        <v>2862.4768064247423</v>
      </c>
      <c r="E49" s="141">
        <f>+'[1]Index Pricing'!$B$4+'S Kitty Detail'!$K$17</f>
        <v>2.7753999999999999</v>
      </c>
      <c r="F49" s="142">
        <f>O49*'[1]Internal Kennedy Total'!U41</f>
        <v>8166.8382494286507</v>
      </c>
      <c r="G49" s="141">
        <f t="shared" si="1"/>
        <v>2.54</v>
      </c>
      <c r="H49" s="143">
        <f>O49*'[1]Internal Kennedy Total'!V41</f>
        <v>3284.4301159785559</v>
      </c>
      <c r="I49" s="141">
        <f t="shared" si="2"/>
        <v>1.2626999999999999</v>
      </c>
      <c r="J49" s="144">
        <f>O49*'[1]Internal Kennedy Total'!W41</f>
        <v>1500.6565283325147</v>
      </c>
      <c r="K49" s="141">
        <f>B49+$K$19+'[1]Kennedy Gas Daily Pricing'!B30</f>
        <v>1.38</v>
      </c>
      <c r="L49" s="144">
        <f>O49*'[1]Internal Kennedy Total'!X41</f>
        <v>12039.932533836236</v>
      </c>
      <c r="M49" s="145">
        <v>-2120.0540785816252</v>
      </c>
      <c r="N49" s="146">
        <f t="shared" si="3"/>
        <v>29974.388312582327</v>
      </c>
      <c r="O49" s="147">
        <f>'[1]Internal Kennedy Total'!N41</f>
        <v>27854.3342340007</v>
      </c>
      <c r="P49" s="135">
        <f t="shared" si="4"/>
        <v>4093.3418331873813</v>
      </c>
      <c r="Q49" s="136">
        <f t="shared" si="5"/>
        <v>22666.242877464276</v>
      </c>
      <c r="R49" s="136">
        <f t="shared" si="6"/>
        <v>8342.4524945855319</v>
      </c>
      <c r="S49" s="136">
        <f t="shared" si="7"/>
        <v>1894.8789983254662</v>
      </c>
      <c r="T49" s="137">
        <f t="shared" si="8"/>
        <v>16615.106896694004</v>
      </c>
      <c r="U49" s="148">
        <f t="shared" si="9"/>
        <v>53612.023100256658</v>
      </c>
    </row>
    <row r="50" spans="1:26" x14ac:dyDescent="0.2">
      <c r="A50" s="124">
        <f t="shared" si="10"/>
        <v>37220</v>
      </c>
      <c r="B50" s="125">
        <f>+'[1]Index Pricing'!B31</f>
        <v>1.43</v>
      </c>
      <c r="C50" s="139">
        <f t="shared" si="0"/>
        <v>1.43</v>
      </c>
      <c r="D50" s="140">
        <f>O50*'[1]Internal Kennedy Total'!T42</f>
        <v>2862.4768064247423</v>
      </c>
      <c r="E50" s="141">
        <f>+'[1]Index Pricing'!$B$4+'S Kitty Detail'!$K$17</f>
        <v>2.7753999999999999</v>
      </c>
      <c r="F50" s="142">
        <f>O50*'[1]Internal Kennedy Total'!U42</f>
        <v>8166.8382494286507</v>
      </c>
      <c r="G50" s="141">
        <f t="shared" si="1"/>
        <v>2.54</v>
      </c>
      <c r="H50" s="143">
        <f>O50*'[1]Internal Kennedy Total'!V42</f>
        <v>3284.4301159785559</v>
      </c>
      <c r="I50" s="141">
        <f t="shared" si="2"/>
        <v>1.2626999999999999</v>
      </c>
      <c r="J50" s="144">
        <f>O50*'[1]Internal Kennedy Total'!W42</f>
        <v>1500.6565283325149</v>
      </c>
      <c r="K50" s="141">
        <f>B50+$K$19+'[1]Kennedy Gas Daily Pricing'!B31</f>
        <v>1.38</v>
      </c>
      <c r="L50" s="144">
        <f>O50*'[1]Internal Kennedy Total'!X42</f>
        <v>6441.7787636153371</v>
      </c>
      <c r="M50" s="145">
        <v>-1693.9663956602133</v>
      </c>
      <c r="N50" s="146">
        <f t="shared" si="3"/>
        <v>23950.146859440014</v>
      </c>
      <c r="O50" s="147">
        <f>'[1]Internal Kennedy Total'!N42</f>
        <v>22256.180463779801</v>
      </c>
      <c r="P50" s="135">
        <f t="shared" si="4"/>
        <v>4093.3418331873813</v>
      </c>
      <c r="Q50" s="136">
        <f t="shared" si="5"/>
        <v>22666.242877464276</v>
      </c>
      <c r="R50" s="136">
        <f t="shared" si="6"/>
        <v>8342.4524945855319</v>
      </c>
      <c r="S50" s="136">
        <f t="shared" si="7"/>
        <v>1894.8789983254665</v>
      </c>
      <c r="T50" s="137">
        <f t="shared" si="8"/>
        <v>8889.6546937891653</v>
      </c>
      <c r="U50" s="148">
        <f t="shared" si="9"/>
        <v>45886.570897351819</v>
      </c>
    </row>
    <row r="51" spans="1:26" x14ac:dyDescent="0.2">
      <c r="A51" s="124">
        <f t="shared" si="10"/>
        <v>37221</v>
      </c>
      <c r="B51" s="125">
        <f>+'[1]Index Pricing'!B32</f>
        <v>1.43</v>
      </c>
      <c r="C51" s="139">
        <f t="shared" si="0"/>
        <v>1.43</v>
      </c>
      <c r="D51" s="140">
        <f>O51*'[1]Internal Kennedy Total'!T43</f>
        <v>2862.4768064247423</v>
      </c>
      <c r="E51" s="141">
        <f>+'[1]Index Pricing'!$B$4+'S Kitty Detail'!$K$17</f>
        <v>2.7753999999999999</v>
      </c>
      <c r="F51" s="142">
        <f>O51*'[1]Internal Kennedy Total'!U43</f>
        <v>8166.8382494286507</v>
      </c>
      <c r="G51" s="141">
        <f t="shared" si="1"/>
        <v>2.54</v>
      </c>
      <c r="H51" s="143">
        <f>O51*'[1]Internal Kennedy Total'!V43</f>
        <v>3284.4301159785564</v>
      </c>
      <c r="I51" s="141">
        <f t="shared" si="2"/>
        <v>1.2626999999999999</v>
      </c>
      <c r="J51" s="144">
        <f>O51*'[1]Internal Kennedy Total'!W43</f>
        <v>1500.6565283325147</v>
      </c>
      <c r="K51" s="141">
        <f>B51+$K$19+'[1]Kennedy Gas Daily Pricing'!B32</f>
        <v>1.38</v>
      </c>
      <c r="L51" s="144">
        <f>O51*'[1]Internal Kennedy Total'!X43</f>
        <v>10362.28477835493</v>
      </c>
      <c r="M51" s="145">
        <v>-1992.3646519899846</v>
      </c>
      <c r="N51" s="146">
        <f t="shared" si="3"/>
        <v>28169.051130509379</v>
      </c>
      <c r="O51" s="147">
        <f>'[1]Internal Kennedy Total'!N43</f>
        <v>26176.686478519394</v>
      </c>
      <c r="P51" s="135">
        <f t="shared" si="4"/>
        <v>4093.3418331873813</v>
      </c>
      <c r="Q51" s="136">
        <f t="shared" si="5"/>
        <v>22666.242877464276</v>
      </c>
      <c r="R51" s="136">
        <f t="shared" si="6"/>
        <v>8342.4524945855337</v>
      </c>
      <c r="S51" s="136">
        <f t="shared" si="7"/>
        <v>1894.8789983254662</v>
      </c>
      <c r="T51" s="137">
        <f t="shared" si="8"/>
        <v>14299.952994129802</v>
      </c>
      <c r="U51" s="148">
        <f t="shared" si="9"/>
        <v>51296.86919769246</v>
      </c>
    </row>
    <row r="52" spans="1:26" x14ac:dyDescent="0.2">
      <c r="A52" s="124">
        <f t="shared" si="10"/>
        <v>37222</v>
      </c>
      <c r="B52" s="125">
        <f>+'[1]Index Pricing'!B33</f>
        <v>1.88</v>
      </c>
      <c r="C52" s="139">
        <f t="shared" si="0"/>
        <v>1.88</v>
      </c>
      <c r="D52" s="140">
        <f>O52*'[1]Internal Kennedy Total'!T44</f>
        <v>2862.4768064247423</v>
      </c>
      <c r="E52" s="141">
        <f>+'[1]Index Pricing'!$B$4+'S Kitty Detail'!$K$17</f>
        <v>2.7753999999999999</v>
      </c>
      <c r="F52" s="142">
        <f>O52*'[1]Internal Kennedy Total'!U44</f>
        <v>8166.8382494286507</v>
      </c>
      <c r="G52" s="141">
        <f t="shared" si="1"/>
        <v>2.54</v>
      </c>
      <c r="H52" s="143">
        <f>O52*'[1]Internal Kennedy Total'!V44</f>
        <v>3284.4301159785564</v>
      </c>
      <c r="I52" s="141">
        <f t="shared" si="2"/>
        <v>1.7126999999999999</v>
      </c>
      <c r="J52" s="144">
        <f>O52*'[1]Internal Kennedy Total'!W44</f>
        <v>1500.6565283325147</v>
      </c>
      <c r="K52" s="141">
        <f>B52+$K$19+'[1]Kennedy Gas Daily Pricing'!B33</f>
        <v>1.8299999999999998</v>
      </c>
      <c r="L52" s="144">
        <f>O52*'[1]Internal Kennedy Total'!X44</f>
        <v>10362.28477835493</v>
      </c>
      <c r="M52" s="145">
        <v>-1992.3646519899846</v>
      </c>
      <c r="N52" s="146">
        <f t="shared" si="3"/>
        <v>28169.051130509379</v>
      </c>
      <c r="O52" s="147">
        <f>'[1]Internal Kennedy Total'!N44</f>
        <v>26176.686478519394</v>
      </c>
      <c r="P52" s="135">
        <f t="shared" si="4"/>
        <v>5381.4563960785154</v>
      </c>
      <c r="Q52" s="136">
        <f t="shared" si="5"/>
        <v>22666.242877464276</v>
      </c>
      <c r="R52" s="136">
        <f t="shared" si="6"/>
        <v>8342.4524945855337</v>
      </c>
      <c r="S52" s="136">
        <f t="shared" si="7"/>
        <v>2570.1744360750977</v>
      </c>
      <c r="T52" s="137">
        <f t="shared" si="8"/>
        <v>18962.98114438952</v>
      </c>
      <c r="U52" s="148">
        <f t="shared" si="9"/>
        <v>57923.307348592949</v>
      </c>
    </row>
    <row r="53" spans="1:26" x14ac:dyDescent="0.2">
      <c r="A53" s="124">
        <f t="shared" si="10"/>
        <v>37223</v>
      </c>
      <c r="B53" s="125">
        <f>+'[1]Index Pricing'!B34</f>
        <v>2.16</v>
      </c>
      <c r="C53" s="139">
        <f t="shared" si="0"/>
        <v>2.16</v>
      </c>
      <c r="D53" s="140">
        <f>O53*'[1]Internal Kennedy Total'!T45</f>
        <v>2862.4768064247423</v>
      </c>
      <c r="E53" s="141">
        <f>+'[1]Index Pricing'!$B$4+'S Kitty Detail'!$K$17</f>
        <v>2.7753999999999999</v>
      </c>
      <c r="F53" s="142">
        <f>O53*'[1]Internal Kennedy Total'!U45</f>
        <v>8166.8382494286507</v>
      </c>
      <c r="G53" s="141">
        <f t="shared" si="1"/>
        <v>2.54</v>
      </c>
      <c r="H53" s="143">
        <f>O53*'[1]Internal Kennedy Total'!V45</f>
        <v>3284.4301159785564</v>
      </c>
      <c r="I53" s="141">
        <f t="shared" si="2"/>
        <v>1.9927000000000001</v>
      </c>
      <c r="J53" s="144">
        <f>O53*'[1]Internal Kennedy Total'!W45</f>
        <v>1500.6565283325147</v>
      </c>
      <c r="K53" s="141">
        <f>B53+$K$19+'[1]Kennedy Gas Daily Pricing'!B34</f>
        <v>2.1100000000000003</v>
      </c>
      <c r="L53" s="144">
        <f>O53*'[1]Internal Kennedy Total'!X45</f>
        <v>10362.28477835493</v>
      </c>
      <c r="M53" s="145">
        <v>-1992.3646519899846</v>
      </c>
      <c r="N53" s="146">
        <f t="shared" si="3"/>
        <v>28169.051130509379</v>
      </c>
      <c r="O53" s="147">
        <f>'[1]Internal Kennedy Total'!N45</f>
        <v>26176.686478519394</v>
      </c>
      <c r="P53" s="135">
        <f t="shared" si="4"/>
        <v>6182.9499018774441</v>
      </c>
      <c r="Q53" s="136">
        <f t="shared" si="5"/>
        <v>22666.242877464276</v>
      </c>
      <c r="R53" s="136">
        <f t="shared" si="6"/>
        <v>8342.4524945855337</v>
      </c>
      <c r="S53" s="136">
        <f t="shared" si="7"/>
        <v>2990.3582640082022</v>
      </c>
      <c r="T53" s="137">
        <f t="shared" si="8"/>
        <v>21864.420882328905</v>
      </c>
      <c r="U53" s="148">
        <f t="shared" si="9"/>
        <v>62046.42442026436</v>
      </c>
    </row>
    <row r="54" spans="1:26" x14ac:dyDescent="0.2">
      <c r="A54" s="124">
        <f t="shared" si="10"/>
        <v>37224</v>
      </c>
      <c r="B54" s="125">
        <f>+'[1]Index Pricing'!B35</f>
        <v>2.16</v>
      </c>
      <c r="C54" s="139">
        <f t="shared" si="0"/>
        <v>2.16</v>
      </c>
      <c r="D54" s="140">
        <f>O54*'[1]Internal Kennedy Total'!T46</f>
        <v>2862.4768064247423</v>
      </c>
      <c r="E54" s="141">
        <f>+'[1]Index Pricing'!$B$4+'S Kitty Detail'!$K$17</f>
        <v>2.7753999999999999</v>
      </c>
      <c r="F54" s="142">
        <f>O54*'[1]Internal Kennedy Total'!U46</f>
        <v>8166.8382494286507</v>
      </c>
      <c r="G54" s="141">
        <f t="shared" si="1"/>
        <v>2.54</v>
      </c>
      <c r="H54" s="143">
        <f>O54*'[1]Internal Kennedy Total'!V46</f>
        <v>3284.4301159785564</v>
      </c>
      <c r="I54" s="141">
        <f t="shared" si="2"/>
        <v>1.9927000000000001</v>
      </c>
      <c r="J54" s="144">
        <f>O54*'[1]Internal Kennedy Total'!W46</f>
        <v>1500.6565283325147</v>
      </c>
      <c r="K54" s="141">
        <f>B54+$K$19+'[1]Kennedy Gas Daily Pricing'!B35</f>
        <v>2.1100000000000003</v>
      </c>
      <c r="L54" s="144">
        <f>O54*'[1]Internal Kennedy Total'!X46</f>
        <v>10362.28477835493</v>
      </c>
      <c r="M54" s="145">
        <v>-1992.3646519899846</v>
      </c>
      <c r="N54" s="146">
        <f t="shared" si="3"/>
        <v>28169.051130509379</v>
      </c>
      <c r="O54" s="147">
        <f>'[1]Internal Kennedy Total'!N46</f>
        <v>26176.686478519394</v>
      </c>
      <c r="P54" s="135">
        <f t="shared" si="4"/>
        <v>6182.9499018774441</v>
      </c>
      <c r="Q54" s="136">
        <f t="shared" si="5"/>
        <v>22666.242877464276</v>
      </c>
      <c r="R54" s="136">
        <f t="shared" si="6"/>
        <v>8342.4524945855337</v>
      </c>
      <c r="S54" s="136">
        <f t="shared" si="7"/>
        <v>2990.3582640082022</v>
      </c>
      <c r="T54" s="137">
        <f t="shared" si="8"/>
        <v>21864.420882328905</v>
      </c>
      <c r="U54" s="148">
        <f t="shared" si="9"/>
        <v>62046.42442026436</v>
      </c>
    </row>
    <row r="55" spans="1:26" x14ac:dyDescent="0.2">
      <c r="A55" s="124">
        <f t="shared" si="10"/>
        <v>37225</v>
      </c>
      <c r="B55" s="125">
        <f>+'[1]Index Pricing'!B36</f>
        <v>2.16</v>
      </c>
      <c r="C55" s="139">
        <f t="shared" si="0"/>
        <v>2.16</v>
      </c>
      <c r="D55" s="140">
        <f>O55*'[1]Internal Kennedy Total'!T47</f>
        <v>2862.4768064247423</v>
      </c>
      <c r="E55" s="141">
        <f>+'[1]Index Pricing'!$B$4+'S Kitty Detail'!$K$17</f>
        <v>2.7753999999999999</v>
      </c>
      <c r="F55" s="142">
        <f>O55*'[1]Internal Kennedy Total'!U47</f>
        <v>8166.8382494286507</v>
      </c>
      <c r="G55" s="141">
        <f t="shared" si="1"/>
        <v>2.54</v>
      </c>
      <c r="H55" s="143">
        <f>O55*'[1]Internal Kennedy Total'!V47</f>
        <v>3284.4301159785564</v>
      </c>
      <c r="I55" s="141">
        <f t="shared" si="2"/>
        <v>1.9927000000000001</v>
      </c>
      <c r="J55" s="144">
        <f>O55*'[1]Internal Kennedy Total'!W47</f>
        <v>1500.6565283325147</v>
      </c>
      <c r="K55" s="141">
        <f>B55+$K$19+'[1]Kennedy Gas Daily Pricing'!B36</f>
        <v>2.1100000000000003</v>
      </c>
      <c r="L55" s="144">
        <f>O55*'[1]Internal Kennedy Total'!X47</f>
        <v>10362.28477835493</v>
      </c>
      <c r="M55" s="145">
        <v>-1992.3646519899846</v>
      </c>
      <c r="N55" s="146">
        <f t="shared" si="3"/>
        <v>28169.051130509379</v>
      </c>
      <c r="O55" s="147">
        <f>'[1]Internal Kennedy Total'!N47</f>
        <v>26176.686478519394</v>
      </c>
      <c r="P55" s="135">
        <f t="shared" si="4"/>
        <v>6182.9499018774441</v>
      </c>
      <c r="Q55" s="136">
        <f t="shared" si="5"/>
        <v>22666.242877464276</v>
      </c>
      <c r="R55" s="136">
        <f t="shared" si="6"/>
        <v>8342.4524945855337</v>
      </c>
      <c r="S55" s="136">
        <f t="shared" si="7"/>
        <v>2990.3582640082022</v>
      </c>
      <c r="T55" s="137">
        <f t="shared" si="8"/>
        <v>21864.420882328905</v>
      </c>
      <c r="U55" s="148">
        <f t="shared" si="9"/>
        <v>62046.42442026436</v>
      </c>
    </row>
    <row r="56" spans="1:26" ht="13.5" thickBot="1" x14ac:dyDescent="0.25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6" x14ac:dyDescent="0.2">
      <c r="D57" s="163">
        <f>SUM(D26:D56)</f>
        <v>85874.304192742289</v>
      </c>
      <c r="F57" s="164">
        <f>SUM(F26:F56)</f>
        <v>245005.14748285967</v>
      </c>
      <c r="H57" s="163">
        <f>SUM(H26:H56)</f>
        <v>98532.903479356639</v>
      </c>
      <c r="J57" s="165">
        <f>SUM(J26:J56)</f>
        <v>45019.695849975462</v>
      </c>
      <c r="K57" s="165"/>
      <c r="L57" s="165">
        <f t="shared" ref="L57:T57" si="11">SUM(L26:L56)</f>
        <v>326663.75996677717</v>
      </c>
      <c r="M57" s="166">
        <f t="shared" si="11"/>
        <v>-60973.147917213595</v>
      </c>
      <c r="N57" s="147">
        <f t="shared" si="11"/>
        <v>862068.95888892456</v>
      </c>
      <c r="O57" s="147">
        <f t="shared" si="11"/>
        <v>801095.81097171083</v>
      </c>
      <c r="P57" s="167">
        <f t="shared" si="11"/>
        <v>153371.50728823768</v>
      </c>
      <c r="Q57" s="167">
        <f t="shared" si="11"/>
        <v>679987.28632392827</v>
      </c>
      <c r="R57" s="167">
        <f t="shared" si="11"/>
        <v>250273.57483756606</v>
      </c>
      <c r="S57" s="167">
        <f t="shared" si="11"/>
        <v>72873.381672355259</v>
      </c>
      <c r="T57" s="167">
        <f t="shared" si="11"/>
        <v>578842.91384240752</v>
      </c>
      <c r="U57" s="168">
        <f>SUM(P57:T57)</f>
        <v>1735348.6639644948</v>
      </c>
    </row>
    <row r="58" spans="1:26" x14ac:dyDescent="0.2">
      <c r="D58" s="94"/>
      <c r="F58" s="94"/>
      <c r="M58" s="94"/>
      <c r="P58" s="169"/>
      <c r="R58" s="170"/>
    </row>
    <row r="59" spans="1:26" x14ac:dyDescent="0.2">
      <c r="L59" s="186"/>
      <c r="Q59" s="53" t="s">
        <v>109</v>
      </c>
      <c r="R59" s="171">
        <f>U57/N57</f>
        <v>2.0130044656764983</v>
      </c>
      <c r="U59" s="185"/>
      <c r="V59" s="172"/>
    </row>
    <row r="60" spans="1:26" x14ac:dyDescent="0.2">
      <c r="A60" s="58" t="s">
        <v>110</v>
      </c>
      <c r="O60" s="80"/>
      <c r="S60" s="39"/>
      <c r="Z60" s="185"/>
    </row>
    <row r="61" spans="1:26" x14ac:dyDescent="0.2">
      <c r="U61" s="172"/>
    </row>
    <row r="62" spans="1:26" x14ac:dyDescent="0.2">
      <c r="R62" s="173"/>
      <c r="S62" s="173"/>
      <c r="U62" s="174"/>
    </row>
    <row r="63" spans="1:26" x14ac:dyDescent="0.2">
      <c r="U63" s="174"/>
    </row>
    <row r="64" spans="1:26" x14ac:dyDescent="0.2">
      <c r="U64" s="172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Kennedy Summary</vt:lpstr>
      <vt:lpstr>Box Draw Detail</vt:lpstr>
      <vt:lpstr>S Kitty Detail</vt:lpstr>
      <vt:lpstr>'Box Draw Detail'!Print_Area</vt:lpstr>
      <vt:lpstr>'Kennedy Summary'!Print_Area</vt:lpstr>
      <vt:lpstr>'S Kitty Detail'!Print_Area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dcterms:created xsi:type="dcterms:W3CDTF">2001-11-28T18:05:27Z</dcterms:created>
  <dcterms:modified xsi:type="dcterms:W3CDTF">2014-09-05T11:13:00Z</dcterms:modified>
</cp:coreProperties>
</file>