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45" yWindow="-165" windowWidth="10245" windowHeight="8835" firstSheet="1" activeTab="2"/>
  </bookViews>
  <sheets>
    <sheet name="Natural Gas" sheetId="1" r:id="rId1"/>
    <sheet name="Natural Gas Trading" sheetId="2" r:id="rId2"/>
    <sheet name="Natural Gas Orig-Texas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Orig-Texas'!$B$1:$V$53</definedName>
    <definedName name="_xlnm.Print_Area" localSheetId="1">'Natural Gas Trading'!$B$1:$L$34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152511"/>
</workbook>
</file>

<file path=xl/calcChain.xml><?xml version="1.0" encoding="utf-8"?>
<calcChain xmlns="http://schemas.openxmlformats.org/spreadsheetml/2006/main">
  <c r="B1" i="1" l="1"/>
  <c r="C8" i="1"/>
  <c r="E8" i="1" s="1"/>
  <c r="C9" i="1"/>
  <c r="C23" i="1" s="1"/>
  <c r="C10" i="1"/>
  <c r="E10" i="1"/>
  <c r="C11" i="1"/>
  <c r="E11" i="1" s="1"/>
  <c r="C12" i="1"/>
  <c r="E12" i="1"/>
  <c r="C13" i="1"/>
  <c r="E13" i="1" s="1"/>
  <c r="C14" i="1"/>
  <c r="E14" i="1" s="1"/>
  <c r="C15" i="1"/>
  <c r="E15" i="1" s="1"/>
  <c r="C16" i="1"/>
  <c r="E16" i="1" s="1"/>
  <c r="K16" i="1"/>
  <c r="L16" i="1" s="1"/>
  <c r="C17" i="1"/>
  <c r="E17" i="1"/>
  <c r="K17" i="1"/>
  <c r="L17" i="1"/>
  <c r="C18" i="1"/>
  <c r="E18" i="1" s="1"/>
  <c r="L18" i="1"/>
  <c r="C19" i="1"/>
  <c r="E19" i="1"/>
  <c r="K19" i="1"/>
  <c r="L19" i="1" s="1"/>
  <c r="C20" i="1"/>
  <c r="E20" i="1"/>
  <c r="K20" i="1"/>
  <c r="C21" i="1"/>
  <c r="E21" i="1" s="1"/>
  <c r="K21" i="1"/>
  <c r="L21" i="1"/>
  <c r="C22" i="1"/>
  <c r="E22" i="1" s="1"/>
  <c r="K22" i="1"/>
  <c r="L22" i="1"/>
  <c r="K23" i="1"/>
  <c r="L23" i="1" s="1"/>
  <c r="K24" i="1"/>
  <c r="L24" i="1"/>
  <c r="E25" i="1"/>
  <c r="L25" i="1"/>
  <c r="K26" i="1"/>
  <c r="L26" i="1" s="1"/>
  <c r="E27" i="1"/>
  <c r="H27" i="1"/>
  <c r="K27" i="1"/>
  <c r="L27" i="1" s="1"/>
  <c r="E29" i="1"/>
  <c r="I34" i="1"/>
  <c r="B1" i="4"/>
  <c r="C8" i="4"/>
  <c r="E8" i="4" s="1"/>
  <c r="C9" i="4"/>
  <c r="C10" i="4"/>
  <c r="E10" i="4"/>
  <c r="C11" i="4"/>
  <c r="E11" i="4" s="1"/>
  <c r="C12" i="4"/>
  <c r="E12" i="4"/>
  <c r="C13" i="4"/>
  <c r="E13" i="4" s="1"/>
  <c r="C14" i="4"/>
  <c r="E14" i="4" s="1"/>
  <c r="C15" i="4"/>
  <c r="E15" i="4" s="1"/>
  <c r="C16" i="4"/>
  <c r="E16" i="4" s="1"/>
  <c r="K16" i="4"/>
  <c r="L16" i="4" s="1"/>
  <c r="C17" i="4"/>
  <c r="E17" i="4"/>
  <c r="L17" i="4"/>
  <c r="C18" i="4"/>
  <c r="E18" i="4" s="1"/>
  <c r="L18" i="4"/>
  <c r="C19" i="4"/>
  <c r="E19" i="4" s="1"/>
  <c r="L19" i="4"/>
  <c r="C20" i="4"/>
  <c r="E20" i="4" s="1"/>
  <c r="L20" i="4"/>
  <c r="C21" i="4"/>
  <c r="E21" i="4"/>
  <c r="K21" i="4"/>
  <c r="L21" i="4"/>
  <c r="H10" i="4" s="1"/>
  <c r="C22" i="4"/>
  <c r="E22" i="4" s="1"/>
  <c r="K22" i="4"/>
  <c r="L22" i="4" s="1"/>
  <c r="L23" i="4"/>
  <c r="L24" i="4"/>
  <c r="E25" i="4"/>
  <c r="L25" i="4"/>
  <c r="L26" i="4"/>
  <c r="E27" i="4"/>
  <c r="L27" i="4"/>
  <c r="K28" i="4"/>
  <c r="K11" i="4" s="1"/>
  <c r="K34" i="4"/>
  <c r="B1" i="5"/>
  <c r="C8" i="5"/>
  <c r="E8" i="5"/>
  <c r="C9" i="5"/>
  <c r="C23" i="5" s="1"/>
  <c r="C10" i="5"/>
  <c r="E10" i="5"/>
  <c r="H10" i="5"/>
  <c r="C11" i="5"/>
  <c r="E11" i="5"/>
  <c r="C12" i="5"/>
  <c r="E12" i="5" s="1"/>
  <c r="C13" i="5"/>
  <c r="E13" i="5" s="1"/>
  <c r="C14" i="5"/>
  <c r="E14" i="5"/>
  <c r="C15" i="5"/>
  <c r="E15" i="5" s="1"/>
  <c r="C16" i="5"/>
  <c r="E16" i="5"/>
  <c r="K16" i="5"/>
  <c r="L16" i="5" s="1"/>
  <c r="C17" i="5"/>
  <c r="E17" i="5"/>
  <c r="K17" i="5"/>
  <c r="C18" i="5"/>
  <c r="E18" i="5" s="1"/>
  <c r="L18" i="5"/>
  <c r="C19" i="5"/>
  <c r="E19" i="5"/>
  <c r="L19" i="5"/>
  <c r="C20" i="5"/>
  <c r="E20" i="5"/>
  <c r="L20" i="5"/>
  <c r="C21" i="5"/>
  <c r="E21" i="5" s="1"/>
  <c r="L21" i="5"/>
  <c r="C22" i="5"/>
  <c r="E22" i="5"/>
  <c r="L22" i="5"/>
  <c r="L23" i="5"/>
  <c r="L24" i="5"/>
  <c r="E25" i="5"/>
  <c r="L25" i="5"/>
  <c r="L26" i="5"/>
  <c r="E27" i="5"/>
  <c r="H27" i="5"/>
  <c r="L27" i="5"/>
  <c r="B1" i="3"/>
  <c r="C8" i="3"/>
  <c r="E8" i="3"/>
  <c r="C9" i="3"/>
  <c r="C11" i="3"/>
  <c r="E11" i="3"/>
  <c r="C12" i="3"/>
  <c r="E12" i="3" s="1"/>
  <c r="K12" i="3"/>
  <c r="K35" i="3" s="1"/>
  <c r="C13" i="3"/>
  <c r="E13" i="3" s="1"/>
  <c r="H13" i="3" s="1"/>
  <c r="C14" i="3"/>
  <c r="E14" i="3" s="1"/>
  <c r="C15" i="3"/>
  <c r="E15" i="3" s="1"/>
  <c r="C16" i="3"/>
  <c r="E16" i="3" s="1"/>
  <c r="C17" i="3"/>
  <c r="E17" i="3"/>
  <c r="K17" i="3"/>
  <c r="L17" i="3"/>
  <c r="L29" i="3" s="1"/>
  <c r="C18" i="3"/>
  <c r="E18" i="3" s="1"/>
  <c r="L18" i="3"/>
  <c r="C19" i="3"/>
  <c r="E19" i="3" s="1"/>
  <c r="L19" i="3"/>
  <c r="C20" i="3"/>
  <c r="E20" i="3" s="1"/>
  <c r="L20" i="3"/>
  <c r="C21" i="3"/>
  <c r="E21" i="3" s="1"/>
  <c r="L21" i="3"/>
  <c r="C22" i="3"/>
  <c r="E22" i="3" s="1"/>
  <c r="L22" i="3"/>
  <c r="H11" i="3" s="1"/>
  <c r="C23" i="3"/>
  <c r="E23" i="3" s="1"/>
  <c r="L23" i="3"/>
  <c r="C24" i="3"/>
  <c r="L24" i="3"/>
  <c r="L25" i="3"/>
  <c r="E26" i="3"/>
  <c r="E30" i="3" s="1"/>
  <c r="I35" i="3" s="1"/>
  <c r="H26" i="3"/>
  <c r="L26" i="3"/>
  <c r="O26" i="3"/>
  <c r="U26" i="3" s="1"/>
  <c r="Q26" i="3"/>
  <c r="S26" i="3"/>
  <c r="S16" i="3" s="1"/>
  <c r="L27" i="3"/>
  <c r="E28" i="3"/>
  <c r="H28" i="3"/>
  <c r="L28" i="3"/>
  <c r="O28" i="3"/>
  <c r="U28" i="3" s="1"/>
  <c r="Q28" i="3"/>
  <c r="S28" i="3"/>
  <c r="S11" i="3" s="1"/>
  <c r="K29" i="3"/>
  <c r="H30" i="3"/>
  <c r="Q30" i="3"/>
  <c r="S30" i="3"/>
  <c r="C47" i="3"/>
  <c r="E47" i="3" s="1"/>
  <c r="C48" i="3"/>
  <c r="C50" i="3"/>
  <c r="E50" i="3"/>
  <c r="C51" i="3"/>
  <c r="E51" i="3"/>
  <c r="C52" i="3"/>
  <c r="E52" i="3" s="1"/>
  <c r="O53" i="3"/>
  <c r="Q53" i="3"/>
  <c r="S53" i="3"/>
  <c r="B1" i="2"/>
  <c r="C8" i="2"/>
  <c r="E8" i="2"/>
  <c r="C9" i="2"/>
  <c r="C10" i="2"/>
  <c r="E10" i="2"/>
  <c r="C11" i="2"/>
  <c r="E11" i="2"/>
  <c r="C12" i="2"/>
  <c r="E12" i="2"/>
  <c r="C13" i="2"/>
  <c r="E13" i="2"/>
  <c r="C14" i="2"/>
  <c r="E14" i="2"/>
  <c r="C15" i="2"/>
  <c r="E15" i="2" s="1"/>
  <c r="C16" i="2"/>
  <c r="E16" i="2"/>
  <c r="K16" i="2"/>
  <c r="C17" i="2"/>
  <c r="E17" i="2" s="1"/>
  <c r="L17" i="2"/>
  <c r="C18" i="2"/>
  <c r="E18" i="2" s="1"/>
  <c r="L18" i="2"/>
  <c r="C19" i="2"/>
  <c r="E19" i="2"/>
  <c r="K19" i="2"/>
  <c r="L19" i="2" s="1"/>
  <c r="C20" i="2"/>
  <c r="E20" i="2" s="1"/>
  <c r="K20" i="2"/>
  <c r="L20" i="2"/>
  <c r="C21" i="2"/>
  <c r="E21" i="2" s="1"/>
  <c r="L21" i="2"/>
  <c r="H10" i="2" s="1"/>
  <c r="C22" i="2"/>
  <c r="E22" i="2" s="1"/>
  <c r="L22" i="2"/>
  <c r="C23" i="2"/>
  <c r="K23" i="2"/>
  <c r="L23" i="2"/>
  <c r="K24" i="2"/>
  <c r="L24" i="2" s="1"/>
  <c r="E25" i="2"/>
  <c r="L25" i="2"/>
  <c r="K26" i="2"/>
  <c r="L26" i="2" s="1"/>
  <c r="E27" i="2"/>
  <c r="H27" i="2"/>
  <c r="K27" i="2"/>
  <c r="L27" i="2"/>
  <c r="E29" i="2"/>
  <c r="I34" i="2" s="1"/>
  <c r="L28" i="1" l="1"/>
  <c r="J11" i="2"/>
  <c r="H20" i="4"/>
  <c r="H14" i="4"/>
  <c r="H14" i="1"/>
  <c r="G20" i="5"/>
  <c r="H20" i="5"/>
  <c r="H20" i="3"/>
  <c r="L31" i="3"/>
  <c r="H8" i="3"/>
  <c r="G17" i="5"/>
  <c r="L28" i="4"/>
  <c r="E23" i="4"/>
  <c r="G11" i="4" s="1"/>
  <c r="H20" i="1"/>
  <c r="H15" i="1"/>
  <c r="G15" i="1"/>
  <c r="H22" i="3"/>
  <c r="E24" i="3"/>
  <c r="G22" i="3" s="1"/>
  <c r="H14" i="5"/>
  <c r="E29" i="4"/>
  <c r="H16" i="4" s="1"/>
  <c r="L17" i="5"/>
  <c r="L28" i="5" s="1"/>
  <c r="H25" i="5"/>
  <c r="H29" i="5" s="1"/>
  <c r="G15" i="5"/>
  <c r="J11" i="4"/>
  <c r="L11" i="4" s="1"/>
  <c r="G12" i="4"/>
  <c r="H12" i="4"/>
  <c r="G13" i="2"/>
  <c r="H13" i="2"/>
  <c r="G17" i="3"/>
  <c r="H17" i="3"/>
  <c r="G16" i="4"/>
  <c r="H22" i="1"/>
  <c r="H34" i="4"/>
  <c r="G18" i="4"/>
  <c r="H18" i="4"/>
  <c r="H15" i="4"/>
  <c r="G10" i="4"/>
  <c r="H10" i="1"/>
  <c r="H17" i="1"/>
  <c r="G13" i="1"/>
  <c r="H13" i="1"/>
  <c r="H34" i="2"/>
  <c r="J34" i="2" s="1"/>
  <c r="E29" i="5"/>
  <c r="I34" i="5" s="1"/>
  <c r="G13" i="5"/>
  <c r="H19" i="1"/>
  <c r="J11" i="1"/>
  <c r="L11" i="1" s="1"/>
  <c r="H34" i="1"/>
  <c r="J34" i="1" s="1"/>
  <c r="H12" i="1"/>
  <c r="H15" i="3"/>
  <c r="G22" i="4"/>
  <c r="L20" i="1"/>
  <c r="H25" i="1"/>
  <c r="H29" i="1" s="1"/>
  <c r="K28" i="1"/>
  <c r="K11" i="1" s="1"/>
  <c r="K34" i="1" s="1"/>
  <c r="L16" i="2"/>
  <c r="L28" i="2" s="1"/>
  <c r="H25" i="2"/>
  <c r="H29" i="2" s="1"/>
  <c r="K28" i="2"/>
  <c r="K11" i="2" s="1"/>
  <c r="O30" i="3"/>
  <c r="G11" i="3"/>
  <c r="H21" i="4"/>
  <c r="G19" i="3"/>
  <c r="H19" i="3"/>
  <c r="H23" i="3"/>
  <c r="H21" i="3"/>
  <c r="G16" i="3"/>
  <c r="H16" i="3"/>
  <c r="H35" i="3"/>
  <c r="J35" i="3" s="1"/>
  <c r="L35" i="3" s="1"/>
  <c r="J12" i="3"/>
  <c r="L12" i="3" s="1"/>
  <c r="H34" i="5"/>
  <c r="J34" i="5" s="1"/>
  <c r="G21" i="5"/>
  <c r="G14" i="4"/>
  <c r="G8" i="1"/>
  <c r="E23" i="1"/>
  <c r="G12" i="1" s="1"/>
  <c r="H14" i="3"/>
  <c r="G15" i="2"/>
  <c r="H15" i="2"/>
  <c r="G52" i="3"/>
  <c r="S8" i="3"/>
  <c r="S15" i="3"/>
  <c r="S17" i="3"/>
  <c r="S18" i="3"/>
  <c r="S19" i="3"/>
  <c r="S20" i="3"/>
  <c r="S21" i="3"/>
  <c r="S22" i="3"/>
  <c r="S23" i="3"/>
  <c r="S13" i="3"/>
  <c r="S14" i="3"/>
  <c r="H18" i="3"/>
  <c r="S12" i="3"/>
  <c r="K28" i="5"/>
  <c r="K11" i="5" s="1"/>
  <c r="K34" i="5" s="1"/>
  <c r="G18" i="5"/>
  <c r="J11" i="5"/>
  <c r="E23" i="5"/>
  <c r="G12" i="5"/>
  <c r="H22" i="4"/>
  <c r="G20" i="4"/>
  <c r="H17" i="4"/>
  <c r="G13" i="4"/>
  <c r="H13" i="4"/>
  <c r="G21" i="1"/>
  <c r="H16" i="1"/>
  <c r="H27" i="4"/>
  <c r="E23" i="2"/>
  <c r="C23" i="4"/>
  <c r="H25" i="4"/>
  <c r="H29" i="4" s="1"/>
  <c r="L30" i="5" l="1"/>
  <c r="H8" i="5"/>
  <c r="K34" i="2"/>
  <c r="H14" i="2"/>
  <c r="H17" i="2"/>
  <c r="G47" i="3"/>
  <c r="G10" i="2"/>
  <c r="G9" i="2"/>
  <c r="G23" i="2"/>
  <c r="G12" i="2"/>
  <c r="G22" i="2"/>
  <c r="H21" i="5"/>
  <c r="G21" i="3"/>
  <c r="G14" i="1"/>
  <c r="H13" i="5"/>
  <c r="G22" i="1"/>
  <c r="G19" i="2"/>
  <c r="G20" i="1"/>
  <c r="H12" i="3"/>
  <c r="L8" i="3"/>
  <c r="L14" i="3" s="1"/>
  <c r="H21" i="1"/>
  <c r="G24" i="3"/>
  <c r="G48" i="3"/>
  <c r="G9" i="3"/>
  <c r="G8" i="3"/>
  <c r="H18" i="5"/>
  <c r="H16" i="2"/>
  <c r="L34" i="5"/>
  <c r="H16" i="5"/>
  <c r="G8" i="2"/>
  <c r="G9" i="4"/>
  <c r="G17" i="4"/>
  <c r="G23" i="4"/>
  <c r="H19" i="2"/>
  <c r="G13" i="3"/>
  <c r="G23" i="3"/>
  <c r="G21" i="4"/>
  <c r="H21" i="2"/>
  <c r="G15" i="4"/>
  <c r="H19" i="5"/>
  <c r="G18" i="1"/>
  <c r="G51" i="3"/>
  <c r="G11" i="2"/>
  <c r="G8" i="4"/>
  <c r="G20" i="3"/>
  <c r="G20" i="2"/>
  <c r="L11" i="2"/>
  <c r="O16" i="3"/>
  <c r="U16" i="3" s="1"/>
  <c r="Q9" i="3"/>
  <c r="Q24" i="3" s="1"/>
  <c r="O13" i="3"/>
  <c r="U13" i="3" s="1"/>
  <c r="O14" i="3"/>
  <c r="U14" i="3" s="1"/>
  <c r="S9" i="3"/>
  <c r="O12" i="3"/>
  <c r="U12" i="3" s="1"/>
  <c r="O15" i="3"/>
  <c r="U15" i="3" s="1"/>
  <c r="O20" i="3"/>
  <c r="U20" i="3" s="1"/>
  <c r="O9" i="3"/>
  <c r="U9" i="3" s="1"/>
  <c r="U30" i="3"/>
  <c r="O18" i="3"/>
  <c r="U18" i="3" s="1"/>
  <c r="O21" i="3"/>
  <c r="U21" i="3" s="1"/>
  <c r="O23" i="3"/>
  <c r="U23" i="3" s="1"/>
  <c r="O8" i="3"/>
  <c r="O17" i="3"/>
  <c r="U17" i="3" s="1"/>
  <c r="O22" i="3"/>
  <c r="U22" i="3" s="1"/>
  <c r="O11" i="3"/>
  <c r="U11" i="3" s="1"/>
  <c r="O19" i="3"/>
  <c r="U19" i="3" s="1"/>
  <c r="G12" i="3"/>
  <c r="G15" i="3"/>
  <c r="G50" i="3"/>
  <c r="G9" i="5"/>
  <c r="G10" i="5"/>
  <c r="G8" i="5"/>
  <c r="G23" i="5"/>
  <c r="G16" i="5"/>
  <c r="G11" i="5"/>
  <c r="G22" i="5"/>
  <c r="G14" i="5"/>
  <c r="L11" i="5"/>
  <c r="G11" i="1"/>
  <c r="H12" i="2"/>
  <c r="G21" i="2"/>
  <c r="G16" i="2"/>
  <c r="G19" i="5"/>
  <c r="H18" i="1"/>
  <c r="G19" i="4"/>
  <c r="G17" i="2"/>
  <c r="L30" i="4"/>
  <c r="H8" i="4"/>
  <c r="G14" i="2"/>
  <c r="H12" i="5"/>
  <c r="H18" i="2"/>
  <c r="L30" i="1"/>
  <c r="H8" i="1"/>
  <c r="H24" i="3"/>
  <c r="G18" i="3"/>
  <c r="G14" i="3"/>
  <c r="H8" i="2"/>
  <c r="L30" i="2"/>
  <c r="H15" i="5"/>
  <c r="S24" i="3"/>
  <c r="G17" i="1"/>
  <c r="G19" i="1"/>
  <c r="G9" i="1"/>
  <c r="G23" i="1"/>
  <c r="H20" i="2"/>
  <c r="H22" i="5"/>
  <c r="L34" i="1"/>
  <c r="L34" i="2"/>
  <c r="I34" i="4"/>
  <c r="J34" i="4" s="1"/>
  <c r="L34" i="4" s="1"/>
  <c r="H19" i="4"/>
  <c r="G10" i="1"/>
  <c r="H17" i="5"/>
  <c r="G16" i="1"/>
  <c r="H22" i="2"/>
  <c r="G18" i="2"/>
  <c r="H23" i="4" l="1"/>
  <c r="L8" i="4"/>
  <c r="L13" i="4" s="1"/>
  <c r="H11" i="4"/>
  <c r="H23" i="1"/>
  <c r="U8" i="3"/>
  <c r="U24" i="3" s="1"/>
  <c r="O24" i="3"/>
  <c r="H11" i="5"/>
  <c r="H23" i="5" s="1"/>
  <c r="L8" i="5"/>
  <c r="L13" i="5" s="1"/>
  <c r="H23" i="2"/>
  <c r="L8" i="1"/>
  <c r="L13" i="1" s="1"/>
  <c r="H11" i="1"/>
  <c r="H11" i="2"/>
  <c r="L8" i="2"/>
  <c r="L13" i="2" s="1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<sst xmlns="http://schemas.openxmlformats.org/spreadsheetml/2006/main" count="371" uniqueCount="91">
  <si>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</si>
  <si>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</si>
  <si>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</si>
  <si>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</si>
  <si>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</si>
  <si>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</si>
  <si>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</si>
  <si>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</si>
  <si>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</si>
  <si>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</si>
  <si>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</si>
  <si>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</si>
  <si>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</si>
  <si>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</si>
  <si>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</si>
  <si>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</si>
  <si>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</si>
  <si>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</si>
  <si>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</si>
  <si>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</si>
  <si>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</si>
  <si>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</si>
  <si>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</si>
  <si>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</si>
  <si>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</si>
  <si>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</si>
  <si>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</si>
  <si>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</si>
  <si>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</si>
  <si>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</si>
  <si>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</si>
  <si>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</si>
  <si>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</si>
  <si>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</si>
  <si>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</si>
  <si>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</si>
  <si>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</si>
  <si>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</si>
  <si>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</si>
  <si>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</si>
  <si>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</si>
  <si>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</si>
  <si>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</si>
  <si>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</si>
  <si>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</si>
  <si>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</si>
  <si>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</si>
  <si>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</si>
  <si>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</si>
  <si>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</si>
  <si>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</si>
  <si>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</si>
  <si>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</si>
  <si>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</si>
  <si>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</si>
  <si>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</si>
  <si>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</si>
  <si>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</si>
  <si>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</si>
  <si>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</si>
  <si>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</si>
  <si>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</si>
  <si>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</si>
  <si>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</si>
  <si>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</si>
  <si>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</si>
  <si>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</si>
  <si>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</si>
  <si>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Total Orig Plan</t>
  </si>
  <si>
    <t>Texas Orig Headcount</t>
  </si>
  <si>
    <t xml:space="preserve"> </t>
  </si>
  <si>
    <t>TX Alloc Plan</t>
  </si>
  <si>
    <t>incl</t>
  </si>
  <si>
    <t>TX Plan 09/01</t>
  </si>
  <si>
    <t>TX Plan 09/01 Adj</t>
  </si>
  <si>
    <t>MD/VP</t>
  </si>
  <si>
    <t>Variance Analysis</t>
  </si>
  <si>
    <t>Notes</t>
  </si>
  <si>
    <t>Total Gas Orig Budget</t>
  </si>
  <si>
    <t>Per Office of the Chair</t>
  </si>
  <si>
    <t>Use headcount to calc</t>
  </si>
  <si>
    <t>allocation to TX Orig</t>
  </si>
  <si>
    <t>TX Orig Budget submitted</t>
  </si>
  <si>
    <t>to Office of Chair 9/01</t>
  </si>
  <si>
    <t>TX Orig Budget of 9/01</t>
  </si>
  <si>
    <t>adj. for new headcount</t>
  </si>
  <si>
    <t>Seems low as significant customer contact will be required</t>
  </si>
  <si>
    <t>NetCo will need to pay for outside engineering services</t>
  </si>
  <si>
    <t>NetCo Plan number seems low</t>
  </si>
  <si>
    <t>NetCo will require access to pipeline/mapping databases</t>
  </si>
  <si>
    <t>NetCo Plan for TX Orig vs. 09/01 TX Orig Plan 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</si>
</sst>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u val="singleAccounting"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4" fillId="0" borderId="0" xfId="2" applyNumberFormat="1" applyFont="1" applyAlignment="1" applyProtection="1">
      <alignment horizontal="right"/>
    </xf>
    <xf numFmtId="0" fontId="2" fillId="0" borderId="0" xfId="0" applyFont="1"/>
    <xf numFmtId="17" fontId="4" fillId="0" borderId="1" xfId="0" quotePrefix="1" applyNumberFormat="1" applyFont="1" applyFill="1" applyBorder="1" applyAlignment="1" applyProtection="1">
      <alignment horizontal="center"/>
    </xf>
    <xf numFmtId="0" fontId="0" fillId="0" borderId="2" xfId="0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165" fontId="7" fillId="0" borderId="4" xfId="3" applyNumberFormat="1" applyFont="1" applyBorder="1" applyProtection="1"/>
    <xf numFmtId="165" fontId="7" fillId="0" borderId="5" xfId="3" applyNumberFormat="1" applyFont="1" applyBorder="1" applyProtection="1"/>
    <xf numFmtId="165" fontId="7" fillId="0" borderId="4" xfId="3" applyNumberFormat="1" applyFont="1" applyFill="1" applyBorder="1" applyProtection="1"/>
    <xf numFmtId="165" fontId="1" fillId="0" borderId="0" xfId="3" applyNumberFormat="1" applyFont="1" applyBorder="1"/>
    <xf numFmtId="166" fontId="7" fillId="0" borderId="10" xfId="4" applyNumberFormat="1" applyFont="1" applyBorder="1"/>
    <xf numFmtId="166" fontId="7" fillId="0" borderId="11" xfId="4" applyNumberFormat="1" applyFont="1" applyBorder="1"/>
    <xf numFmtId="0" fontId="0" fillId="0" borderId="4" xfId="0" applyBorder="1"/>
    <xf numFmtId="0" fontId="0" fillId="0" borderId="5" xfId="0" applyBorder="1"/>
    <xf numFmtId="165" fontId="7" fillId="0" borderId="10" xfId="3" applyNumberFormat="1" applyFont="1" applyBorder="1" applyProtection="1"/>
    <xf numFmtId="165" fontId="7" fillId="0" borderId="11" xfId="3" applyNumberFormat="1" applyFont="1" applyBorder="1" applyProtection="1"/>
    <xf numFmtId="9" fontId="1" fillId="0" borderId="0" xfId="5" applyBorder="1"/>
    <xf numFmtId="0" fontId="8" fillId="0" borderId="4" xfId="0" applyFont="1" applyBorder="1"/>
    <xf numFmtId="0" fontId="0" fillId="0" borderId="4" xfId="0" applyBorder="1" applyAlignment="1">
      <alignment horizontal="left"/>
    </xf>
    <xf numFmtId="165" fontId="1" fillId="0" borderId="0" xfId="3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1" fillId="0" borderId="0" xfId="3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7" fillId="0" borderId="4" xfId="3" applyNumberFormat="1" applyFont="1" applyBorder="1" applyAlignment="1" applyProtection="1">
      <alignment horizontal="right"/>
    </xf>
    <xf numFmtId="165" fontId="7" fillId="0" borderId="5" xfId="3" applyNumberFormat="1" applyFont="1" applyBorder="1" applyAlignment="1" applyProtection="1">
      <alignment horizontal="right"/>
    </xf>
    <xf numFmtId="0" fontId="0" fillId="0" borderId="3" xfId="0" applyBorder="1"/>
    <xf numFmtId="0" fontId="7" fillId="0" borderId="4" xfId="2" applyNumberFormat="1" applyFont="1" applyBorder="1" applyProtection="1"/>
    <xf numFmtId="0" fontId="0" fillId="0" borderId="1" xfId="0" applyBorder="1"/>
    <xf numFmtId="165" fontId="9" fillId="0" borderId="5" xfId="3" applyNumberFormat="1" applyFont="1" applyBorder="1" applyAlignment="1" applyProtection="1">
      <alignment horizontal="right"/>
    </xf>
    <xf numFmtId="165" fontId="2" fillId="0" borderId="8" xfId="0" applyNumberFormat="1" applyFont="1" applyBorder="1"/>
    <xf numFmtId="165" fontId="9" fillId="0" borderId="4" xfId="3" applyNumberFormat="1" applyFont="1" applyBorder="1" applyAlignment="1" applyProtection="1">
      <alignment horizontal="right"/>
    </xf>
    <xf numFmtId="165" fontId="2" fillId="0" borderId="6" xfId="0" applyNumberFormat="1" applyFont="1" applyBorder="1"/>
    <xf numFmtId="0" fontId="7" fillId="0" borderId="1" xfId="2" applyNumberFormat="1" applyFont="1" applyBorder="1" applyProtection="1"/>
    <xf numFmtId="0" fontId="7" fillId="0" borderId="2" xfId="2" applyNumberFormat="1" applyFont="1" applyBorder="1" applyProtection="1"/>
    <xf numFmtId="0" fontId="7" fillId="0" borderId="3" xfId="2" applyNumberFormat="1" applyFont="1" applyBorder="1" applyProtection="1"/>
    <xf numFmtId="0" fontId="7" fillId="0" borderId="0" xfId="2" applyNumberFormat="1" applyFont="1" applyBorder="1" applyProtection="1"/>
    <xf numFmtId="0" fontId="7" fillId="0" borderId="5" xfId="2" applyNumberFormat="1" applyFont="1" applyBorder="1" applyProtection="1"/>
    <xf numFmtId="0" fontId="7" fillId="0" borderId="6" xfId="2" applyNumberFormat="1" applyFont="1" applyBorder="1" applyProtection="1"/>
    <xf numFmtId="0" fontId="7" fillId="0" borderId="7" xfId="2" applyNumberFormat="1" applyFont="1" applyBorder="1" applyProtection="1"/>
    <xf numFmtId="0" fontId="7" fillId="0" borderId="8" xfId="2" applyNumberFormat="1" applyFont="1" applyBorder="1" applyProtection="1"/>
    <xf numFmtId="0" fontId="7" fillId="0" borderId="5" xfId="0" applyFont="1" applyBorder="1"/>
    <xf numFmtId="0" fontId="7" fillId="0" borderId="8" xfId="0" applyFont="1" applyBorder="1"/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 refreshError="1"/>
      <sheetData sheetId="1" refreshError="1"/>
      <sheetData sheetId="2" refreshError="1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 refreshError="1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 refreshError="1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 refreshError="1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 refreshError="1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 refreshError="1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 refreshError="1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 refreshError="1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 refreshError="1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 refreshError="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 refreshError="1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 refreshError="1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0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64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5652900</v>
      </c>
      <c r="I8" s="7" t="s">
        <v>13</v>
      </c>
      <c r="J8" s="8">
        <v>0</v>
      </c>
      <c r="K8" s="8"/>
      <c r="L8" s="9">
        <f>L30</f>
        <v>6783480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1130580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8376395.9812500002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f>2+1-1</f>
        <v>2</v>
      </c>
      <c r="L20" s="22">
        <f t="shared" si="2"/>
        <v>143000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(E22/$E$29)*$K$11+557047+65535+393210+393210+1081327</f>
        <v>3571655.5870000003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10866724.981250001</v>
      </c>
      <c r="I23" s="22" t="s">
        <v>51</v>
      </c>
      <c r="J23" s="22">
        <v>110000</v>
      </c>
      <c r="K23" s="22">
        <f>1+8+11-11</f>
        <v>9</v>
      </c>
      <c r="L23" s="22">
        <f t="shared" si="2"/>
        <v>990000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1+11+14-14</f>
        <v>12</v>
      </c>
      <c r="L24" s="22">
        <f t="shared" si="2"/>
        <v>1716000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8+6-6</f>
        <v>8</v>
      </c>
      <c r="L26" s="22">
        <f t="shared" si="2"/>
        <v>1584000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f>1+1-1</f>
        <v>1</v>
      </c>
      <c r="L27" s="22">
        <f t="shared" si="2"/>
        <v>220000</v>
      </c>
      <c r="P27" s="25"/>
      <c r="Q27" s="26"/>
    </row>
    <row r="28" spans="1:17" x14ac:dyDescent="0.2">
      <c r="K28" s="22">
        <f>SUM(K16:K27)</f>
        <v>33</v>
      </c>
      <c r="L28" s="22">
        <f>SUM(L16:L27)*1.2</f>
        <v>5652900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">
      <c r="L30" s="22">
        <f>L28*1.2</f>
        <v>6783480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R53"/>
  <sheetViews>
    <sheetView tabSelected="1" topLeftCell="D1" zoomScaleNormal="100" workbookViewId="0">
      <selection activeCell="V2" sqref="V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6.710937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2" customWidth="1"/>
    <col min="15" max="15" width="15.5703125" customWidth="1"/>
    <col min="16" max="16" width="2.7109375" customWidth="1"/>
    <col min="17" max="17" width="19" customWidth="1"/>
    <col min="18" max="18" width="2" customWidth="1"/>
    <col min="19" max="19" width="17.140625" customWidth="1"/>
    <col min="20" max="20" width="2.28515625" customWidth="1"/>
    <col min="21" max="21" width="17.140625" customWidth="1"/>
    <col min="22" max="22" width="39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65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ht="13.5" thickBot="1" x14ac:dyDescent="0.25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41" t="s">
        <v>7</v>
      </c>
      <c r="I6" s="4"/>
      <c r="J6" s="5"/>
      <c r="K6" s="5"/>
      <c r="L6" s="6"/>
      <c r="M6" s="42"/>
      <c r="N6" s="42"/>
      <c r="O6" s="43" t="s">
        <v>7</v>
      </c>
      <c r="Q6" s="41" t="s">
        <v>7</v>
      </c>
      <c r="R6" s="42"/>
      <c r="S6" s="43" t="s">
        <v>7</v>
      </c>
      <c r="U6" s="41" t="s">
        <v>70</v>
      </c>
      <c r="V6" s="43"/>
    </row>
    <row r="7" spans="1:44" x14ac:dyDescent="0.2">
      <c r="C7" s="12" t="s">
        <v>8</v>
      </c>
      <c r="E7" s="12" t="s">
        <v>9</v>
      </c>
      <c r="G7" s="12" t="s">
        <v>10</v>
      </c>
      <c r="H7" s="44" t="s">
        <v>68</v>
      </c>
      <c r="I7" s="7"/>
      <c r="J7" s="8"/>
      <c r="K7" s="8"/>
      <c r="L7" s="9"/>
      <c r="M7" s="25"/>
      <c r="N7" s="25"/>
      <c r="O7" s="45" t="s">
        <v>71</v>
      </c>
      <c r="Q7" s="44" t="s">
        <v>73</v>
      </c>
      <c r="R7" s="25"/>
      <c r="S7" s="45" t="s">
        <v>74</v>
      </c>
      <c r="U7" s="44" t="s">
        <v>76</v>
      </c>
      <c r="V7" s="45" t="s">
        <v>90</v>
      </c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4" si="0">E8/$E$24</f>
        <v>0.5287785559542808</v>
      </c>
      <c r="H8" s="46">
        <f>L29-H11</f>
        <v>5629800</v>
      </c>
      <c r="I8" s="7" t="s">
        <v>13</v>
      </c>
      <c r="J8" s="8">
        <v>0</v>
      </c>
      <c r="K8" s="8"/>
      <c r="L8" s="9">
        <f>L31</f>
        <v>6755760</v>
      </c>
      <c r="M8" s="25"/>
      <c r="N8" s="25"/>
      <c r="O8" s="47">
        <f>$O$30/$H$30*H8</f>
        <v>682400</v>
      </c>
      <c r="Q8" s="46">
        <v>1003004</v>
      </c>
      <c r="R8" s="25"/>
      <c r="S8" s="47">
        <f>$S$26/$Q$26*Q8</f>
        <v>573145.14285714284</v>
      </c>
      <c r="U8" s="46">
        <f>O8-IF(S8="incl",0,S8)</f>
        <v>109254.85714285716</v>
      </c>
      <c r="V8" s="82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46">
        <v>0</v>
      </c>
      <c r="I9" s="7"/>
      <c r="J9" s="8"/>
      <c r="K9" s="8"/>
      <c r="L9" s="9"/>
      <c r="M9" s="25"/>
      <c r="N9" s="25"/>
      <c r="O9" s="47">
        <f>$O$30/$H$30*H9</f>
        <v>0</v>
      </c>
      <c r="Q9" s="46">
        <f>$O$30/$H$30*H9</f>
        <v>0</v>
      </c>
      <c r="R9" s="25"/>
      <c r="S9" s="47">
        <f>$O$30/$H$30*J9</f>
        <v>0</v>
      </c>
      <c r="U9" s="46">
        <f>O9-IF(S9="incl",0,S9)</f>
        <v>0</v>
      </c>
      <c r="V9" s="82"/>
    </row>
    <row r="10" spans="1:44" x14ac:dyDescent="0.2">
      <c r="A10" s="13"/>
      <c r="B10" s="14" t="s">
        <v>33</v>
      </c>
      <c r="C10" s="15"/>
      <c r="E10" s="15"/>
      <c r="G10" s="16"/>
      <c r="H10" s="46">
        <v>0</v>
      </c>
      <c r="I10" s="7"/>
      <c r="J10" s="8"/>
      <c r="K10" s="8"/>
      <c r="L10" s="9"/>
      <c r="M10" s="25"/>
      <c r="N10" s="25"/>
      <c r="O10" s="47">
        <v>0</v>
      </c>
      <c r="Q10" s="46">
        <v>30000</v>
      </c>
      <c r="R10" s="25"/>
      <c r="S10" s="47">
        <v>0</v>
      </c>
      <c r="U10" s="46"/>
      <c r="V10" s="82"/>
    </row>
    <row r="11" spans="1:44" x14ac:dyDescent="0.2">
      <c r="A11" s="13"/>
      <c r="B11" s="14" t="s">
        <v>15</v>
      </c>
      <c r="C11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1" s="15"/>
      <c r="E11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1" s="16">
        <f t="shared" si="0"/>
        <v>3.7797619139155266E-3</v>
      </c>
      <c r="H11" s="46">
        <f>L22+L23</f>
        <v>0</v>
      </c>
      <c r="I11" s="7"/>
      <c r="J11" s="8"/>
      <c r="K11" s="8"/>
      <c r="L11" s="9"/>
      <c r="M11" s="25"/>
      <c r="N11" s="25"/>
      <c r="O11" s="47">
        <f t="shared" ref="O11:O23" si="1">$O$30/$H$30*H11</f>
        <v>0</v>
      </c>
      <c r="Q11" s="46">
        <v>237600</v>
      </c>
      <c r="R11" s="25"/>
      <c r="S11" s="47">
        <f>S28/Q28*Q11</f>
        <v>0</v>
      </c>
      <c r="U11" s="46">
        <f t="shared" ref="U11:U23" si="2">O11-IF(S11="incl",0,S11)</f>
        <v>0</v>
      </c>
      <c r="V11" s="82"/>
    </row>
    <row r="12" spans="1:44" x14ac:dyDescent="0.2">
      <c r="A12" s="13" t="s">
        <v>16</v>
      </c>
      <c r="B12" s="14" t="s">
        <v>17</v>
      </c>
      <c r="C12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2" s="15">
        <f>((C12/9)*12)</f>
        <v>2469743.9333333331</v>
      </c>
      <c r="G12" s="16">
        <f t="shared" si="0"/>
        <v>0.11326050468129861</v>
      </c>
      <c r="H12" s="46">
        <f>L31-L29</f>
        <v>1125960</v>
      </c>
      <c r="I12" s="7" t="s">
        <v>18</v>
      </c>
      <c r="J12" s="8">
        <f>(E13+E14+E15+E16+E17+E18+E19+E20+E21+E22+E23)/E30</f>
        <v>48270.181250000009</v>
      </c>
      <c r="K12" s="8">
        <f>K29</f>
        <v>33</v>
      </c>
      <c r="L12" s="9">
        <f>J12*K12</f>
        <v>1592915.9812500002</v>
      </c>
      <c r="M12" s="25"/>
      <c r="N12" s="25"/>
      <c r="O12" s="47">
        <f t="shared" si="1"/>
        <v>136480</v>
      </c>
      <c r="Q12" s="46">
        <v>160129</v>
      </c>
      <c r="R12" s="25"/>
      <c r="S12" s="47">
        <f t="shared" ref="S12:S17" si="3">$S$26/$Q$26*(IF(Q12="incl",0,Q12))</f>
        <v>91502.28571428571</v>
      </c>
      <c r="U12" s="46">
        <f t="shared" si="2"/>
        <v>44977.71428571429</v>
      </c>
      <c r="V12" s="82"/>
    </row>
    <row r="13" spans="1:44" x14ac:dyDescent="0.2">
      <c r="A13" s="13" t="s">
        <v>19</v>
      </c>
      <c r="B13" s="14" t="s">
        <v>20</v>
      </c>
      <c r="C13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3" s="17">
        <f>((C13/9)*12)-500000</f>
        <v>985995.79999999958</v>
      </c>
      <c r="G13" s="16">
        <f t="shared" si="0"/>
        <v>4.5216988050626544E-2</v>
      </c>
      <c r="H13" s="48">
        <f t="shared" ref="H13:H22" si="4">(E13/$E$30)*$K$12</f>
        <v>203361.63374999992</v>
      </c>
      <c r="I13" s="7"/>
      <c r="J13" s="8"/>
      <c r="K13" s="8"/>
      <c r="L13" s="9"/>
      <c r="M13" s="25"/>
      <c r="N13" s="25"/>
      <c r="O13" s="47">
        <f t="shared" si="1"/>
        <v>24649.89499999999</v>
      </c>
      <c r="Q13" s="46">
        <v>118700</v>
      </c>
      <c r="R13" s="25"/>
      <c r="S13" s="47">
        <f t="shared" si="3"/>
        <v>67828.57142857142</v>
      </c>
      <c r="U13" s="46">
        <f t="shared" si="2"/>
        <v>-43178.676428571431</v>
      </c>
      <c r="V13" s="82"/>
    </row>
    <row r="14" spans="1:44" ht="13.5" thickBot="1" x14ac:dyDescent="0.25">
      <c r="A14" s="13" t="s">
        <v>21</v>
      </c>
      <c r="B14" s="14" t="s">
        <v>22</v>
      </c>
      <c r="C14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4" s="17">
        <f>((C14/9)*12)-500000-500000</f>
        <v>877593.10666666692</v>
      </c>
      <c r="G14" s="16">
        <f t="shared" si="0"/>
        <v>4.02457262165406E-2</v>
      </c>
      <c r="H14" s="48">
        <f t="shared" si="4"/>
        <v>181003.57825000005</v>
      </c>
      <c r="I14" s="19" t="s">
        <v>23</v>
      </c>
      <c r="J14" s="20"/>
      <c r="K14" s="20"/>
      <c r="L14" s="21">
        <f>L8+L12</f>
        <v>8348675.9812500002</v>
      </c>
      <c r="M14" s="25"/>
      <c r="N14" s="8"/>
      <c r="O14" s="47">
        <f t="shared" si="1"/>
        <v>21939.827666666672</v>
      </c>
      <c r="P14" s="23"/>
      <c r="Q14" s="46">
        <v>680000</v>
      </c>
      <c r="R14" s="25"/>
      <c r="S14" s="47">
        <f t="shared" si="3"/>
        <v>388571.42857142852</v>
      </c>
      <c r="U14" s="46">
        <f t="shared" si="2"/>
        <v>-366631.60090476187</v>
      </c>
      <c r="V14" s="82" t="s">
        <v>86</v>
      </c>
    </row>
    <row r="15" spans="1:44" x14ac:dyDescent="0.2">
      <c r="A15" s="13" t="s">
        <v>24</v>
      </c>
      <c r="B15" s="14" t="s">
        <v>25</v>
      </c>
      <c r="C15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Origination'!C14+[2]Fundamentals!C14-C33</f>
        <v>0.2400000000197906</v>
      </c>
      <c r="E15" s="17">
        <f>(C15/9)*12</f>
        <v>0.32000000002638745</v>
      </c>
      <c r="G15" s="16">
        <f t="shared" si="0"/>
        <v>1.4674947071167709E-8</v>
      </c>
      <c r="H15" s="48">
        <f t="shared" si="4"/>
        <v>6.6000000005442414E-2</v>
      </c>
      <c r="I15" s="8"/>
      <c r="J15" s="8"/>
      <c r="K15" s="8"/>
      <c r="L15" s="8"/>
      <c r="M15" s="25"/>
      <c r="N15" s="25"/>
      <c r="O15" s="47">
        <f t="shared" si="1"/>
        <v>8.000000000659686E-3</v>
      </c>
      <c r="Q15" s="46">
        <v>70000</v>
      </c>
      <c r="R15" s="25"/>
      <c r="S15" s="47">
        <f t="shared" si="3"/>
        <v>40000</v>
      </c>
      <c r="U15" s="46">
        <f t="shared" si="2"/>
        <v>-39999.991999999998</v>
      </c>
      <c r="V15" s="82" t="s">
        <v>87</v>
      </c>
    </row>
    <row r="16" spans="1:44" x14ac:dyDescent="0.2">
      <c r="A16" s="13" t="s">
        <v>26</v>
      </c>
      <c r="B16" s="14" t="s">
        <v>27</v>
      </c>
      <c r="C16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6" s="17">
        <f>((C16/9)*12)-75000</f>
        <v>139417.33333333331</v>
      </c>
      <c r="G16" s="16">
        <f t="shared" si="0"/>
        <v>6.3935687103165682E-3</v>
      </c>
      <c r="H16" s="48">
        <f t="shared" si="4"/>
        <v>28754.824999999997</v>
      </c>
      <c r="I16" s="8"/>
      <c r="J16" s="8"/>
      <c r="K16" s="8"/>
      <c r="L16" s="8"/>
      <c r="M16" s="25"/>
      <c r="N16" s="25"/>
      <c r="O16" s="47">
        <f t="shared" si="1"/>
        <v>3485.4333333333329</v>
      </c>
      <c r="Q16" s="46">
        <v>192200</v>
      </c>
      <c r="R16" s="25"/>
      <c r="S16" s="47">
        <f t="shared" si="3"/>
        <v>109828.57142857142</v>
      </c>
      <c r="U16" s="46">
        <f t="shared" si="2"/>
        <v>-106343.13809523809</v>
      </c>
      <c r="V16" s="82" t="s">
        <v>88</v>
      </c>
    </row>
    <row r="17" spans="1:22" x14ac:dyDescent="0.2">
      <c r="A17" s="13" t="s">
        <v>28</v>
      </c>
      <c r="B17" s="14" t="s">
        <v>29</v>
      </c>
      <c r="C17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7" s="17">
        <f>(C17/9)*12</f>
        <v>0</v>
      </c>
      <c r="G17" s="16">
        <f t="shared" si="0"/>
        <v>0</v>
      </c>
      <c r="H17" s="48">
        <f t="shared" si="4"/>
        <v>0</v>
      </c>
      <c r="I17" s="49" t="s">
        <v>30</v>
      </c>
      <c r="J17" s="8">
        <v>33000</v>
      </c>
      <c r="K17" s="8">
        <f>1-1</f>
        <v>0</v>
      </c>
      <c r="L17" s="8">
        <f t="shared" ref="L17:L28" si="5">J17*K17</f>
        <v>0</v>
      </c>
      <c r="M17" s="25"/>
      <c r="N17" s="25"/>
      <c r="O17" s="47">
        <f t="shared" si="1"/>
        <v>0</v>
      </c>
      <c r="Q17" s="46">
        <v>15000</v>
      </c>
      <c r="R17" s="25"/>
      <c r="S17" s="47">
        <f t="shared" si="3"/>
        <v>8571.4285714285706</v>
      </c>
      <c r="U17" s="46">
        <f t="shared" si="2"/>
        <v>-8571.4285714285706</v>
      </c>
      <c r="V17" s="82"/>
    </row>
    <row r="18" spans="1:22" x14ac:dyDescent="0.2">
      <c r="A18" s="13" t="s">
        <v>31</v>
      </c>
      <c r="B18" s="14" t="s">
        <v>32</v>
      </c>
      <c r="C18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8" s="17">
        <f>((C18/9)*12)</f>
        <v>7866.6666666666661</v>
      </c>
      <c r="G18" s="16">
        <f t="shared" si="0"/>
        <v>3.60759115469791E-4</v>
      </c>
      <c r="H18" s="48">
        <f t="shared" si="4"/>
        <v>1622.5</v>
      </c>
      <c r="I18" s="8" t="s">
        <v>33</v>
      </c>
      <c r="J18" s="8">
        <v>48400</v>
      </c>
      <c r="K18" s="8">
        <v>0</v>
      </c>
      <c r="L18" s="8">
        <f t="shared" si="5"/>
        <v>0</v>
      </c>
      <c r="M18" s="25"/>
      <c r="N18" s="25"/>
      <c r="O18" s="47">
        <f t="shared" si="1"/>
        <v>196.66666666666669</v>
      </c>
      <c r="Q18" s="65" t="s">
        <v>72</v>
      </c>
      <c r="R18" s="25"/>
      <c r="S18" s="47">
        <f t="shared" ref="S18:S23" si="6">$S$26/$Q$26*(IF(Q18="incl",0,Q18))</f>
        <v>0</v>
      </c>
      <c r="U18" s="46">
        <f t="shared" si="2"/>
        <v>196.66666666666669</v>
      </c>
      <c r="V18" s="82"/>
    </row>
    <row r="19" spans="1:22" x14ac:dyDescent="0.2">
      <c r="A19" s="13" t="s">
        <v>34</v>
      </c>
      <c r="B19" s="14" t="s">
        <v>35</v>
      </c>
      <c r="C19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9" s="17">
        <f>((C19/9)*12)-250000-75000</f>
        <v>142873.22666666668</v>
      </c>
      <c r="G19" s="16">
        <f t="shared" si="0"/>
        <v>6.552053247023089E-3</v>
      </c>
      <c r="H19" s="48">
        <f t="shared" si="4"/>
        <v>29467.603000000003</v>
      </c>
      <c r="I19" s="8" t="s">
        <v>36</v>
      </c>
      <c r="J19" s="8">
        <v>49500</v>
      </c>
      <c r="K19" s="8">
        <v>0</v>
      </c>
      <c r="L19" s="8">
        <f t="shared" si="5"/>
        <v>0</v>
      </c>
      <c r="M19" s="25"/>
      <c r="N19" s="25"/>
      <c r="O19" s="47">
        <f t="shared" si="1"/>
        <v>3571.8306666666672</v>
      </c>
      <c r="Q19" s="65" t="s">
        <v>72</v>
      </c>
      <c r="R19" s="25"/>
      <c r="S19" s="47">
        <f t="shared" si="6"/>
        <v>0</v>
      </c>
      <c r="U19" s="46">
        <f t="shared" si="2"/>
        <v>3571.8306666666672</v>
      </c>
      <c r="V19" s="82"/>
    </row>
    <row r="20" spans="1:22" x14ac:dyDescent="0.2">
      <c r="A20" s="13" t="s">
        <v>37</v>
      </c>
      <c r="B20" s="14" t="s">
        <v>38</v>
      </c>
      <c r="C20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20" s="17">
        <f>((C20/9)*12)-75000-75000-50000-25000</f>
        <v>145613.76000000001</v>
      </c>
      <c r="G20" s="16">
        <f t="shared" si="0"/>
        <v>6.6777319395547171E-3</v>
      </c>
      <c r="H20" s="48">
        <f t="shared" si="4"/>
        <v>30032.838</v>
      </c>
      <c r="I20" s="8" t="s">
        <v>39</v>
      </c>
      <c r="J20" s="8">
        <v>57750</v>
      </c>
      <c r="K20" s="8">
        <v>0</v>
      </c>
      <c r="L20" s="8">
        <f t="shared" si="5"/>
        <v>0</v>
      </c>
      <c r="M20" s="25"/>
      <c r="N20" s="25"/>
      <c r="O20" s="47">
        <f t="shared" si="1"/>
        <v>3640.3440000000001</v>
      </c>
      <c r="Q20" s="46">
        <v>80000</v>
      </c>
      <c r="R20" s="25"/>
      <c r="S20" s="47">
        <f t="shared" si="6"/>
        <v>45714.28571428571</v>
      </c>
      <c r="U20" s="46">
        <f t="shared" si="2"/>
        <v>-42073.941714285713</v>
      </c>
      <c r="V20" s="82" t="s">
        <v>89</v>
      </c>
    </row>
    <row r="21" spans="1:22" x14ac:dyDescent="0.2">
      <c r="A21" s="13" t="s">
        <v>40</v>
      </c>
      <c r="B21" s="14" t="s">
        <v>41</v>
      </c>
      <c r="C21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1" s="17">
        <f>((C21/9)*12)</f>
        <v>21.333333333333332</v>
      </c>
      <c r="G21" s="16">
        <f t="shared" si="0"/>
        <v>9.7832980466383997E-7</v>
      </c>
      <c r="H21" s="48">
        <f t="shared" si="4"/>
        <v>4.4000000000000004</v>
      </c>
      <c r="I21" s="8" t="s">
        <v>42</v>
      </c>
      <c r="J21" s="8">
        <v>71500</v>
      </c>
      <c r="K21" s="8">
        <v>1</v>
      </c>
      <c r="L21" s="8">
        <f t="shared" si="5"/>
        <v>71500</v>
      </c>
      <c r="M21" s="25"/>
      <c r="N21" s="25"/>
      <c r="O21" s="47">
        <f t="shared" si="1"/>
        <v>0.53333333333333344</v>
      </c>
      <c r="Q21" s="65" t="s">
        <v>72</v>
      </c>
      <c r="R21" s="25"/>
      <c r="S21" s="47">
        <f t="shared" si="6"/>
        <v>0</v>
      </c>
      <c r="U21" s="46">
        <f t="shared" si="2"/>
        <v>0.53333333333333344</v>
      </c>
      <c r="V21" s="82"/>
    </row>
    <row r="22" spans="1:22" x14ac:dyDescent="0.2">
      <c r="A22" s="13" t="s">
        <v>43</v>
      </c>
      <c r="B22" s="14" t="s">
        <v>44</v>
      </c>
      <c r="C22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2" s="17">
        <f>((C22/9)*12)-75000</f>
        <v>181051.87999999983</v>
      </c>
      <c r="G22" s="16">
        <f t="shared" si="0"/>
        <v>8.302896112238476E-3</v>
      </c>
      <c r="H22" s="48">
        <f t="shared" si="4"/>
        <v>37341.950249999965</v>
      </c>
      <c r="I22" s="8" t="s">
        <v>45</v>
      </c>
      <c r="J22" s="8">
        <v>60500</v>
      </c>
      <c r="K22" s="8">
        <v>0</v>
      </c>
      <c r="L22" s="8">
        <f t="shared" si="5"/>
        <v>0</v>
      </c>
      <c r="M22" s="25"/>
      <c r="N22" s="25"/>
      <c r="O22" s="47">
        <f t="shared" si="1"/>
        <v>4526.2969999999959</v>
      </c>
      <c r="P22" s="25"/>
      <c r="Q22" s="46">
        <v>20000</v>
      </c>
      <c r="R22" s="25"/>
      <c r="S22" s="47">
        <f t="shared" si="6"/>
        <v>11428.571428571428</v>
      </c>
      <c r="U22" s="46">
        <f t="shared" si="2"/>
        <v>-6902.2744285714316</v>
      </c>
      <c r="V22" s="82"/>
    </row>
    <row r="23" spans="1:22" x14ac:dyDescent="0.2">
      <c r="A23" s="13" t="s">
        <v>46</v>
      </c>
      <c r="B23" s="14" t="s">
        <v>47</v>
      </c>
      <c r="C23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3" s="17">
        <f>((C23/9)*12)-1000000-100000</f>
        <v>5242795.573333336</v>
      </c>
      <c r="G23" s="16">
        <f t="shared" si="0"/>
        <v>0.2404304610539835</v>
      </c>
      <c r="H23" s="48">
        <f>(E23/$E$30)*$K$12-1081327</f>
        <v>-0.41299999947659671</v>
      </c>
      <c r="I23" s="8" t="s">
        <v>48</v>
      </c>
      <c r="J23" s="8">
        <v>89100</v>
      </c>
      <c r="K23" s="8">
        <v>0</v>
      </c>
      <c r="L23" s="8">
        <f t="shared" si="5"/>
        <v>0</v>
      </c>
      <c r="M23" s="25"/>
      <c r="N23" s="25"/>
      <c r="O23" s="47">
        <f t="shared" si="1"/>
        <v>-5.0060605997163242E-2</v>
      </c>
      <c r="P23" s="25"/>
      <c r="Q23" s="46">
        <v>0</v>
      </c>
      <c r="R23" s="25"/>
      <c r="S23" s="47">
        <f t="shared" si="6"/>
        <v>0</v>
      </c>
      <c r="U23" s="46">
        <f t="shared" si="2"/>
        <v>-5.0060605997163242E-2</v>
      </c>
      <c r="V23" s="82"/>
    </row>
    <row r="24" spans="1:22" x14ac:dyDescent="0.2">
      <c r="A24" s="27" t="s">
        <v>49</v>
      </c>
      <c r="B24" s="28" t="s">
        <v>50</v>
      </c>
      <c r="C24" s="29" t="e">
        <f>SUM(C8:C23)</f>
        <v>#REF!</v>
      </c>
      <c r="E24" s="29">
        <f>SUM(E8:E23)</f>
        <v>21805870.813333336</v>
      </c>
      <c r="G24" s="30">
        <f t="shared" si="0"/>
        <v>1</v>
      </c>
      <c r="H24" s="50">
        <f>SUM(H8:H23)</f>
        <v>7267348.9812500011</v>
      </c>
      <c r="I24" s="8" t="s">
        <v>51</v>
      </c>
      <c r="J24" s="8">
        <v>110000</v>
      </c>
      <c r="K24" s="8">
        <v>11</v>
      </c>
      <c r="L24" s="8">
        <f t="shared" si="5"/>
        <v>1210000</v>
      </c>
      <c r="M24" s="25"/>
      <c r="N24" s="25"/>
      <c r="O24" s="51">
        <f>SUM(O8:O23)</f>
        <v>880890.78560606076</v>
      </c>
      <c r="P24" s="25"/>
      <c r="Q24" s="50">
        <f>SUM(Q8:Q23)</f>
        <v>2606633</v>
      </c>
      <c r="R24" s="25"/>
      <c r="S24" s="51">
        <f>SUM(S8:S23)</f>
        <v>1336590.2857142857</v>
      </c>
      <c r="U24" s="50">
        <f>SUM(U8:U23)</f>
        <v>-455699.50010822498</v>
      </c>
      <c r="V24" s="51"/>
    </row>
    <row r="25" spans="1:22" x14ac:dyDescent="0.2">
      <c r="H25" s="52"/>
      <c r="I25" s="8" t="s">
        <v>52</v>
      </c>
      <c r="J25" s="8">
        <v>143000</v>
      </c>
      <c r="K25" s="8">
        <v>14</v>
      </c>
      <c r="L25" s="8">
        <f t="shared" si="5"/>
        <v>2002000</v>
      </c>
      <c r="M25" s="25"/>
      <c r="N25" s="25"/>
      <c r="O25" s="53"/>
      <c r="P25" s="25"/>
      <c r="Q25" s="52"/>
      <c r="R25" s="25"/>
      <c r="S25" s="53"/>
      <c r="U25" s="52"/>
      <c r="V25" s="53"/>
    </row>
    <row r="26" spans="1:22" x14ac:dyDescent="0.2">
      <c r="B26" s="28" t="s">
        <v>53</v>
      </c>
      <c r="C26" s="15"/>
      <c r="E26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6" s="54">
        <f>+K17+K18+K19+K20+K21+K24+K25+K26+K27+K28</f>
        <v>33</v>
      </c>
      <c r="I26" s="8" t="s">
        <v>54</v>
      </c>
      <c r="J26" s="8">
        <v>165000</v>
      </c>
      <c r="K26" s="8">
        <v>0</v>
      </c>
      <c r="L26" s="8">
        <f t="shared" si="5"/>
        <v>0</v>
      </c>
      <c r="M26" s="25"/>
      <c r="N26" s="25"/>
      <c r="O26" s="55">
        <f>O47+O48+O49+O52</f>
        <v>4</v>
      </c>
      <c r="P26" s="25"/>
      <c r="Q26" s="54">
        <f>Q47+Q48+Q49+Q52</f>
        <v>7</v>
      </c>
      <c r="R26" s="25"/>
      <c r="S26" s="55">
        <f>S47+S48+S49+S52</f>
        <v>4</v>
      </c>
      <c r="U26" s="54">
        <f>O26-S26</f>
        <v>0</v>
      </c>
      <c r="V26" s="55"/>
    </row>
    <row r="27" spans="1:22" x14ac:dyDescent="0.2">
      <c r="C27" s="15"/>
      <c r="E27" s="15"/>
      <c r="H27" s="46"/>
      <c r="I27" s="8" t="s">
        <v>55</v>
      </c>
      <c r="J27" s="8">
        <v>198000</v>
      </c>
      <c r="K27" s="8">
        <v>6</v>
      </c>
      <c r="L27" s="8">
        <f t="shared" si="5"/>
        <v>1188000</v>
      </c>
      <c r="M27" s="25"/>
      <c r="N27" s="25"/>
      <c r="O27" s="47"/>
      <c r="P27" s="25"/>
      <c r="Q27" s="46"/>
      <c r="R27" s="25"/>
      <c r="S27" s="47"/>
      <c r="U27" s="46"/>
      <c r="V27" s="47"/>
    </row>
    <row r="28" spans="1:22" x14ac:dyDescent="0.2">
      <c r="B28" s="28" t="s">
        <v>56</v>
      </c>
      <c r="C28" s="15"/>
      <c r="E28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8" s="54">
        <f>+K22+K23</f>
        <v>0</v>
      </c>
      <c r="I28" s="8" t="s">
        <v>57</v>
      </c>
      <c r="J28" s="8">
        <v>220000</v>
      </c>
      <c r="K28" s="8">
        <v>1</v>
      </c>
      <c r="L28" s="8">
        <f t="shared" si="5"/>
        <v>220000</v>
      </c>
      <c r="M28" s="25"/>
      <c r="N28" s="25"/>
      <c r="O28" s="55">
        <f>O50+O51</f>
        <v>0</v>
      </c>
      <c r="P28" s="25"/>
      <c r="Q28" s="54">
        <f>Q50+Q51</f>
        <v>2</v>
      </c>
      <c r="R28" s="25"/>
      <c r="S28" s="55">
        <f>S50+S51</f>
        <v>0</v>
      </c>
      <c r="U28" s="54">
        <f>O28-S28</f>
        <v>0</v>
      </c>
      <c r="V28" s="55"/>
    </row>
    <row r="29" spans="1:22" x14ac:dyDescent="0.2">
      <c r="H29" s="52"/>
      <c r="I29" s="8"/>
      <c r="J29" s="8"/>
      <c r="K29" s="8">
        <f>SUM(K17:K28)</f>
        <v>33</v>
      </c>
      <c r="L29" s="8">
        <f>SUM(L17:L28)*1.2</f>
        <v>5629800</v>
      </c>
      <c r="M29" s="25"/>
      <c r="N29" s="25"/>
      <c r="O29" s="53"/>
      <c r="P29" s="25"/>
      <c r="Q29" s="52"/>
      <c r="R29" s="25"/>
      <c r="S29" s="53"/>
      <c r="U29" s="52"/>
      <c r="V29" s="53"/>
    </row>
    <row r="30" spans="1:22" x14ac:dyDescent="0.2">
      <c r="B30" s="28" t="s">
        <v>58</v>
      </c>
      <c r="C30" s="15"/>
      <c r="E30" s="32">
        <f>SUM(E26:E28)</f>
        <v>160</v>
      </c>
      <c r="G30" s="22"/>
      <c r="H30" s="54">
        <f>SUM(H26:H28)</f>
        <v>33</v>
      </c>
      <c r="I30" s="8"/>
      <c r="J30" s="8"/>
      <c r="K30" s="8"/>
      <c r="L30" s="56">
        <v>0.2</v>
      </c>
      <c r="M30" s="25"/>
      <c r="N30" s="25"/>
      <c r="O30" s="55">
        <f>O26+O28</f>
        <v>4</v>
      </c>
      <c r="P30" s="25"/>
      <c r="Q30" s="54">
        <f>Q26+Q28</f>
        <v>9</v>
      </c>
      <c r="R30" s="25"/>
      <c r="S30" s="55">
        <f>S26+S28</f>
        <v>4</v>
      </c>
      <c r="U30" s="54">
        <f>O30-S30</f>
        <v>0</v>
      </c>
      <c r="V30" s="55"/>
    </row>
    <row r="31" spans="1:22" hidden="1" x14ac:dyDescent="0.2">
      <c r="H31" s="52"/>
      <c r="I31" s="8"/>
      <c r="J31" s="8"/>
      <c r="K31" s="8"/>
      <c r="L31" s="8">
        <f>L29*1.2</f>
        <v>6755760</v>
      </c>
      <c r="M31" s="25"/>
      <c r="N31" s="25"/>
      <c r="O31" s="53"/>
      <c r="P31" s="25"/>
      <c r="Q31" s="52"/>
      <c r="R31" s="25"/>
      <c r="S31" s="53"/>
      <c r="U31" s="52"/>
      <c r="V31" s="82"/>
    </row>
    <row r="32" spans="1:22" hidden="1" x14ac:dyDescent="0.2">
      <c r="H32" s="57" t="s">
        <v>59</v>
      </c>
      <c r="I32" s="8"/>
      <c r="J32" s="8"/>
      <c r="K32" s="8"/>
      <c r="L32" s="25"/>
      <c r="M32" s="25"/>
      <c r="N32" s="25"/>
      <c r="O32" s="53"/>
      <c r="P32" s="25"/>
      <c r="Q32" s="52"/>
      <c r="R32" s="25"/>
      <c r="S32" s="53"/>
      <c r="U32" s="52"/>
      <c r="V32" s="82"/>
    </row>
    <row r="33" spans="2:24" hidden="1" x14ac:dyDescent="0.2">
      <c r="B33" s="14" t="s">
        <v>25</v>
      </c>
      <c r="C33" s="15">
        <v>254512</v>
      </c>
      <c r="H33" s="52"/>
      <c r="I33" s="8"/>
      <c r="J33" s="8"/>
      <c r="K33" s="8"/>
      <c r="L33" s="25"/>
      <c r="M33" s="25"/>
      <c r="N33" s="25"/>
      <c r="O33" s="53"/>
      <c r="P33" s="25"/>
      <c r="Q33" s="52"/>
      <c r="R33" s="25"/>
      <c r="S33" s="53"/>
      <c r="U33" s="52"/>
      <c r="V33" s="82"/>
    </row>
    <row r="34" spans="2:24" hidden="1" x14ac:dyDescent="0.2">
      <c r="H34" s="58" t="s">
        <v>60</v>
      </c>
      <c r="I34" s="59" t="s">
        <v>61</v>
      </c>
      <c r="J34" s="59" t="s">
        <v>62</v>
      </c>
      <c r="K34" s="59" t="s">
        <v>3</v>
      </c>
      <c r="L34" s="59" t="s">
        <v>63</v>
      </c>
      <c r="M34" s="25"/>
      <c r="N34" s="25"/>
      <c r="O34" s="53"/>
      <c r="P34" s="25"/>
      <c r="Q34" s="52"/>
      <c r="R34" s="25"/>
      <c r="S34" s="53"/>
      <c r="U34" s="52"/>
      <c r="V34" s="82"/>
    </row>
    <row r="35" spans="2:24" hidden="1" x14ac:dyDescent="0.2">
      <c r="H35" s="60">
        <f>SUM(E13:E23)</f>
        <v>7723229.0000000019</v>
      </c>
      <c r="I35" s="61">
        <f>+E30</f>
        <v>160</v>
      </c>
      <c r="J35" s="61">
        <f>+H35/I35</f>
        <v>48270.181250000009</v>
      </c>
      <c r="K35" s="61">
        <f>+K12</f>
        <v>33</v>
      </c>
      <c r="L35" s="61">
        <f>+J35*K35</f>
        <v>1592915.9812500002</v>
      </c>
      <c r="M35" s="25"/>
      <c r="N35" s="25"/>
      <c r="O35" s="53"/>
      <c r="P35" s="25"/>
      <c r="Q35" s="52"/>
      <c r="R35" s="25"/>
      <c r="S35" s="53"/>
      <c r="U35" s="52"/>
      <c r="V35" s="82"/>
    </row>
    <row r="36" spans="2:24" hidden="1" x14ac:dyDescent="0.2">
      <c r="H36" s="52"/>
      <c r="I36" s="8"/>
      <c r="J36" s="8"/>
      <c r="K36" s="8"/>
      <c r="L36" s="8"/>
      <c r="M36" s="25"/>
      <c r="N36" s="25"/>
      <c r="O36" s="53"/>
      <c r="P36" s="25"/>
      <c r="Q36" s="52"/>
      <c r="R36" s="25"/>
      <c r="S36" s="53"/>
      <c r="U36" s="52"/>
      <c r="V36" s="82"/>
    </row>
    <row r="37" spans="2:24" hidden="1" x14ac:dyDescent="0.2">
      <c r="H37" s="52"/>
      <c r="I37" s="8"/>
      <c r="J37" s="8"/>
      <c r="K37" s="8"/>
      <c r="L37" s="8"/>
      <c r="M37" s="25"/>
      <c r="N37" s="25"/>
      <c r="O37" s="53"/>
      <c r="P37" s="25"/>
      <c r="Q37" s="52"/>
      <c r="R37" s="25"/>
      <c r="S37" s="53"/>
      <c r="U37" s="52"/>
      <c r="V37" s="82"/>
    </row>
    <row r="38" spans="2:24" hidden="1" x14ac:dyDescent="0.2">
      <c r="H38" s="52"/>
      <c r="I38" s="8"/>
      <c r="J38" s="8"/>
      <c r="K38" s="8"/>
      <c r="L38" s="8"/>
      <c r="M38" s="25"/>
      <c r="N38" s="25"/>
      <c r="O38" s="53"/>
      <c r="P38" s="25"/>
      <c r="Q38" s="52"/>
      <c r="R38" s="25"/>
      <c r="S38" s="53"/>
      <c r="U38" s="52"/>
      <c r="V38" s="82"/>
    </row>
    <row r="39" spans="2:24" hidden="1" x14ac:dyDescent="0.2">
      <c r="H39" s="52"/>
      <c r="I39" s="8"/>
      <c r="J39" s="8"/>
      <c r="K39" s="8"/>
      <c r="L39" s="8"/>
      <c r="M39" s="25"/>
      <c r="N39" s="25"/>
      <c r="O39" s="53"/>
      <c r="P39" s="25"/>
      <c r="Q39" s="52"/>
      <c r="R39" s="25"/>
      <c r="S39" s="53"/>
      <c r="U39" s="52"/>
      <c r="V39" s="82"/>
    </row>
    <row r="40" spans="2:24" ht="13.5" thickBot="1" x14ac:dyDescent="0.25">
      <c r="H40" s="62"/>
      <c r="I40" s="20"/>
      <c r="J40" s="20"/>
      <c r="K40" s="20"/>
      <c r="L40" s="20"/>
      <c r="M40" s="63"/>
      <c r="N40" s="63"/>
      <c r="O40" s="64"/>
      <c r="P40" s="25"/>
      <c r="Q40" s="62"/>
      <c r="R40" s="63"/>
      <c r="S40" s="64"/>
      <c r="U40" s="62"/>
      <c r="V40" s="83"/>
    </row>
    <row r="41" spans="2:24" ht="13.5" thickBot="1" x14ac:dyDescent="0.25">
      <c r="H41" s="25"/>
      <c r="I41" s="8"/>
      <c r="J41" s="8"/>
      <c r="K41" s="8"/>
      <c r="L41" s="8"/>
      <c r="M41" s="25"/>
      <c r="N41" s="25"/>
      <c r="O41" s="25"/>
      <c r="P41" s="25"/>
      <c r="Q41" s="25"/>
      <c r="R41" s="25"/>
      <c r="S41" s="25"/>
      <c r="U41" s="25"/>
    </row>
    <row r="42" spans="2:24" x14ac:dyDescent="0.2">
      <c r="B42" s="28" t="s">
        <v>77</v>
      </c>
      <c r="H42" s="74" t="s">
        <v>78</v>
      </c>
      <c r="I42" s="75"/>
      <c r="J42" s="75"/>
      <c r="K42" s="75"/>
      <c r="L42" s="75"/>
      <c r="M42" s="75"/>
      <c r="N42" s="75"/>
      <c r="O42" s="76" t="s">
        <v>80</v>
      </c>
      <c r="P42" s="14"/>
      <c r="Q42" s="74" t="s">
        <v>82</v>
      </c>
      <c r="R42" s="75"/>
      <c r="S42" s="76" t="s">
        <v>84</v>
      </c>
      <c r="T42" s="14"/>
      <c r="U42" s="14"/>
      <c r="V42" s="14"/>
      <c r="W42" s="14"/>
      <c r="X42" s="14" t="s">
        <v>80</v>
      </c>
    </row>
    <row r="43" spans="2:24" x14ac:dyDescent="0.2">
      <c r="H43" s="68" t="s">
        <v>79</v>
      </c>
      <c r="I43" s="77"/>
      <c r="J43" s="77"/>
      <c r="K43" s="77"/>
      <c r="L43" s="77"/>
      <c r="M43" s="77"/>
      <c r="N43" s="77"/>
      <c r="O43" s="78" t="s">
        <v>81</v>
      </c>
      <c r="P43" s="14"/>
      <c r="Q43" s="68" t="s">
        <v>83</v>
      </c>
      <c r="R43" s="77"/>
      <c r="S43" s="78" t="s">
        <v>85</v>
      </c>
      <c r="T43" s="14"/>
      <c r="U43" s="14"/>
      <c r="V43" s="14"/>
      <c r="W43" s="14"/>
      <c r="X43" s="14" t="s">
        <v>81</v>
      </c>
    </row>
    <row r="44" spans="2:24" ht="13.5" thickBot="1" x14ac:dyDescent="0.25">
      <c r="H44" s="79"/>
      <c r="I44" s="80"/>
      <c r="J44" s="80"/>
      <c r="K44" s="80"/>
      <c r="L44" s="80"/>
      <c r="M44" s="80"/>
      <c r="N44" s="80"/>
      <c r="O44" s="81"/>
      <c r="P44" s="14"/>
      <c r="Q44" s="79"/>
      <c r="R44" s="80"/>
      <c r="S44" s="81"/>
      <c r="T44" s="14"/>
      <c r="U44" s="14"/>
    </row>
    <row r="45" spans="2:24" ht="13.5" thickBot="1" x14ac:dyDescent="0.25"/>
    <row r="46" spans="2:24" x14ac:dyDescent="0.2">
      <c r="B46" s="12" t="s">
        <v>69</v>
      </c>
      <c r="H46" s="69"/>
      <c r="I46" s="5"/>
      <c r="J46" s="5"/>
      <c r="K46" s="5"/>
      <c r="L46" s="5"/>
      <c r="M46" s="42"/>
      <c r="N46" s="42"/>
      <c r="O46" s="67"/>
      <c r="Q46" s="69"/>
      <c r="R46" s="42"/>
      <c r="S46" s="67"/>
    </row>
    <row r="47" spans="2:24" x14ac:dyDescent="0.2">
      <c r="B47" s="14" t="s">
        <v>75</v>
      </c>
      <c r="C47" s="15" t="e">
        <f>'[2]Central Trading'!C42+'[2]Central Origination'!C42+[2]Derivatives!C42+'[2]East Trading'!C42+'[2]East Origination'!C42+'[2]Financial Gas'!C42+[2]Structuring!C42+'[2]Texas Trading'!C42+'[2]Texas Origination'!C42+'[2]West Trading'!C42+'[2]West Origination'!C42+[2]Fundamentals!C42</f>
        <v>#REF!</v>
      </c>
      <c r="E47" s="15" t="e">
        <f>((C47/9)*12)</f>
        <v>#REF!</v>
      </c>
      <c r="G47" s="16" t="e">
        <f t="shared" ref="G47:G52" si="7">E47/$E$24</f>
        <v>#REF!</v>
      </c>
      <c r="H47" s="52"/>
      <c r="I47" s="8"/>
      <c r="J47" s="8"/>
      <c r="K47" s="8"/>
      <c r="L47" s="8"/>
      <c r="M47" s="25"/>
      <c r="N47" s="25"/>
      <c r="O47" s="66">
        <v>1</v>
      </c>
      <c r="Q47" s="65">
        <v>1</v>
      </c>
      <c r="R47" s="25"/>
      <c r="S47" s="66">
        <v>1</v>
      </c>
    </row>
    <row r="48" spans="2:24" x14ac:dyDescent="0.2">
      <c r="B48" s="14" t="s">
        <v>52</v>
      </c>
      <c r="C48" s="15" t="e">
        <f>'[2]Central Trading'!C43+'[2]Central Origination'!C43+[2]Derivatives!C43+'[2]East Trading'!C43+'[2]East Origination'!C43+'[2]Financial Gas'!C43+[2]Structuring!C43+'[2]Texas Trading'!C43+'[2]Texas Origination'!C43+'[2]West Trading'!C43+'[2]West Origination'!C43+[2]Fundamentals!C43</f>
        <v>#REF!</v>
      </c>
      <c r="E48" s="15">
        <v>0</v>
      </c>
      <c r="G48" s="16">
        <f t="shared" si="7"/>
        <v>0</v>
      </c>
      <c r="H48" s="52"/>
      <c r="I48" s="8"/>
      <c r="J48" s="8"/>
      <c r="K48" s="8"/>
      <c r="L48" s="8"/>
      <c r="M48" s="25"/>
      <c r="N48" s="25"/>
      <c r="O48" s="66">
        <v>1</v>
      </c>
      <c r="Q48" s="65">
        <v>4</v>
      </c>
      <c r="R48" s="25"/>
      <c r="S48" s="66">
        <v>1</v>
      </c>
    </row>
    <row r="49" spans="2:19" x14ac:dyDescent="0.2">
      <c r="B49" s="14" t="s">
        <v>51</v>
      </c>
      <c r="C49" s="15"/>
      <c r="E49" s="15"/>
      <c r="G49" s="16"/>
      <c r="H49" s="52"/>
      <c r="I49" s="8"/>
      <c r="J49" s="8"/>
      <c r="K49" s="8"/>
      <c r="L49" s="8"/>
      <c r="M49" s="25"/>
      <c r="N49" s="25"/>
      <c r="O49" s="66">
        <v>2</v>
      </c>
      <c r="Q49" s="65">
        <v>1</v>
      </c>
      <c r="R49" s="25"/>
      <c r="S49" s="66">
        <v>2</v>
      </c>
    </row>
    <row r="50" spans="2:19" x14ac:dyDescent="0.2">
      <c r="B50" s="14" t="s">
        <v>48</v>
      </c>
      <c r="C50" s="15" t="e">
        <f>'[2]Central Trading'!C44+'[2]Central Origination'!C44+[2]Derivatives!C44+'[2]East Trading'!C44+'[2]East Origination'!C44+'[2]Financial Gas'!C44+[2]Structuring!C44+'[2]Texas Trading'!C44+'[2]Texas Origination'!C44+'[2]West Trading'!C44+'[2]West Origination'!C44+[2]Fundamentals!C44</f>
        <v>#REF!</v>
      </c>
      <c r="D50" s="15"/>
      <c r="E50" s="15" t="e">
        <f>('[2]Central Trading'!E43+'[2]Central Origination'!E44+[2]Derivatives!E44+'[2]East Trading'!E44+'[2]East Origination'!E44+'[2]Financial Gas'!E44+[2]Structuring!E44+'[2]Texas Trading'!E44+'[2]Texas Origination'!E44+'[2]West Trading'!E44+'[2]West Origination'!E44+[2]Fundamentals!E44)-4000000</f>
        <v>#REF!</v>
      </c>
      <c r="G50" s="16" t="e">
        <f t="shared" si="7"/>
        <v>#REF!</v>
      </c>
      <c r="H50" s="52"/>
      <c r="I50" s="8"/>
      <c r="J50" s="8"/>
      <c r="K50" s="8"/>
      <c r="L50" s="8"/>
      <c r="M50" s="25"/>
      <c r="N50" s="25"/>
      <c r="O50" s="66">
        <v>0</v>
      </c>
      <c r="Q50" s="65">
        <v>1</v>
      </c>
      <c r="R50" s="25"/>
      <c r="S50" s="66">
        <v>0</v>
      </c>
    </row>
    <row r="51" spans="2:19" x14ac:dyDescent="0.2">
      <c r="B51" s="14" t="s">
        <v>45</v>
      </c>
      <c r="C51" s="15" t="e">
        <f>'[2]Central Trading'!C45+'[2]Central Origination'!C45+[2]Derivatives!C45+'[2]East Trading'!C45+'[2]East Origination'!C45+'[2]Financial Gas'!C45+[2]Structuring!C45+'[2]Texas Trading'!C45+'[2]Texas Origination'!C45+'[2]West Trading'!C45+'[2]West Origination'!C45+[2]Fundamentals!C45</f>
        <v>#REF!</v>
      </c>
      <c r="E51" s="15" t="e">
        <f>((C51/9)*12)</f>
        <v>#REF!</v>
      </c>
      <c r="G51" s="16" t="e">
        <f t="shared" si="7"/>
        <v>#REF!</v>
      </c>
      <c r="H51" s="52"/>
      <c r="I51" s="8"/>
      <c r="J51" s="8"/>
      <c r="K51" s="8"/>
      <c r="L51" s="8"/>
      <c r="M51" s="25"/>
      <c r="N51" s="25"/>
      <c r="O51" s="66">
        <v>0</v>
      </c>
      <c r="Q51" s="65">
        <v>1</v>
      </c>
      <c r="R51" s="25"/>
      <c r="S51" s="66">
        <v>0</v>
      </c>
    </row>
    <row r="52" spans="2:19" ht="15" x14ac:dyDescent="0.35">
      <c r="B52" s="14" t="s">
        <v>33</v>
      </c>
      <c r="C52" s="15" t="e">
        <f>'[2]Central Trading'!C46+'[2]Central Origination'!C46+[2]Derivatives!C46+'[2]East Trading'!C46+'[2]East Origination'!C46+'[2]Financial Gas'!C46+[2]Structuring!C46+'[2]Texas Trading'!C46+'[2]Texas Origination'!C46+'[2]West Trading'!C46+'[2]West Origination'!C46+[2]Fundamentals!C46</f>
        <v>#REF!</v>
      </c>
      <c r="E52" s="17" t="e">
        <f>((C52/9)*12)-500000</f>
        <v>#REF!</v>
      </c>
      <c r="G52" s="16" t="e">
        <f t="shared" si="7"/>
        <v>#REF!</v>
      </c>
      <c r="H52" s="52"/>
      <c r="I52" s="8"/>
      <c r="J52" s="8"/>
      <c r="K52" s="8"/>
      <c r="L52" s="8"/>
      <c r="M52" s="25"/>
      <c r="N52" s="25"/>
      <c r="O52" s="70">
        <v>0</v>
      </c>
      <c r="Q52" s="72">
        <v>1</v>
      </c>
      <c r="R52" s="25"/>
      <c r="S52" s="70">
        <v>0</v>
      </c>
    </row>
    <row r="53" spans="2:19" ht="13.5" thickBot="1" x14ac:dyDescent="0.25">
      <c r="B53" s="39" t="s">
        <v>23</v>
      </c>
      <c r="C53" s="40"/>
      <c r="D53" s="40"/>
      <c r="E53" s="40"/>
      <c r="F53" s="40"/>
      <c r="G53" s="40"/>
      <c r="H53" s="62"/>
      <c r="I53" s="20"/>
      <c r="J53" s="20"/>
      <c r="K53" s="20"/>
      <c r="L53" s="20"/>
      <c r="M53" s="63"/>
      <c r="N53" s="63"/>
      <c r="O53" s="71">
        <f>SUM(O47:O52)</f>
        <v>4</v>
      </c>
      <c r="Q53" s="73">
        <f>SUM(Q47:Q52)</f>
        <v>9</v>
      </c>
      <c r="R53" s="63"/>
      <c r="S53" s="71">
        <f>SUM(S47:S52)</f>
        <v>4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33" right="0.36" top="0.49" bottom="1" header="0.22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66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1077120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1292544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67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 t="e">
        <f>SUM(C8:C22)</f>
        <v>#REF!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696960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836352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Orig-Texas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Orig-Texas'!Print_Area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2002-01-02T18:26:13Z</cp:lastPrinted>
  <dcterms:created xsi:type="dcterms:W3CDTF">2002-01-02T15:46:57Z</dcterms:created>
  <dcterms:modified xsi:type="dcterms:W3CDTF">2014-09-04T14:08:40Z</dcterms:modified>
</cp:coreProperties>
</file>