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95" yWindow="30" windowWidth="11280" windowHeight="6615"/>
  </bookViews>
  <sheets>
    <sheet name="Sheet 1" sheetId="1" r:id="rId1"/>
  </sheets>
  <definedNames>
    <definedName name="_xlnm.Print_Area" localSheetId="0">'Sheet 1'!$A$1:$E$43</definedName>
  </definedNames>
  <calcPr calcId="152511"/>
</workbook>
</file>

<file path=xl/calcChain.xml><?xml version="1.0" encoding="utf-8"?>
<calcChain xmlns="http://schemas.openxmlformats.org/spreadsheetml/2006/main">
  <c r="B11" i="1" l="1"/>
  <c r="B13" i="1"/>
  <c r="B14" i="1" s="1"/>
  <c r="D21" i="1"/>
  <c r="E22" i="1"/>
  <c r="D27" i="1"/>
  <c r="E27" i="1" s="1"/>
  <c r="B28" i="1"/>
  <c r="B31" i="1"/>
  <c r="E31" i="1" s="1"/>
  <c r="D31" i="1"/>
  <c r="B37" i="1"/>
  <c r="B39" i="1" s="1"/>
  <c r="B43" i="1" s="1"/>
  <c r="D30" i="1" s="1"/>
  <c r="E30" i="1" s="1"/>
  <c r="B38" i="1"/>
  <c r="H38" i="1"/>
  <c r="I38" i="1"/>
  <c r="B16" i="1" s="1"/>
  <c r="K38" i="1"/>
  <c r="B41" i="1"/>
  <c r="J7" i="1" l="1"/>
  <c r="J11" i="1"/>
  <c r="L11" i="1" s="1"/>
  <c r="J17" i="1"/>
  <c r="L17" i="1" s="1"/>
  <c r="J31" i="1"/>
  <c r="L31" i="1" s="1"/>
  <c r="J21" i="1"/>
  <c r="L21" i="1" s="1"/>
  <c r="J10" i="1"/>
  <c r="L10" i="1" s="1"/>
  <c r="J16" i="1"/>
  <c r="L16" i="1" s="1"/>
  <c r="B21" i="1"/>
  <c r="J28" i="1"/>
  <c r="L28" i="1" s="1"/>
  <c r="J35" i="1"/>
  <c r="L35" i="1" s="1"/>
  <c r="J34" i="1"/>
  <c r="L34" i="1" s="1"/>
  <c r="J14" i="1"/>
  <c r="L14" i="1" s="1"/>
  <c r="J25" i="1"/>
  <c r="L25" i="1" s="1"/>
  <c r="J15" i="1"/>
  <c r="L15" i="1" s="1"/>
  <c r="J26" i="1"/>
  <c r="L26" i="1" s="1"/>
  <c r="J27" i="1"/>
  <c r="L27" i="1" s="1"/>
  <c r="J9" i="1"/>
  <c r="L9" i="1" s="1"/>
  <c r="J20" i="1"/>
  <c r="L20" i="1" s="1"/>
  <c r="J22" i="1"/>
  <c r="L22" i="1" s="1"/>
  <c r="J33" i="1"/>
  <c r="L33" i="1" s="1"/>
  <c r="J8" i="1"/>
  <c r="L8" i="1" s="1"/>
  <c r="J13" i="1"/>
  <c r="L13" i="1" s="1"/>
  <c r="J19" i="1"/>
  <c r="L19" i="1" s="1"/>
  <c r="J24" i="1"/>
  <c r="L24" i="1" s="1"/>
  <c r="J12" i="1"/>
  <c r="L12" i="1" s="1"/>
  <c r="J32" i="1"/>
  <c r="L32" i="1" s="1"/>
  <c r="J37" i="1"/>
  <c r="L37" i="1" s="1"/>
  <c r="J18" i="1"/>
  <c r="L18" i="1" s="1"/>
  <c r="J29" i="1"/>
  <c r="L29" i="1" s="1"/>
  <c r="J30" i="1"/>
  <c r="L30" i="1" s="1"/>
  <c r="J36" i="1"/>
  <c r="L36" i="1" s="1"/>
  <c r="J23" i="1"/>
  <c r="L23" i="1" s="1"/>
  <c r="B17" i="1"/>
  <c r="B18" i="1" s="1"/>
  <c r="M26" i="1" l="1"/>
  <c r="N26" i="1" s="1"/>
  <c r="O26" i="1"/>
  <c r="P26" i="1" s="1"/>
  <c r="M30" i="1"/>
  <c r="N30" i="1" s="1"/>
  <c r="O30" i="1"/>
  <c r="P30" i="1" s="1"/>
  <c r="O13" i="1"/>
  <c r="P13" i="1" s="1"/>
  <c r="M13" i="1"/>
  <c r="N13" i="1" s="1"/>
  <c r="O15" i="1"/>
  <c r="P15" i="1" s="1"/>
  <c r="M15" i="1"/>
  <c r="N15" i="1" s="1"/>
  <c r="M10" i="1"/>
  <c r="N10" i="1" s="1"/>
  <c r="O10" i="1"/>
  <c r="P10" i="1" s="1"/>
  <c r="M8" i="1"/>
  <c r="N8" i="1" s="1"/>
  <c r="O8" i="1"/>
  <c r="P8" i="1" s="1"/>
  <c r="O21" i="1"/>
  <c r="P21" i="1" s="1"/>
  <c r="M21" i="1"/>
  <c r="N21" i="1" s="1"/>
  <c r="O31" i="1"/>
  <c r="P31" i="1" s="1"/>
  <c r="M31" i="1"/>
  <c r="N31" i="1" s="1"/>
  <c r="M37" i="1"/>
  <c r="N37" i="1" s="1"/>
  <c r="O37" i="1"/>
  <c r="P37" i="1" s="1"/>
  <c r="M22" i="1"/>
  <c r="N22" i="1" s="1"/>
  <c r="O22" i="1"/>
  <c r="P22" i="1" s="1"/>
  <c r="O34" i="1"/>
  <c r="P34" i="1" s="1"/>
  <c r="M34" i="1"/>
  <c r="N34" i="1" s="1"/>
  <c r="M17" i="1"/>
  <c r="N17" i="1" s="1"/>
  <c r="O17" i="1"/>
  <c r="P17" i="1" s="1"/>
  <c r="M16" i="1"/>
  <c r="N16" i="1" s="1"/>
  <c r="O16" i="1"/>
  <c r="P16" i="1" s="1"/>
  <c r="O14" i="1"/>
  <c r="P14" i="1" s="1"/>
  <c r="M14" i="1"/>
  <c r="N14" i="1" s="1"/>
  <c r="O35" i="1"/>
  <c r="P35" i="1" s="1"/>
  <c r="M35" i="1"/>
  <c r="N35" i="1" s="1"/>
  <c r="O11" i="1"/>
  <c r="P11" i="1" s="1"/>
  <c r="M11" i="1"/>
  <c r="N11" i="1" s="1"/>
  <c r="O36" i="1"/>
  <c r="P36" i="1" s="1"/>
  <c r="M36" i="1"/>
  <c r="N36" i="1" s="1"/>
  <c r="M29" i="1"/>
  <c r="N29" i="1" s="1"/>
  <c r="O29" i="1"/>
  <c r="P29" i="1" s="1"/>
  <c r="M18" i="1"/>
  <c r="N18" i="1" s="1"/>
  <c r="O18" i="1"/>
  <c r="P18" i="1" s="1"/>
  <c r="M20" i="1"/>
  <c r="N20" i="1" s="1"/>
  <c r="O20" i="1"/>
  <c r="P20" i="1" s="1"/>
  <c r="M12" i="1"/>
  <c r="N12" i="1" s="1"/>
  <c r="O12" i="1"/>
  <c r="P12" i="1" s="1"/>
  <c r="O9" i="1"/>
  <c r="P9" i="1" s="1"/>
  <c r="M9" i="1"/>
  <c r="N9" i="1" s="1"/>
  <c r="M28" i="1"/>
  <c r="N28" i="1" s="1"/>
  <c r="O28" i="1"/>
  <c r="P28" i="1" s="1"/>
  <c r="L7" i="1"/>
  <c r="J38" i="1"/>
  <c r="M19" i="1"/>
  <c r="N19" i="1" s="1"/>
  <c r="O19" i="1"/>
  <c r="P19" i="1" s="1"/>
  <c r="O25" i="1"/>
  <c r="P25" i="1" s="1"/>
  <c r="M25" i="1"/>
  <c r="N25" i="1" s="1"/>
  <c r="O33" i="1"/>
  <c r="P33" i="1" s="1"/>
  <c r="M33" i="1"/>
  <c r="N33" i="1" s="1"/>
  <c r="M32" i="1"/>
  <c r="N32" i="1" s="1"/>
  <c r="O32" i="1"/>
  <c r="P32" i="1" s="1"/>
  <c r="O23" i="1"/>
  <c r="P23" i="1" s="1"/>
  <c r="M23" i="1"/>
  <c r="N23" i="1" s="1"/>
  <c r="O24" i="1"/>
  <c r="P24" i="1" s="1"/>
  <c r="M24" i="1"/>
  <c r="N24" i="1" s="1"/>
  <c r="O27" i="1"/>
  <c r="P27" i="1" s="1"/>
  <c r="M27" i="1"/>
  <c r="N27" i="1" s="1"/>
  <c r="E21" i="1"/>
  <c r="M7" i="1" l="1"/>
  <c r="L38" i="1"/>
  <c r="O7" i="1"/>
  <c r="N7" i="1" l="1"/>
  <c r="N38" i="1" s="1"/>
  <c r="E23" i="1" s="1"/>
  <c r="M38" i="1"/>
  <c r="B23" i="1" s="1"/>
  <c r="B25" i="1" s="1"/>
  <c r="P7" i="1"/>
  <c r="P38" i="1" s="1"/>
  <c r="E24" i="1" s="1"/>
  <c r="D24" i="1" s="1"/>
  <c r="O38" i="1"/>
  <c r="B24" i="1" s="1"/>
  <c r="D23" i="1" l="1"/>
  <c r="E33" i="1"/>
</calcChain>
</file>

<file path=xl/sharedStrings.xml><?xml version="1.0" encoding="utf-8"?>
<sst xmlns="http://schemas.openxmlformats.org/spreadsheetml/2006/main" count="73" uniqueCount="50">
  <si>
    <t>City of Pasadena</t>
  </si>
  <si>
    <t>Mid</t>
  </si>
  <si>
    <t>NGI SoCal</t>
  </si>
  <si>
    <t>Date</t>
  </si>
  <si>
    <t>$/MMBtu</t>
  </si>
  <si>
    <t>IFGMR EP San Juan</t>
  </si>
  <si>
    <t>Amount</t>
  </si>
  <si>
    <t>Border</t>
  </si>
  <si>
    <t>Basin</t>
  </si>
  <si>
    <t>Due</t>
  </si>
  <si>
    <t>Pasadena</t>
  </si>
  <si>
    <t>MMBtu</t>
  </si>
  <si>
    <t>$</t>
  </si>
  <si>
    <t>Nomination</t>
  </si>
  <si>
    <t>Net Nomination</t>
  </si>
  <si>
    <t>Usage</t>
  </si>
  <si>
    <t>Net Usage</t>
  </si>
  <si>
    <t xml:space="preserve">Kern River Station Purchases </t>
  </si>
  <si>
    <t>El Paso Capacity Reimbursement</t>
  </si>
  <si>
    <t>Fixed</t>
  </si>
  <si>
    <t>Variable</t>
  </si>
  <si>
    <t>Net Due</t>
  </si>
  <si>
    <t>IFGMR San Juan</t>
  </si>
  <si>
    <t>Spread</t>
  </si>
  <si>
    <t>Less Fuel</t>
  </si>
  <si>
    <t>Less Variable</t>
  </si>
  <si>
    <t>Net Reservation Value</t>
  </si>
  <si>
    <t>Totals</t>
  </si>
  <si>
    <t>Purchases</t>
  </si>
  <si>
    <t>Gas Supply</t>
  </si>
  <si>
    <t>NGI Purchases</t>
  </si>
  <si>
    <t>APEA</t>
  </si>
  <si>
    <t>Sales</t>
  </si>
  <si>
    <t>Fixed Price Purchases</t>
  </si>
  <si>
    <t>Indexed Price Purchases</t>
  </si>
  <si>
    <t>Total Purchases</t>
  </si>
  <si>
    <t>to EPMI</t>
  </si>
  <si>
    <t>from EPMI</t>
  </si>
  <si>
    <t xml:space="preserve">Pasadena </t>
  </si>
  <si>
    <t>Imbalance</t>
  </si>
  <si>
    <t>Net Nom</t>
  </si>
  <si>
    <t>Gas Daily</t>
  </si>
  <si>
    <t>SoCal</t>
  </si>
  <si>
    <t>Gas Daily Purchases from Enron</t>
  </si>
  <si>
    <t>Gas Daily Sales to Enron</t>
  </si>
  <si>
    <t>APEA Nomination</t>
  </si>
  <si>
    <t>Less APEA Usage</t>
  </si>
  <si>
    <t>Oct 2000 Invoice</t>
  </si>
  <si>
    <t>Fixed Price Nomination</t>
  </si>
  <si>
    <t>(this corresponds to the fixed price purchase)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</si>
</sst>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000"/>
    <numFmt numFmtId="165" formatCode="_(* #,##0.0_);_(* \(#,##0.0\);_(* &quot;-&quot;??_);_(@_)"/>
    <numFmt numFmtId="167" formatCode="0.000"/>
    <numFmt numFmtId="168" formatCode="_(* #,##0.0_);_(* \(#,##0.0\);_(* &quot;-&quot;?_);_(@_)"/>
    <numFmt numFmtId="170" formatCode="_(* #,##0.0000_);_(* \(#,##0.0000\);_(* &quot;-&quot;??_);_(@_)"/>
    <numFmt numFmtId="173" formatCode="_(* #,##0_);_(* \(#,##0\);_(* &quot;-&quot;??_);_(@_)"/>
    <numFmt numFmtId="177" formatCode="#,##0.0_);[Red]\(#,##0.0\)"/>
  </numFmts>
  <fonts count="7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5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165" fontId="2" fillId="0" borderId="0" xfId="1" applyNumberFormat="1" applyBorder="1"/>
    <xf numFmtId="164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0" fontId="3" fillId="0" borderId="0" xfId="0" applyFont="1"/>
    <xf numFmtId="0" fontId="3" fillId="0" borderId="0" xfId="0" applyFont="1" applyAlignment="1">
      <alignment horizontal="center"/>
    </xf>
    <xf numFmtId="170" fontId="1" fillId="0" borderId="0" xfId="1" applyNumberFormat="1" applyFont="1"/>
    <xf numFmtId="165" fontId="2" fillId="0" borderId="0" xfId="1" applyNumberFormat="1"/>
    <xf numFmtId="0" fontId="1" fillId="0" borderId="0" xfId="0" applyFont="1" applyAlignment="1">
      <alignment horizontal="center"/>
    </xf>
    <xf numFmtId="165" fontId="4" fillId="0" borderId="0" xfId="1" applyNumberFormat="1" applyFont="1"/>
    <xf numFmtId="165" fontId="4" fillId="0" borderId="1" xfId="1" applyNumberFormat="1" applyFont="1" applyBorder="1"/>
    <xf numFmtId="165" fontId="4" fillId="0" borderId="0" xfId="1" applyNumberFormat="1" applyFont="1" applyBorder="1"/>
    <xf numFmtId="43" fontId="0" fillId="0" borderId="0" xfId="0" applyNumberFormat="1"/>
    <xf numFmtId="170" fontId="0" fillId="0" borderId="0" xfId="0" applyNumberFormat="1"/>
    <xf numFmtId="165" fontId="3" fillId="0" borderId="0" xfId="1" applyNumberFormat="1" applyFont="1" applyAlignment="1">
      <alignment horizontal="center"/>
    </xf>
    <xf numFmtId="170" fontId="2" fillId="0" borderId="0" xfId="1" applyNumberFormat="1"/>
    <xf numFmtId="170" fontId="2" fillId="0" borderId="1" xfId="1" applyNumberFormat="1" applyBorder="1"/>
    <xf numFmtId="170" fontId="2" fillId="0" borderId="0" xfId="1" applyNumberFormat="1" applyBorder="1"/>
    <xf numFmtId="164" fontId="0" fillId="0" borderId="0" xfId="0" applyNumberFormat="1"/>
    <xf numFmtId="0" fontId="3" fillId="0" borderId="0" xfId="0" applyFont="1" applyBorder="1"/>
    <xf numFmtId="170" fontId="0" fillId="0" borderId="0" xfId="0" applyNumberFormat="1" applyBorder="1"/>
    <xf numFmtId="173" fontId="0" fillId="0" borderId="0" xfId="0" applyNumberFormat="1" applyBorder="1"/>
    <xf numFmtId="0" fontId="4" fillId="0" borderId="0" xfId="0" applyFont="1" applyBorder="1"/>
    <xf numFmtId="165" fontId="2" fillId="0" borderId="0" xfId="1" applyNumberFormat="1" applyFont="1" applyBorder="1"/>
    <xf numFmtId="3" fontId="0" fillId="0" borderId="0" xfId="0" applyNumberForma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43" fontId="0" fillId="0" borderId="0" xfId="1" applyFont="1"/>
    <xf numFmtId="43" fontId="0" fillId="0" borderId="0" xfId="1" applyFont="1" applyBorder="1"/>
    <xf numFmtId="43" fontId="1" fillId="0" borderId="0" xfId="1" applyFont="1" applyAlignment="1">
      <alignment horizontal="center"/>
    </xf>
    <xf numFmtId="43" fontId="4" fillId="0" borderId="0" xfId="1" applyFont="1"/>
    <xf numFmtId="43" fontId="4" fillId="0" borderId="1" xfId="1" applyFont="1" applyBorder="1"/>
    <xf numFmtId="43" fontId="3" fillId="0" borderId="0" xfId="1" applyFont="1"/>
    <xf numFmtId="43" fontId="0" fillId="0" borderId="0" xfId="1" applyFont="1" applyAlignment="1">
      <alignment horizontal="center"/>
    </xf>
    <xf numFmtId="165" fontId="3" fillId="0" borderId="0" xfId="1" applyNumberFormat="1" applyFont="1"/>
    <xf numFmtId="165" fontId="3" fillId="0" borderId="0" xfId="1" applyNumberFormat="1" applyFont="1" applyBorder="1"/>
    <xf numFmtId="16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173" fontId="0" fillId="0" borderId="0" xfId="1" applyNumberFormat="1" applyFont="1"/>
    <xf numFmtId="38" fontId="5" fillId="0" borderId="0" xfId="0" applyNumberFormat="1" applyFont="1" applyFill="1" applyBorder="1" applyAlignment="1"/>
    <xf numFmtId="43" fontId="0" fillId="0" borderId="0" xfId="1" quotePrefix="1" applyFont="1"/>
    <xf numFmtId="165" fontId="0" fillId="0" borderId="1" xfId="0" applyNumberFormat="1" applyBorder="1"/>
    <xf numFmtId="38" fontId="5" fillId="0" borderId="1" xfId="0" applyNumberFormat="1" applyFont="1" applyFill="1" applyBorder="1" applyAlignment="1"/>
    <xf numFmtId="173" fontId="0" fillId="0" borderId="0" xfId="0" applyNumberFormat="1"/>
    <xf numFmtId="168" fontId="0" fillId="0" borderId="0" xfId="0" applyNumberFormat="1"/>
    <xf numFmtId="43" fontId="0" fillId="0" borderId="0" xfId="0" applyNumberFormat="1" applyBorder="1"/>
    <xf numFmtId="165" fontId="6" fillId="0" borderId="0" xfId="1" quotePrefix="1" applyNumberFormat="1" applyFont="1" applyFill="1" applyBorder="1" applyAlignment="1"/>
    <xf numFmtId="177" fontId="5" fillId="0" borderId="0" xfId="0" applyNumberFormat="1" applyFont="1" applyFill="1" applyBorder="1" applyAlignment="1"/>
    <xf numFmtId="43" fontId="0" fillId="0" borderId="1" xfId="1" quotePrefix="1" applyFont="1" applyBorder="1"/>
    <xf numFmtId="165" fontId="6" fillId="0" borderId="1" xfId="1" quotePrefix="1" applyNumberFormat="1" applyFont="1" applyFill="1" applyBorder="1" applyAlignment="1"/>
    <xf numFmtId="165" fontId="5" fillId="0" borderId="0" xfId="1" applyNumberFormat="1" applyFont="1" applyFill="1" applyBorder="1" applyAlignment="1">
      <alignment horizontal="center"/>
    </xf>
    <xf numFmtId="177" fontId="5" fillId="0" borderId="1" xfId="0" applyNumberFormat="1" applyFont="1" applyFill="1" applyBorder="1" applyAlignment="1"/>
    <xf numFmtId="43" fontId="6" fillId="0" borderId="0" xfId="1" quotePrefix="1" applyNumberFormat="1" applyFont="1" applyFill="1" applyBorder="1" applyAlignment="1"/>
    <xf numFmtId="43" fontId="6" fillId="0" borderId="1" xfId="1" quotePrefix="1" applyNumberFormat="1" applyFont="1" applyFill="1" applyBorder="1" applyAlignment="1"/>
    <xf numFmtId="38" fontId="5" fillId="0" borderId="0" xfId="0" applyNumberFormat="1" applyFont="1" applyFill="1" applyBorder="1" applyAlignment="1">
      <alignment horizontal="center"/>
    </xf>
    <xf numFmtId="173" fontId="0" fillId="0" borderId="1" xfId="1" applyNumberFormat="1" applyFont="1" applyBorder="1"/>
    <xf numFmtId="38" fontId="5" fillId="0" borderId="1" xfId="0" applyNumberFormat="1" applyFont="1" applyFill="1" applyBorder="1" applyAlignment="1">
      <alignment horizontal="center"/>
    </xf>
    <xf numFmtId="167" fontId="0" fillId="0" borderId="1" xfId="0" applyNumberFormat="1" applyBorder="1"/>
    <xf numFmtId="170" fontId="0" fillId="0" borderId="0" xfId="1" applyNumberFormat="1" applyFont="1"/>
    <xf numFmtId="167" fontId="0" fillId="2" borderId="0" xfId="0" applyNumberFormat="1" applyFill="1" applyBorder="1"/>
    <xf numFmtId="165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6"/>
  <sheetViews>
    <sheetView tabSelected="1" workbookViewId="0">
      <selection activeCell="A13" sqref="A13"/>
    </sheetView>
  </sheetViews>
  <sheetFormatPr defaultRowHeight="12.75" x14ac:dyDescent="0.2"/>
  <cols>
    <col min="1" max="1" width="36.7109375" bestFit="1" customWidth="1"/>
    <col min="2" max="2" width="11.85546875" bestFit="1" customWidth="1"/>
    <col min="3" max="3" width="12.7109375" customWidth="1"/>
    <col min="4" max="4" width="11.140625" customWidth="1"/>
    <col min="5" max="5" width="13.85546875" style="32" customWidth="1"/>
    <col min="8" max="8" width="9.28515625" bestFit="1" customWidth="1"/>
    <col min="9" max="9" width="11.5703125" bestFit="1" customWidth="1"/>
    <col min="10" max="10" width="10.5703125" bestFit="1" customWidth="1"/>
    <col min="11" max="11" width="10.5703125" customWidth="1"/>
    <col min="12" max="12" width="11" customWidth="1"/>
    <col min="13" max="13" width="11.28515625" bestFit="1" customWidth="1"/>
    <col min="14" max="14" width="11.28515625" customWidth="1"/>
    <col min="15" max="15" width="12.140625" customWidth="1"/>
    <col min="16" max="16" width="13.28515625" customWidth="1"/>
  </cols>
  <sheetData>
    <row r="1" spans="1:16" x14ac:dyDescent="0.2">
      <c r="A1" s="1" t="s">
        <v>0</v>
      </c>
      <c r="C1" s="2"/>
      <c r="D1" s="3"/>
      <c r="E1" s="33"/>
      <c r="F1" s="5"/>
      <c r="G1" s="6"/>
    </row>
    <row r="2" spans="1:16" x14ac:dyDescent="0.2">
      <c r="A2" s="1" t="s">
        <v>47</v>
      </c>
      <c r="G2" s="6"/>
      <c r="O2" s="7"/>
      <c r="P2" s="7"/>
    </row>
    <row r="3" spans="1:16" x14ac:dyDescent="0.2">
      <c r="A3" s="1"/>
      <c r="G3" s="6"/>
      <c r="M3" s="7" t="s">
        <v>41</v>
      </c>
      <c r="N3" s="7" t="s">
        <v>41</v>
      </c>
      <c r="O3" s="7" t="s">
        <v>41</v>
      </c>
      <c r="P3" s="7" t="s">
        <v>41</v>
      </c>
    </row>
    <row r="4" spans="1:16" x14ac:dyDescent="0.2">
      <c r="A4" s="1"/>
      <c r="G4" s="6"/>
      <c r="H4" s="6" t="s">
        <v>41</v>
      </c>
      <c r="I4" s="7" t="s">
        <v>42</v>
      </c>
      <c r="J4" s="7" t="s">
        <v>10</v>
      </c>
      <c r="L4" s="7" t="s">
        <v>38</v>
      </c>
      <c r="M4" s="7" t="s">
        <v>28</v>
      </c>
      <c r="N4" s="7" t="s">
        <v>28</v>
      </c>
      <c r="O4" s="7" t="s">
        <v>32</v>
      </c>
      <c r="P4" s="7" t="s">
        <v>32</v>
      </c>
    </row>
    <row r="5" spans="1:16" x14ac:dyDescent="0.2">
      <c r="A5" s="1" t="s">
        <v>2</v>
      </c>
      <c r="B5" s="8">
        <v>5.57</v>
      </c>
      <c r="G5" s="6" t="s">
        <v>3</v>
      </c>
      <c r="H5" s="7" t="s">
        <v>1</v>
      </c>
      <c r="I5" s="7" t="s">
        <v>15</v>
      </c>
      <c r="J5" s="7" t="s">
        <v>40</v>
      </c>
      <c r="K5" s="7" t="s">
        <v>31</v>
      </c>
      <c r="L5" s="7" t="s">
        <v>39</v>
      </c>
      <c r="M5" s="7" t="s">
        <v>37</v>
      </c>
      <c r="N5" s="7" t="s">
        <v>37</v>
      </c>
      <c r="O5" s="7" t="s">
        <v>36</v>
      </c>
      <c r="P5" s="7" t="s">
        <v>36</v>
      </c>
    </row>
    <row r="6" spans="1:16" x14ac:dyDescent="0.2">
      <c r="A6" s="1" t="s">
        <v>5</v>
      </c>
      <c r="B6" s="8">
        <v>4.53</v>
      </c>
      <c r="C6" s="9"/>
      <c r="H6" s="6" t="s">
        <v>4</v>
      </c>
      <c r="I6" s="7" t="s">
        <v>11</v>
      </c>
      <c r="J6" s="7" t="s">
        <v>11</v>
      </c>
      <c r="K6" s="7" t="s">
        <v>11</v>
      </c>
      <c r="L6" s="7" t="s">
        <v>11</v>
      </c>
      <c r="M6" s="7" t="s">
        <v>11</v>
      </c>
      <c r="N6" s="7" t="s">
        <v>12</v>
      </c>
      <c r="O6" s="7" t="s">
        <v>11</v>
      </c>
      <c r="P6" s="7" t="s">
        <v>12</v>
      </c>
    </row>
    <row r="7" spans="1:16" x14ac:dyDescent="0.2">
      <c r="A7" s="1"/>
      <c r="B7" s="8"/>
      <c r="C7" s="9"/>
      <c r="G7" s="41">
        <v>36800</v>
      </c>
      <c r="H7" s="65">
        <v>5.6950000000000003</v>
      </c>
      <c r="I7" s="60">
        <v>6233</v>
      </c>
      <c r="J7" s="44">
        <f>$B$14/31</f>
        <v>5806.4516129032254</v>
      </c>
      <c r="K7" s="45">
        <v>3000</v>
      </c>
      <c r="L7" s="53">
        <f t="shared" ref="L7:L37" si="0">I7-K7-J7</f>
        <v>-2573.4516129032254</v>
      </c>
      <c r="M7" s="52">
        <f t="shared" ref="M7:M37" si="1">IF(L7&gt;0,L7,0)</f>
        <v>0</v>
      </c>
      <c r="N7" s="58">
        <f t="shared" ref="N7:N37" si="2">M7*H7</f>
        <v>0</v>
      </c>
      <c r="O7" s="52">
        <f t="shared" ref="O7:O37" si="3">IF(L7&gt;0,0,L7)</f>
        <v>-2573.4516129032254</v>
      </c>
      <c r="P7" s="46">
        <f t="shared" ref="P7:P37" si="4">O7*H7</f>
        <v>-14655.80693548387</v>
      </c>
    </row>
    <row r="8" spans="1:16" x14ac:dyDescent="0.2">
      <c r="B8" s="9"/>
      <c r="C8" s="9"/>
      <c r="E8" s="34" t="s">
        <v>6</v>
      </c>
      <c r="G8" s="41">
        <v>36801</v>
      </c>
      <c r="H8" s="65">
        <v>5.6950000000000003</v>
      </c>
      <c r="I8" s="60">
        <v>12132</v>
      </c>
      <c r="J8" s="44">
        <f t="shared" ref="J8:J37" si="5">$B$14/31</f>
        <v>5806.4516129032254</v>
      </c>
      <c r="K8" s="45">
        <v>3000</v>
      </c>
      <c r="L8" s="53">
        <f t="shared" si="0"/>
        <v>3325.5483870967746</v>
      </c>
      <c r="M8" s="52">
        <f t="shared" si="1"/>
        <v>3325.5483870967746</v>
      </c>
      <c r="N8" s="58">
        <f t="shared" si="2"/>
        <v>18938.998064516134</v>
      </c>
      <c r="O8" s="52">
        <f t="shared" si="3"/>
        <v>0</v>
      </c>
      <c r="P8" s="46">
        <f t="shared" si="4"/>
        <v>0</v>
      </c>
    </row>
    <row r="9" spans="1:16" x14ac:dyDescent="0.2">
      <c r="B9" s="10" t="s">
        <v>7</v>
      </c>
      <c r="C9" s="10" t="s">
        <v>8</v>
      </c>
      <c r="E9" s="34" t="s">
        <v>9</v>
      </c>
      <c r="G9" s="41">
        <v>36802</v>
      </c>
      <c r="H9" s="65">
        <v>5.9749999999999996</v>
      </c>
      <c r="I9" s="60">
        <v>9809</v>
      </c>
      <c r="J9" s="44">
        <f t="shared" si="5"/>
        <v>5806.4516129032254</v>
      </c>
      <c r="K9" s="45">
        <v>3000</v>
      </c>
      <c r="L9" s="53">
        <f t="shared" si="0"/>
        <v>1002.5483870967746</v>
      </c>
      <c r="M9" s="52">
        <f t="shared" si="1"/>
        <v>1002.5483870967746</v>
      </c>
      <c r="N9" s="58">
        <f t="shared" si="2"/>
        <v>5990.2266129032278</v>
      </c>
      <c r="O9" s="52">
        <f t="shared" si="3"/>
        <v>0</v>
      </c>
      <c r="P9" s="46">
        <f t="shared" si="4"/>
        <v>0</v>
      </c>
    </row>
    <row r="10" spans="1:16" x14ac:dyDescent="0.2">
      <c r="A10" s="1" t="s">
        <v>10</v>
      </c>
      <c r="B10" s="10" t="s">
        <v>11</v>
      </c>
      <c r="C10" s="10" t="s">
        <v>11</v>
      </c>
      <c r="D10" s="10" t="s">
        <v>4</v>
      </c>
      <c r="E10" s="34" t="s">
        <v>12</v>
      </c>
      <c r="G10" s="41">
        <v>36803</v>
      </c>
      <c r="H10" s="65">
        <v>6.01</v>
      </c>
      <c r="I10" s="60">
        <v>4722</v>
      </c>
      <c r="J10" s="44">
        <f t="shared" si="5"/>
        <v>5806.4516129032254</v>
      </c>
      <c r="K10" s="45">
        <v>3000</v>
      </c>
      <c r="L10" s="53">
        <f t="shared" si="0"/>
        <v>-4084.4516129032254</v>
      </c>
      <c r="M10" s="52">
        <f t="shared" si="1"/>
        <v>0</v>
      </c>
      <c r="N10" s="58">
        <f t="shared" si="2"/>
        <v>0</v>
      </c>
      <c r="O10" s="52">
        <f t="shared" si="3"/>
        <v>-4084.4516129032254</v>
      </c>
      <c r="P10" s="46">
        <f t="shared" si="4"/>
        <v>-24547.554193548385</v>
      </c>
    </row>
    <row r="11" spans="1:16" x14ac:dyDescent="0.2">
      <c r="A11" t="s">
        <v>13</v>
      </c>
      <c r="B11" s="39">
        <f>8000*31</f>
        <v>248000</v>
      </c>
      <c r="C11" s="9"/>
      <c r="D11" s="9"/>
      <c r="E11" s="9"/>
      <c r="F11" s="9"/>
      <c r="G11" s="41">
        <v>36804</v>
      </c>
      <c r="H11" s="65">
        <v>6.02</v>
      </c>
      <c r="I11" s="60">
        <v>8490</v>
      </c>
      <c r="J11" s="44">
        <f t="shared" si="5"/>
        <v>5806.4516129032254</v>
      </c>
      <c r="K11" s="45">
        <v>3000</v>
      </c>
      <c r="L11" s="53">
        <f t="shared" si="0"/>
        <v>-316.4516129032254</v>
      </c>
      <c r="M11" s="52">
        <f t="shared" si="1"/>
        <v>0</v>
      </c>
      <c r="N11" s="58">
        <f t="shared" si="2"/>
        <v>0</v>
      </c>
      <c r="O11" s="52">
        <f t="shared" si="3"/>
        <v>-316.4516129032254</v>
      </c>
      <c r="P11" s="46">
        <f t="shared" si="4"/>
        <v>-1905.0387096774168</v>
      </c>
    </row>
    <row r="12" spans="1:16" x14ac:dyDescent="0.2">
      <c r="A12" t="s">
        <v>48</v>
      </c>
      <c r="B12" s="11">
        <v>25000</v>
      </c>
      <c r="C12" s="66" t="s">
        <v>49</v>
      </c>
      <c r="D12" s="9"/>
      <c r="E12" s="9"/>
      <c r="F12" s="9"/>
      <c r="G12" s="41">
        <v>36805</v>
      </c>
      <c r="H12" s="65">
        <v>6</v>
      </c>
      <c r="I12" s="60">
        <v>6789</v>
      </c>
      <c r="J12" s="44">
        <f t="shared" si="5"/>
        <v>5806.4516129032254</v>
      </c>
      <c r="K12" s="45">
        <v>3000</v>
      </c>
      <c r="L12" s="53">
        <f t="shared" si="0"/>
        <v>-2017.4516129032254</v>
      </c>
      <c r="M12" s="52">
        <f t="shared" si="1"/>
        <v>0</v>
      </c>
      <c r="N12" s="58">
        <f t="shared" si="2"/>
        <v>0</v>
      </c>
      <c r="O12" s="52">
        <f t="shared" si="3"/>
        <v>-2017.4516129032254</v>
      </c>
      <c r="P12" s="46">
        <f t="shared" si="4"/>
        <v>-12104.709677419352</v>
      </c>
    </row>
    <row r="13" spans="1:16" x14ac:dyDescent="0.2">
      <c r="A13" t="s">
        <v>45</v>
      </c>
      <c r="B13" s="12">
        <f>3000*31</f>
        <v>93000</v>
      </c>
      <c r="C13" s="9"/>
      <c r="D13" s="9"/>
      <c r="E13" s="9"/>
      <c r="F13" s="9"/>
      <c r="G13" s="41">
        <v>36806</v>
      </c>
      <c r="H13" s="65">
        <v>5.7649999999999997</v>
      </c>
      <c r="I13" s="60">
        <v>5373</v>
      </c>
      <c r="J13" s="44">
        <f t="shared" si="5"/>
        <v>5806.4516129032254</v>
      </c>
      <c r="K13" s="45">
        <v>3000</v>
      </c>
      <c r="L13" s="53">
        <f t="shared" si="0"/>
        <v>-3433.4516129032254</v>
      </c>
      <c r="M13" s="52">
        <f t="shared" si="1"/>
        <v>0</v>
      </c>
      <c r="N13" s="58">
        <f t="shared" si="2"/>
        <v>0</v>
      </c>
      <c r="O13" s="52">
        <f t="shared" si="3"/>
        <v>-3433.4516129032254</v>
      </c>
      <c r="P13" s="46">
        <f t="shared" si="4"/>
        <v>-19793.848548387094</v>
      </c>
    </row>
    <row r="14" spans="1:16" x14ac:dyDescent="0.2">
      <c r="A14" t="s">
        <v>14</v>
      </c>
      <c r="B14" s="11">
        <f>+B11+B12-B13</f>
        <v>180000</v>
      </c>
      <c r="C14" s="9"/>
      <c r="D14" s="9"/>
      <c r="E14" s="9"/>
      <c r="F14" s="9"/>
      <c r="G14" s="41">
        <v>36807</v>
      </c>
      <c r="H14" s="65">
        <v>5.7649999999999997</v>
      </c>
      <c r="I14" s="60">
        <v>7890</v>
      </c>
      <c r="J14" s="44">
        <f t="shared" si="5"/>
        <v>5806.4516129032254</v>
      </c>
      <c r="K14" s="45">
        <v>3000</v>
      </c>
      <c r="L14" s="53">
        <f t="shared" si="0"/>
        <v>-916.4516129032254</v>
      </c>
      <c r="M14" s="52">
        <f t="shared" si="1"/>
        <v>0</v>
      </c>
      <c r="N14" s="58">
        <f t="shared" si="2"/>
        <v>0</v>
      </c>
      <c r="O14" s="52">
        <f t="shared" si="3"/>
        <v>-916.4516129032254</v>
      </c>
      <c r="P14" s="46">
        <f t="shared" si="4"/>
        <v>-5283.3435483870944</v>
      </c>
    </row>
    <row r="15" spans="1:16" x14ac:dyDescent="0.2">
      <c r="B15" s="13"/>
      <c r="C15" s="9"/>
      <c r="D15" s="9"/>
      <c r="E15" s="9"/>
      <c r="F15" s="9"/>
      <c r="G15" s="41">
        <v>36808</v>
      </c>
      <c r="H15" s="65">
        <v>5.7649999999999997</v>
      </c>
      <c r="I15" s="60">
        <v>9476</v>
      </c>
      <c r="J15" s="44">
        <f t="shared" si="5"/>
        <v>5806.4516129032254</v>
      </c>
      <c r="K15" s="45">
        <v>3000</v>
      </c>
      <c r="L15" s="53">
        <f t="shared" si="0"/>
        <v>669.5483870967746</v>
      </c>
      <c r="M15" s="52">
        <f t="shared" si="1"/>
        <v>669.5483870967746</v>
      </c>
      <c r="N15" s="58">
        <f t="shared" si="2"/>
        <v>3859.9464516129055</v>
      </c>
      <c r="O15" s="52">
        <f t="shared" si="3"/>
        <v>0</v>
      </c>
      <c r="P15" s="46">
        <f t="shared" si="4"/>
        <v>0</v>
      </c>
    </row>
    <row r="16" spans="1:16" x14ac:dyDescent="0.2">
      <c r="A16" t="s">
        <v>15</v>
      </c>
      <c r="B16" s="40">
        <f>I38</f>
        <v>222353</v>
      </c>
      <c r="C16" s="9"/>
      <c r="D16" s="9"/>
      <c r="E16" s="9"/>
      <c r="F16" s="9"/>
      <c r="G16" s="41">
        <v>36809</v>
      </c>
      <c r="H16" s="65">
        <v>5.8049999999999997</v>
      </c>
      <c r="I16" s="60">
        <v>5582</v>
      </c>
      <c r="J16" s="44">
        <f t="shared" si="5"/>
        <v>5806.4516129032254</v>
      </c>
      <c r="K16" s="45">
        <v>3000</v>
      </c>
      <c r="L16" s="53">
        <f t="shared" si="0"/>
        <v>-3224.4516129032254</v>
      </c>
      <c r="M16" s="52">
        <f t="shared" si="1"/>
        <v>0</v>
      </c>
      <c r="N16" s="58">
        <f t="shared" si="2"/>
        <v>0</v>
      </c>
      <c r="O16" s="52">
        <f t="shared" si="3"/>
        <v>-3224.4516129032254</v>
      </c>
      <c r="P16" s="46">
        <f t="shared" si="4"/>
        <v>-18717.941612903222</v>
      </c>
    </row>
    <row r="17" spans="1:16" x14ac:dyDescent="0.2">
      <c r="A17" t="s">
        <v>46</v>
      </c>
      <c r="B17" s="12">
        <f>B13</f>
        <v>93000</v>
      </c>
      <c r="C17" s="9"/>
      <c r="D17" s="9"/>
      <c r="E17" s="9"/>
      <c r="F17" s="9"/>
      <c r="G17" s="41">
        <v>36810</v>
      </c>
      <c r="H17" s="65">
        <v>5.75</v>
      </c>
      <c r="I17" s="60">
        <v>6241</v>
      </c>
      <c r="J17" s="44">
        <f t="shared" si="5"/>
        <v>5806.4516129032254</v>
      </c>
      <c r="K17" s="45">
        <v>3000</v>
      </c>
      <c r="L17" s="53">
        <f t="shared" si="0"/>
        <v>-2565.4516129032254</v>
      </c>
      <c r="M17" s="52">
        <f t="shared" si="1"/>
        <v>0</v>
      </c>
      <c r="N17" s="58">
        <f t="shared" si="2"/>
        <v>0</v>
      </c>
      <c r="O17" s="52">
        <f t="shared" si="3"/>
        <v>-2565.4516129032254</v>
      </c>
      <c r="P17" s="46">
        <f t="shared" si="4"/>
        <v>-14751.346774193546</v>
      </c>
    </row>
    <row r="18" spans="1:16" x14ac:dyDescent="0.2">
      <c r="A18" t="s">
        <v>16</v>
      </c>
      <c r="B18" s="13">
        <f>B16-B17</f>
        <v>129353</v>
      </c>
      <c r="C18" s="9"/>
      <c r="D18" s="9"/>
      <c r="E18" s="9"/>
      <c r="F18" s="9"/>
      <c r="G18" s="41">
        <v>36811</v>
      </c>
      <c r="H18" s="65">
        <v>5.63</v>
      </c>
      <c r="I18" s="60">
        <v>6042</v>
      </c>
      <c r="J18" s="44">
        <f t="shared" si="5"/>
        <v>5806.4516129032254</v>
      </c>
      <c r="K18" s="45">
        <v>3000</v>
      </c>
      <c r="L18" s="53">
        <f t="shared" si="0"/>
        <v>-2764.4516129032254</v>
      </c>
      <c r="M18" s="52">
        <f t="shared" si="1"/>
        <v>0</v>
      </c>
      <c r="N18" s="58">
        <f t="shared" si="2"/>
        <v>0</v>
      </c>
      <c r="O18" s="52">
        <f t="shared" si="3"/>
        <v>-2764.4516129032254</v>
      </c>
      <c r="P18" s="46">
        <f t="shared" si="4"/>
        <v>-15563.862580645158</v>
      </c>
    </row>
    <row r="19" spans="1:16" x14ac:dyDescent="0.2">
      <c r="B19" s="13"/>
      <c r="C19" s="9"/>
      <c r="D19" s="9"/>
      <c r="E19" s="9"/>
      <c r="F19" s="9"/>
      <c r="G19" s="41">
        <v>36812</v>
      </c>
      <c r="H19" s="65">
        <v>5.8150000000000004</v>
      </c>
      <c r="I19" s="60">
        <v>9988</v>
      </c>
      <c r="J19" s="44">
        <f t="shared" si="5"/>
        <v>5806.4516129032254</v>
      </c>
      <c r="K19" s="45">
        <v>3000</v>
      </c>
      <c r="L19" s="53">
        <f t="shared" si="0"/>
        <v>1181.5483870967746</v>
      </c>
      <c r="M19" s="52">
        <f t="shared" si="1"/>
        <v>1181.5483870967746</v>
      </c>
      <c r="N19" s="58">
        <f t="shared" si="2"/>
        <v>6870.7038709677445</v>
      </c>
      <c r="O19" s="52">
        <f t="shared" si="3"/>
        <v>0</v>
      </c>
      <c r="P19" s="46">
        <f t="shared" si="4"/>
        <v>0</v>
      </c>
    </row>
    <row r="20" spans="1:16" x14ac:dyDescent="0.2">
      <c r="A20" s="6" t="s">
        <v>29</v>
      </c>
      <c r="B20" s="50"/>
      <c r="C20" s="9"/>
      <c r="D20" s="9"/>
      <c r="E20" s="9"/>
      <c r="F20" s="9"/>
      <c r="G20" s="41">
        <v>36813</v>
      </c>
      <c r="H20" s="65">
        <v>5.69</v>
      </c>
      <c r="I20" s="60">
        <v>7793</v>
      </c>
      <c r="J20" s="44">
        <f t="shared" si="5"/>
        <v>5806.4516129032254</v>
      </c>
      <c r="K20" s="45">
        <v>3000</v>
      </c>
      <c r="L20" s="53">
        <f t="shared" si="0"/>
        <v>-1013.4516129032254</v>
      </c>
      <c r="M20" s="52">
        <f t="shared" si="1"/>
        <v>0</v>
      </c>
      <c r="N20" s="58">
        <f t="shared" si="2"/>
        <v>0</v>
      </c>
      <c r="O20" s="52">
        <f t="shared" si="3"/>
        <v>-1013.4516129032254</v>
      </c>
      <c r="P20" s="46">
        <f t="shared" si="4"/>
        <v>-5766.5396774193532</v>
      </c>
    </row>
    <row r="21" spans="1:16" x14ac:dyDescent="0.2">
      <c r="A21" t="s">
        <v>30</v>
      </c>
      <c r="B21" s="43">
        <f>B14-B22</f>
        <v>155000</v>
      </c>
      <c r="D21" s="15">
        <f>B5-0.015</f>
        <v>5.5550000000000006</v>
      </c>
      <c r="E21" s="32">
        <f>D21*B21</f>
        <v>861025.00000000012</v>
      </c>
      <c r="G21" s="41">
        <v>36814</v>
      </c>
      <c r="H21" s="65">
        <v>5.69</v>
      </c>
      <c r="I21" s="60">
        <v>7986</v>
      </c>
      <c r="J21" s="44">
        <f t="shared" si="5"/>
        <v>5806.4516129032254</v>
      </c>
      <c r="K21" s="45">
        <v>3000</v>
      </c>
      <c r="L21" s="53">
        <f t="shared" si="0"/>
        <v>-820.4516129032254</v>
      </c>
      <c r="M21" s="52">
        <f t="shared" si="1"/>
        <v>0</v>
      </c>
      <c r="N21" s="58">
        <f t="shared" si="2"/>
        <v>0</v>
      </c>
      <c r="O21" s="52">
        <f t="shared" si="3"/>
        <v>-820.4516129032254</v>
      </c>
      <c r="P21" s="46">
        <f t="shared" si="4"/>
        <v>-4668.3696774193531</v>
      </c>
    </row>
    <row r="22" spans="1:16" x14ac:dyDescent="0.2">
      <c r="A22" t="s">
        <v>33</v>
      </c>
      <c r="B22" s="43">
        <v>25000</v>
      </c>
      <c r="D22" s="64">
        <v>5.94</v>
      </c>
      <c r="E22" s="32">
        <f>B22*D22</f>
        <v>148500</v>
      </c>
      <c r="G22" s="41">
        <v>36815</v>
      </c>
      <c r="H22" s="65">
        <v>5.69</v>
      </c>
      <c r="I22" s="60">
        <v>10154</v>
      </c>
      <c r="J22" s="44">
        <f t="shared" si="5"/>
        <v>5806.4516129032254</v>
      </c>
      <c r="K22" s="45">
        <v>3000</v>
      </c>
      <c r="L22" s="53">
        <f t="shared" si="0"/>
        <v>1347.5483870967746</v>
      </c>
      <c r="M22" s="52">
        <f t="shared" si="1"/>
        <v>1347.5483870967746</v>
      </c>
      <c r="N22" s="58">
        <f t="shared" si="2"/>
        <v>7667.5503225806478</v>
      </c>
      <c r="O22" s="52">
        <f t="shared" si="3"/>
        <v>0</v>
      </c>
      <c r="P22" s="46">
        <f t="shared" si="4"/>
        <v>0</v>
      </c>
    </row>
    <row r="23" spans="1:16" x14ac:dyDescent="0.2">
      <c r="A23" t="s">
        <v>43</v>
      </c>
      <c r="B23" s="42">
        <f>M38</f>
        <v>7526.741935483873</v>
      </c>
      <c r="D23" s="15">
        <f>E23/B23</f>
        <v>5.7564648414899136</v>
      </c>
      <c r="E23" s="32">
        <f>N38</f>
        <v>43327.425322580661</v>
      </c>
      <c r="G23" s="41">
        <v>36816</v>
      </c>
      <c r="H23" s="65">
        <v>5.6849999999999996</v>
      </c>
      <c r="I23" s="60">
        <v>7952</v>
      </c>
      <c r="J23" s="44">
        <f t="shared" si="5"/>
        <v>5806.4516129032254</v>
      </c>
      <c r="K23" s="45">
        <v>3000</v>
      </c>
      <c r="L23" s="53">
        <f t="shared" si="0"/>
        <v>-854.4516129032254</v>
      </c>
      <c r="M23" s="52">
        <f t="shared" si="1"/>
        <v>0</v>
      </c>
      <c r="N23" s="58">
        <f t="shared" si="2"/>
        <v>0</v>
      </c>
      <c r="O23" s="52">
        <f t="shared" si="3"/>
        <v>-854.4516129032254</v>
      </c>
      <c r="P23" s="46">
        <f t="shared" si="4"/>
        <v>-4857.5574193548364</v>
      </c>
    </row>
    <row r="24" spans="1:16" x14ac:dyDescent="0.2">
      <c r="A24" t="s">
        <v>44</v>
      </c>
      <c r="B24" s="47">
        <f>O38</f>
        <v>-58173.741935483893</v>
      </c>
      <c r="D24" s="15">
        <f>E24/B24</f>
        <v>5.512047881041549</v>
      </c>
      <c r="E24" s="32">
        <f>P38</f>
        <v>-320656.4509677419</v>
      </c>
      <c r="G24" s="41">
        <v>36817</v>
      </c>
      <c r="H24" s="65">
        <v>5.6550000000000002</v>
      </c>
      <c r="I24" s="60">
        <v>6104</v>
      </c>
      <c r="J24" s="44">
        <f t="shared" si="5"/>
        <v>5806.4516129032254</v>
      </c>
      <c r="K24" s="45">
        <v>3000</v>
      </c>
      <c r="L24" s="53">
        <f t="shared" si="0"/>
        <v>-2702.4516129032254</v>
      </c>
      <c r="M24" s="52">
        <f t="shared" si="1"/>
        <v>0</v>
      </c>
      <c r="N24" s="58">
        <f t="shared" si="2"/>
        <v>0</v>
      </c>
      <c r="O24" s="52">
        <f t="shared" si="3"/>
        <v>-2702.4516129032254</v>
      </c>
      <c r="P24" s="46">
        <f t="shared" si="4"/>
        <v>-15282.36387096774</v>
      </c>
    </row>
    <row r="25" spans="1:16" x14ac:dyDescent="0.2">
      <c r="B25" s="42">
        <f>SUM(B21:B24)</f>
        <v>129352.99999999999</v>
      </c>
      <c r="C25" s="2"/>
      <c r="F25" s="9"/>
      <c r="G25" s="41">
        <v>36818</v>
      </c>
      <c r="H25" s="65">
        <v>5.7549999999999999</v>
      </c>
      <c r="I25" s="60">
        <v>7761</v>
      </c>
      <c r="J25" s="44">
        <f t="shared" si="5"/>
        <v>5806.4516129032254</v>
      </c>
      <c r="K25" s="45">
        <v>3000</v>
      </c>
      <c r="L25" s="53">
        <f t="shared" si="0"/>
        <v>-1045.4516129032254</v>
      </c>
      <c r="M25" s="52">
        <f t="shared" si="1"/>
        <v>0</v>
      </c>
      <c r="N25" s="58">
        <f t="shared" si="2"/>
        <v>0</v>
      </c>
      <c r="O25" s="52">
        <f t="shared" si="3"/>
        <v>-1045.4516129032254</v>
      </c>
      <c r="P25" s="46">
        <f t="shared" si="4"/>
        <v>-6016.5740322580623</v>
      </c>
    </row>
    <row r="26" spans="1:16" x14ac:dyDescent="0.2">
      <c r="A26" t="s">
        <v>17</v>
      </c>
      <c r="B26" s="40"/>
      <c r="C26" s="9"/>
      <c r="D26" s="20"/>
      <c r="E26" s="33"/>
      <c r="G26" s="41">
        <v>36819</v>
      </c>
      <c r="H26" s="65">
        <v>5.58</v>
      </c>
      <c r="I26" s="60">
        <v>6886</v>
      </c>
      <c r="J26" s="44">
        <f t="shared" si="5"/>
        <v>5806.4516129032254</v>
      </c>
      <c r="K26" s="45">
        <v>3000</v>
      </c>
      <c r="L26" s="53">
        <f t="shared" si="0"/>
        <v>-1920.4516129032254</v>
      </c>
      <c r="M26" s="52">
        <f t="shared" si="1"/>
        <v>0</v>
      </c>
      <c r="N26" s="58">
        <f t="shared" si="2"/>
        <v>0</v>
      </c>
      <c r="O26" s="52">
        <f t="shared" si="3"/>
        <v>-1920.4516129032254</v>
      </c>
      <c r="P26" s="46">
        <f t="shared" si="4"/>
        <v>-10716.119999999997</v>
      </c>
    </row>
    <row r="27" spans="1:16" x14ac:dyDescent="0.2">
      <c r="A27" t="s">
        <v>34</v>
      </c>
      <c r="B27" s="12">
        <v>120448</v>
      </c>
      <c r="C27" s="9"/>
      <c r="D27" s="20">
        <f>B5-0.015</f>
        <v>5.5550000000000006</v>
      </c>
      <c r="E27" s="33">
        <f>-D27*B27</f>
        <v>-669088.64000000013</v>
      </c>
      <c r="G27" s="41">
        <v>36820</v>
      </c>
      <c r="H27" s="65">
        <v>5.4050000000000002</v>
      </c>
      <c r="I27" s="60">
        <v>5460</v>
      </c>
      <c r="J27" s="44">
        <f t="shared" si="5"/>
        <v>5806.4516129032254</v>
      </c>
      <c r="K27" s="45">
        <v>3000</v>
      </c>
      <c r="L27" s="53">
        <f t="shared" si="0"/>
        <v>-3346.4516129032254</v>
      </c>
      <c r="M27" s="52">
        <f t="shared" si="1"/>
        <v>0</v>
      </c>
      <c r="N27" s="58">
        <f t="shared" si="2"/>
        <v>0</v>
      </c>
      <c r="O27" s="52">
        <f t="shared" si="3"/>
        <v>-3346.4516129032254</v>
      </c>
      <c r="P27" s="46">
        <f t="shared" si="4"/>
        <v>-18087.570967741933</v>
      </c>
    </row>
    <row r="28" spans="1:16" x14ac:dyDescent="0.2">
      <c r="A28" t="s">
        <v>35</v>
      </c>
      <c r="B28" s="43">
        <f>B27</f>
        <v>120448</v>
      </c>
      <c r="G28" s="41">
        <v>36821</v>
      </c>
      <c r="H28" s="65">
        <v>5.4050000000000002</v>
      </c>
      <c r="I28" s="60">
        <v>5335</v>
      </c>
      <c r="J28" s="44">
        <f t="shared" si="5"/>
        <v>5806.4516129032254</v>
      </c>
      <c r="K28" s="45">
        <v>3000</v>
      </c>
      <c r="L28" s="53">
        <f t="shared" si="0"/>
        <v>-3471.4516129032254</v>
      </c>
      <c r="M28" s="52">
        <f t="shared" si="1"/>
        <v>0</v>
      </c>
      <c r="N28" s="58">
        <f t="shared" si="2"/>
        <v>0</v>
      </c>
      <c r="O28" s="52">
        <f t="shared" si="3"/>
        <v>-3471.4516129032254</v>
      </c>
      <c r="P28" s="46">
        <f t="shared" si="4"/>
        <v>-18763.195967741933</v>
      </c>
    </row>
    <row r="29" spans="1:16" x14ac:dyDescent="0.2">
      <c r="A29" t="s">
        <v>18</v>
      </c>
      <c r="B29" s="40"/>
      <c r="C29" s="9"/>
      <c r="D29" s="20"/>
      <c r="E29" s="35"/>
      <c r="G29" s="41">
        <v>36822</v>
      </c>
      <c r="H29" s="65">
        <v>5.4050000000000002</v>
      </c>
      <c r="I29" s="60">
        <v>6883</v>
      </c>
      <c r="J29" s="44">
        <f t="shared" si="5"/>
        <v>5806.4516129032254</v>
      </c>
      <c r="K29" s="45">
        <v>3000</v>
      </c>
      <c r="L29" s="53">
        <f t="shared" si="0"/>
        <v>-1923.4516129032254</v>
      </c>
      <c r="M29" s="52">
        <f t="shared" si="1"/>
        <v>0</v>
      </c>
      <c r="N29" s="58">
        <f t="shared" si="2"/>
        <v>0</v>
      </c>
      <c r="O29" s="52">
        <f t="shared" si="3"/>
        <v>-1923.4516129032254</v>
      </c>
      <c r="P29" s="46">
        <f t="shared" si="4"/>
        <v>-10396.255967741934</v>
      </c>
    </row>
    <row r="30" spans="1:16" x14ac:dyDescent="0.2">
      <c r="A30" t="s">
        <v>19</v>
      </c>
      <c r="B30" s="40">
        <v>121647</v>
      </c>
      <c r="C30" s="9"/>
      <c r="D30" s="20">
        <f>B43</f>
        <v>0.82320000000000004</v>
      </c>
      <c r="E30" s="35">
        <f>-B30*D30</f>
        <v>-100139.8104</v>
      </c>
      <c r="G30" s="41">
        <v>36823</v>
      </c>
      <c r="H30" s="65">
        <v>5.375</v>
      </c>
      <c r="I30" s="60">
        <v>7086</v>
      </c>
      <c r="J30" s="44">
        <f t="shared" si="5"/>
        <v>5806.4516129032254</v>
      </c>
      <c r="K30" s="45">
        <v>3000</v>
      </c>
      <c r="L30" s="53">
        <f t="shared" si="0"/>
        <v>-1720.4516129032254</v>
      </c>
      <c r="M30" s="52">
        <f t="shared" si="1"/>
        <v>0</v>
      </c>
      <c r="N30" s="58">
        <f t="shared" si="2"/>
        <v>0</v>
      </c>
      <c r="O30" s="52">
        <f t="shared" si="3"/>
        <v>-1720.4516129032254</v>
      </c>
      <c r="P30" s="46">
        <f t="shared" si="4"/>
        <v>-9247.4274193548372</v>
      </c>
    </row>
    <row r="31" spans="1:16" x14ac:dyDescent="0.2">
      <c r="A31" t="s">
        <v>20</v>
      </c>
      <c r="B31" s="40">
        <f>B30</f>
        <v>121647</v>
      </c>
      <c r="C31" s="9"/>
      <c r="D31" s="20">
        <f>-B42</f>
        <v>2.5999999999999999E-2</v>
      </c>
      <c r="E31" s="35">
        <f>-B31*D31</f>
        <v>-3162.8219999999997</v>
      </c>
      <c r="G31" s="41">
        <v>36824</v>
      </c>
      <c r="H31" s="65">
        <v>5.3449999999999998</v>
      </c>
      <c r="I31" s="60">
        <v>6798</v>
      </c>
      <c r="J31" s="44">
        <f t="shared" si="5"/>
        <v>5806.4516129032254</v>
      </c>
      <c r="K31" s="45">
        <v>3000</v>
      </c>
      <c r="L31" s="53">
        <f t="shared" si="0"/>
        <v>-2008.4516129032254</v>
      </c>
      <c r="M31" s="52">
        <f t="shared" si="1"/>
        <v>0</v>
      </c>
      <c r="N31" s="58">
        <f t="shared" si="2"/>
        <v>0</v>
      </c>
      <c r="O31" s="52">
        <f t="shared" si="3"/>
        <v>-2008.4516129032254</v>
      </c>
      <c r="P31" s="46">
        <f t="shared" si="4"/>
        <v>-10735.173870967739</v>
      </c>
    </row>
    <row r="32" spans="1:16" x14ac:dyDescent="0.2">
      <c r="B32" s="2"/>
      <c r="C32" s="9"/>
      <c r="D32" s="15"/>
      <c r="E32" s="36"/>
      <c r="G32" s="41">
        <v>36825</v>
      </c>
      <c r="H32" s="65">
        <v>5.22</v>
      </c>
      <c r="I32" s="60">
        <v>5473</v>
      </c>
      <c r="J32" s="44">
        <f t="shared" si="5"/>
        <v>5806.4516129032254</v>
      </c>
      <c r="K32" s="45">
        <v>3000</v>
      </c>
      <c r="L32" s="53">
        <f t="shared" si="0"/>
        <v>-3333.4516129032254</v>
      </c>
      <c r="M32" s="52">
        <f t="shared" si="1"/>
        <v>0</v>
      </c>
      <c r="N32" s="58">
        <f t="shared" si="2"/>
        <v>0</v>
      </c>
      <c r="O32" s="52">
        <f t="shared" si="3"/>
        <v>-3333.4516129032254</v>
      </c>
      <c r="P32" s="46">
        <f t="shared" si="4"/>
        <v>-17400.617419354836</v>
      </c>
    </row>
    <row r="33" spans="1:16" x14ac:dyDescent="0.2">
      <c r="A33" s="6" t="s">
        <v>21</v>
      </c>
      <c r="B33" s="2"/>
      <c r="C33" s="9"/>
      <c r="D33" s="15"/>
      <c r="E33" s="37">
        <f>SUM(E21:E31)</f>
        <v>-40195.29804516118</v>
      </c>
      <c r="G33" s="41">
        <v>36826</v>
      </c>
      <c r="H33" s="65">
        <v>5.2050000000000001</v>
      </c>
      <c r="I33" s="60">
        <v>7023</v>
      </c>
      <c r="J33" s="44">
        <f t="shared" si="5"/>
        <v>5806.4516129032254</v>
      </c>
      <c r="K33" s="45">
        <v>3000</v>
      </c>
      <c r="L33" s="53">
        <f t="shared" si="0"/>
        <v>-1783.4516129032254</v>
      </c>
      <c r="M33" s="52">
        <f t="shared" si="1"/>
        <v>0</v>
      </c>
      <c r="N33" s="58">
        <f t="shared" si="2"/>
        <v>0</v>
      </c>
      <c r="O33" s="52">
        <f t="shared" si="3"/>
        <v>-1783.4516129032254</v>
      </c>
      <c r="P33" s="46">
        <f t="shared" si="4"/>
        <v>-9282.8656451612878</v>
      </c>
    </row>
    <row r="34" spans="1:16" x14ac:dyDescent="0.2">
      <c r="B34" s="2"/>
      <c r="C34" s="9"/>
      <c r="E34" s="35"/>
      <c r="G34" s="41">
        <v>36827</v>
      </c>
      <c r="H34" s="65">
        <v>4.9749999999999996</v>
      </c>
      <c r="I34" s="60">
        <v>6559</v>
      </c>
      <c r="J34" s="44">
        <f t="shared" si="5"/>
        <v>5806.4516129032254</v>
      </c>
      <c r="K34" s="45">
        <v>3000</v>
      </c>
      <c r="L34" s="53">
        <f t="shared" si="0"/>
        <v>-2247.4516129032254</v>
      </c>
      <c r="M34" s="52">
        <f t="shared" si="1"/>
        <v>0</v>
      </c>
      <c r="N34" s="58">
        <f t="shared" si="2"/>
        <v>0</v>
      </c>
      <c r="O34" s="52">
        <f t="shared" si="3"/>
        <v>-2247.4516129032254</v>
      </c>
      <c r="P34" s="46">
        <f t="shared" si="4"/>
        <v>-11181.071774193546</v>
      </c>
    </row>
    <row r="35" spans="1:16" x14ac:dyDescent="0.2">
      <c r="A35" s="6" t="s">
        <v>18</v>
      </c>
      <c r="B35" s="16" t="s">
        <v>4</v>
      </c>
      <c r="E35" s="35"/>
      <c r="G35" s="41">
        <v>36828</v>
      </c>
      <c r="H35" s="65">
        <v>4.9749999999999996</v>
      </c>
      <c r="I35" s="60">
        <v>6417</v>
      </c>
      <c r="J35" s="44">
        <f t="shared" si="5"/>
        <v>5806.4516129032254</v>
      </c>
      <c r="K35" s="45">
        <v>3000</v>
      </c>
      <c r="L35" s="53">
        <f t="shared" si="0"/>
        <v>-2389.4516129032254</v>
      </c>
      <c r="M35" s="52">
        <f t="shared" si="1"/>
        <v>0</v>
      </c>
      <c r="N35" s="58">
        <f t="shared" si="2"/>
        <v>0</v>
      </c>
      <c r="O35" s="52">
        <f t="shared" si="3"/>
        <v>-2389.4516129032254</v>
      </c>
      <c r="P35" s="46">
        <f t="shared" si="4"/>
        <v>-11887.521774193545</v>
      </c>
    </row>
    <row r="36" spans="1:16" x14ac:dyDescent="0.2">
      <c r="B36" s="9"/>
      <c r="E36" s="35"/>
      <c r="G36" s="41">
        <v>36829</v>
      </c>
      <c r="H36" s="65">
        <v>4.9749999999999996</v>
      </c>
      <c r="I36" s="60">
        <v>6299</v>
      </c>
      <c r="J36" s="44">
        <f t="shared" si="5"/>
        <v>5806.4516129032254</v>
      </c>
      <c r="K36" s="45">
        <v>3000</v>
      </c>
      <c r="L36" s="53">
        <f t="shared" si="0"/>
        <v>-2507.4516129032254</v>
      </c>
      <c r="M36" s="52">
        <f t="shared" si="1"/>
        <v>0</v>
      </c>
      <c r="N36" s="58">
        <f t="shared" si="2"/>
        <v>0</v>
      </c>
      <c r="O36" s="52">
        <f t="shared" si="3"/>
        <v>-2507.4516129032254</v>
      </c>
      <c r="P36" s="46">
        <f t="shared" si="4"/>
        <v>-12474.571774193546</v>
      </c>
    </row>
    <row r="37" spans="1:16" x14ac:dyDescent="0.2">
      <c r="A37" t="s">
        <v>2</v>
      </c>
      <c r="B37" s="17">
        <f>B5</f>
        <v>5.57</v>
      </c>
      <c r="E37" s="35"/>
      <c r="G37" s="41">
        <v>36830</v>
      </c>
      <c r="H37" s="63">
        <v>5.1950000000000003</v>
      </c>
      <c r="I37" s="62">
        <v>5617</v>
      </c>
      <c r="J37" s="61">
        <f t="shared" si="5"/>
        <v>5806.4516129032254</v>
      </c>
      <c r="K37" s="48">
        <v>3000</v>
      </c>
      <c r="L37" s="57">
        <f t="shared" si="0"/>
        <v>-3189.4516129032254</v>
      </c>
      <c r="M37" s="55">
        <f t="shared" si="1"/>
        <v>0</v>
      </c>
      <c r="N37" s="59">
        <f t="shared" si="2"/>
        <v>0</v>
      </c>
      <c r="O37" s="55">
        <f t="shared" si="3"/>
        <v>-3189.4516129032254</v>
      </c>
      <c r="P37" s="54">
        <f t="shared" si="4"/>
        <v>-16569.201129032255</v>
      </c>
    </row>
    <row r="38" spans="1:16" x14ac:dyDescent="0.2">
      <c r="A38" t="s">
        <v>22</v>
      </c>
      <c r="B38" s="18">
        <f>B6</f>
        <v>4.53</v>
      </c>
      <c r="E38" s="35"/>
      <c r="G38" t="s">
        <v>27</v>
      </c>
      <c r="H38" s="20">
        <f>AVERAGE(H7:H35)</f>
        <v>5.6118965517241373</v>
      </c>
      <c r="I38" s="56">
        <f t="shared" ref="I38:P38" si="6">SUM(I7:I37)</f>
        <v>222353</v>
      </c>
      <c r="J38" s="49">
        <f t="shared" si="6"/>
        <v>179999.99999999991</v>
      </c>
      <c r="K38" s="43">
        <f t="shared" si="6"/>
        <v>93000</v>
      </c>
      <c r="L38" s="43">
        <f t="shared" si="6"/>
        <v>-50647.000000000007</v>
      </c>
      <c r="M38" s="43">
        <f t="shared" si="6"/>
        <v>7526.741935483873</v>
      </c>
      <c r="N38" s="14">
        <f t="shared" si="6"/>
        <v>43327.425322580661</v>
      </c>
      <c r="O38" s="42">
        <f t="shared" si="6"/>
        <v>-58173.741935483893</v>
      </c>
      <c r="P38" s="14">
        <f t="shared" si="6"/>
        <v>-320656.4509677419</v>
      </c>
    </row>
    <row r="39" spans="1:16" x14ac:dyDescent="0.2">
      <c r="A39" t="s">
        <v>23</v>
      </c>
      <c r="B39" s="17">
        <f>B37-B38</f>
        <v>1.04</v>
      </c>
      <c r="E39" s="35"/>
    </row>
    <row r="40" spans="1:16" x14ac:dyDescent="0.2">
      <c r="B40" s="19">
        <v>-1.4999999999999999E-2</v>
      </c>
      <c r="E40" s="35"/>
      <c r="I40" s="14"/>
      <c r="M40" s="5"/>
      <c r="N40" s="5"/>
      <c r="O40" s="51"/>
      <c r="P40" s="4"/>
    </row>
    <row r="41" spans="1:16" x14ac:dyDescent="0.2">
      <c r="A41" t="s">
        <v>24</v>
      </c>
      <c r="B41" s="17">
        <f>-0.0388*B6</f>
        <v>-0.175764</v>
      </c>
      <c r="E41" s="35"/>
      <c r="M41" s="43"/>
      <c r="N41" s="43"/>
    </row>
    <row r="42" spans="1:16" x14ac:dyDescent="0.2">
      <c r="A42" t="s">
        <v>25</v>
      </c>
      <c r="B42" s="18">
        <v>-2.5999999999999999E-2</v>
      </c>
      <c r="E42" s="35"/>
      <c r="M42" s="14"/>
      <c r="N42" s="14"/>
    </row>
    <row r="43" spans="1:16" x14ac:dyDescent="0.2">
      <c r="A43" t="s">
        <v>26</v>
      </c>
      <c r="B43" s="19">
        <f>ROUND(SUM(B39:B42),4)</f>
        <v>0.82320000000000004</v>
      </c>
      <c r="C43" s="17"/>
      <c r="E43" s="35"/>
    </row>
    <row r="48" spans="1:16" x14ac:dyDescent="0.2">
      <c r="A48" s="21"/>
      <c r="B48" s="4"/>
      <c r="C48" s="4"/>
      <c r="D48" s="4"/>
    </row>
    <row r="49" spans="1:7" x14ac:dyDescent="0.2">
      <c r="A49" s="4"/>
      <c r="B49" s="4"/>
      <c r="C49" s="4"/>
      <c r="D49" s="22"/>
    </row>
    <row r="50" spans="1:7" x14ac:dyDescent="0.2">
      <c r="A50" s="4"/>
      <c r="B50" s="2"/>
      <c r="C50" s="4"/>
      <c r="D50" s="22"/>
    </row>
    <row r="51" spans="1:7" x14ac:dyDescent="0.2">
      <c r="A51" s="4"/>
      <c r="B51" s="5"/>
      <c r="C51" s="4"/>
      <c r="D51" s="23"/>
    </row>
    <row r="52" spans="1:7" x14ac:dyDescent="0.2">
      <c r="A52" s="24"/>
      <c r="B52" s="13"/>
      <c r="C52" s="4"/>
      <c r="D52" s="22"/>
      <c r="F52" s="4"/>
    </row>
    <row r="53" spans="1:7" x14ac:dyDescent="0.2">
      <c r="B53" s="2"/>
      <c r="C53" s="25"/>
      <c r="D53" s="22"/>
      <c r="F53" s="4"/>
    </row>
    <row r="54" spans="1:7" x14ac:dyDescent="0.2">
      <c r="A54" s="4"/>
      <c r="B54" s="2"/>
      <c r="C54" s="2"/>
      <c r="D54" s="22"/>
      <c r="F54" s="4"/>
    </row>
    <row r="55" spans="1:7" x14ac:dyDescent="0.2">
      <c r="A55" s="4"/>
      <c r="B55" s="2"/>
      <c r="C55" s="2"/>
      <c r="D55" s="22"/>
      <c r="F55" s="4"/>
    </row>
    <row r="56" spans="1:7" x14ac:dyDescent="0.2">
      <c r="A56" s="4"/>
      <c r="B56" s="4"/>
      <c r="C56" s="28"/>
      <c r="D56" s="29"/>
      <c r="E56" s="38"/>
      <c r="F56" s="31"/>
      <c r="G56" s="30"/>
    </row>
    <row r="57" spans="1:7" x14ac:dyDescent="0.2">
      <c r="A57" s="4"/>
      <c r="B57" s="2"/>
      <c r="C57" s="26"/>
      <c r="D57" s="19"/>
      <c r="F57" s="4"/>
    </row>
    <row r="58" spans="1:7" x14ac:dyDescent="0.2">
      <c r="A58" s="4"/>
      <c r="B58" s="4"/>
      <c r="C58" s="26"/>
      <c r="D58" s="19"/>
      <c r="F58" s="4"/>
    </row>
    <row r="59" spans="1:7" x14ac:dyDescent="0.2">
      <c r="A59" s="4"/>
      <c r="B59" s="2"/>
      <c r="C59" s="2"/>
      <c r="D59" s="3"/>
      <c r="F59" s="4"/>
    </row>
    <row r="60" spans="1:7" x14ac:dyDescent="0.2">
      <c r="A60" s="4"/>
      <c r="B60" s="2"/>
      <c r="C60" s="2"/>
      <c r="D60" s="3"/>
      <c r="F60" s="4"/>
    </row>
    <row r="61" spans="1:7" x14ac:dyDescent="0.2">
      <c r="A61" s="4"/>
      <c r="F61" s="4"/>
    </row>
    <row r="62" spans="1:7" x14ac:dyDescent="0.2">
      <c r="A62" s="4"/>
      <c r="F62" s="4"/>
    </row>
    <row r="65" spans="2:3" x14ac:dyDescent="0.2">
      <c r="B65" s="27"/>
      <c r="C65" s="27"/>
    </row>
    <row r="66" spans="2:3" x14ac:dyDescent="0.2">
      <c r="C66" s="27"/>
    </row>
  </sheetData>
  <printOptions gridLines="1"/>
  <pageMargins left="0.75" right="0.75" top="1" bottom="1" header="0.5" footer="0.5"/>
  <pageSetup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1</vt:lpstr>
      <vt:lpstr>'Sheet 1'!Print_Area</vt:lpstr>
    </vt:vector>
  </TitlesOfParts>
  <Company>City of Pasadena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 Klinkner</dc:creator>
  <cp:lastModifiedBy>Felienne</cp:lastModifiedBy>
  <cp:lastPrinted>2000-11-15T18:41:18Z</cp:lastPrinted>
  <dcterms:created xsi:type="dcterms:W3CDTF">1999-07-01T15:58:30Z</dcterms:created>
  <dcterms:modified xsi:type="dcterms:W3CDTF">2014-09-04T08:16:37Z</dcterms:modified>
</cp:coreProperties>
</file>