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060" yWindow="1470" windowWidth="12120" windowHeight="9120"/>
  </bookViews>
  <sheets>
    <sheet name="Summary" sheetId="4" r:id="rId1"/>
    <sheet name="ANA" sheetId="1" r:id="rId2"/>
    <sheet name="Brazil" sheetId="5" r:id="rId3"/>
    <sheet name="Mendoza" sheetId="6" r:id="rId4"/>
    <sheet name="IASA" sheetId="7" r:id="rId5"/>
    <sheet name="Cancun" sheetId="8" r:id="rId6"/>
    <sheet name="Lurgi" sheetId="9" r:id="rId7"/>
    <sheet name="Lurgi Support" sheetId="12" r:id="rId8"/>
    <sheet name="Madera" sheetId="11" r:id="rId9"/>
    <sheet name="Other Write offs" sheetId="3" r:id="rId10"/>
    <sheet name="Sheet1" sheetId="2" r:id="rId11"/>
  </sheets>
  <calcPr calcId="152511"/>
</workbook>
</file>

<file path=xl/calcChain.xml><?xml version="1.0" encoding="utf-8"?>
<calcChain xmlns="http://schemas.openxmlformats.org/spreadsheetml/2006/main">
  <c r="G10" i="1" l="1"/>
  <c r="G14" i="1" s="1"/>
  <c r="I10" i="1"/>
  <c r="I14" i="1" s="1"/>
  <c r="G28" i="1"/>
  <c r="I28" i="1"/>
  <c r="G10" i="5"/>
  <c r="G14" i="5" s="1"/>
  <c r="I10" i="5"/>
  <c r="I14" i="5"/>
  <c r="I31" i="5" s="1"/>
  <c r="G25" i="5"/>
  <c r="I25" i="5"/>
  <c r="G10" i="8"/>
  <c r="G14" i="8" s="1"/>
  <c r="I10" i="8"/>
  <c r="I14" i="8" s="1"/>
  <c r="G26" i="8"/>
  <c r="I26" i="8"/>
  <c r="G10" i="7"/>
  <c r="G14" i="7" s="1"/>
  <c r="I10" i="7"/>
  <c r="I14" i="7"/>
  <c r="I36" i="7" s="1"/>
  <c r="G25" i="7"/>
  <c r="I25" i="7"/>
  <c r="I31" i="7"/>
  <c r="G10" i="9"/>
  <c r="I10" i="9"/>
  <c r="I14" i="9" s="1"/>
  <c r="G14" i="9"/>
  <c r="E20" i="9"/>
  <c r="G25" i="9" s="1"/>
  <c r="G38" i="9"/>
  <c r="G48" i="9" s="1"/>
  <c r="G52" i="9" s="1"/>
  <c r="E17" i="4" s="1"/>
  <c r="C9" i="12"/>
  <c r="E9" i="12" s="1"/>
  <c r="D9" i="12"/>
  <c r="C10" i="12"/>
  <c r="E10" i="12" s="1"/>
  <c r="D10" i="12"/>
  <c r="D20" i="12"/>
  <c r="D23" i="12"/>
  <c r="D25" i="12"/>
  <c r="D30" i="12" s="1"/>
  <c r="D37" i="12" s="1"/>
  <c r="D35" i="12"/>
  <c r="G8" i="11"/>
  <c r="G10" i="11" s="1"/>
  <c r="G14" i="11" s="1"/>
  <c r="I10" i="11"/>
  <c r="I14" i="11" s="1"/>
  <c r="G26" i="11"/>
  <c r="I26" i="11"/>
  <c r="G10" i="6"/>
  <c r="I10" i="6"/>
  <c r="G14" i="6"/>
  <c r="G31" i="6" s="1"/>
  <c r="I14" i="6"/>
  <c r="I36" i="6" s="1"/>
  <c r="G25" i="6"/>
  <c r="I25" i="6"/>
  <c r="E10" i="3"/>
  <c r="E18" i="3" s="1"/>
  <c r="E24" i="3" s="1"/>
  <c r="E12" i="3"/>
  <c r="E14" i="3"/>
  <c r="E16" i="3"/>
  <c r="G18" i="3"/>
  <c r="I18" i="3"/>
  <c r="I24" i="3" s="1"/>
  <c r="K24" i="3" s="1"/>
  <c r="E22" i="3"/>
  <c r="G24" i="3"/>
  <c r="K26" i="3"/>
  <c r="M26" i="3"/>
  <c r="E28" i="3"/>
  <c r="G28" i="3"/>
  <c r="M28" i="3" s="1"/>
  <c r="E31" i="4" s="1"/>
  <c r="I28" i="3"/>
  <c r="K28" i="3" s="1"/>
  <c r="E29" i="4"/>
  <c r="G31" i="7" l="1"/>
  <c r="G36" i="7"/>
  <c r="E13" i="4" s="1"/>
  <c r="G31" i="5"/>
  <c r="G36" i="5"/>
  <c r="E9" i="4" s="1"/>
  <c r="I32" i="8"/>
  <c r="I37" i="8"/>
  <c r="M24" i="3"/>
  <c r="E25" i="4" s="1"/>
  <c r="I32" i="11"/>
  <c r="I37" i="11"/>
  <c r="G32" i="8"/>
  <c r="G37" i="8"/>
  <c r="E15" i="4" s="1"/>
  <c r="I39" i="1"/>
  <c r="E7" i="4" s="1"/>
  <c r="E23" i="4" s="1"/>
  <c r="I34" i="1"/>
  <c r="G36" i="9"/>
  <c r="G37" i="11"/>
  <c r="E19" i="4" s="1"/>
  <c r="G32" i="11"/>
  <c r="E11" i="12"/>
  <c r="E40" i="9" s="1"/>
  <c r="G39" i="1"/>
  <c r="G34" i="1"/>
  <c r="G31" i="9"/>
  <c r="I31" i="6"/>
  <c r="D42" i="12"/>
  <c r="E42" i="9" s="1"/>
  <c r="I25" i="9"/>
  <c r="I31" i="9" s="1"/>
  <c r="I36" i="5"/>
  <c r="G36" i="6"/>
  <c r="E11" i="4" s="1"/>
  <c r="E33" i="4" l="1"/>
  <c r="E35" i="4" s="1"/>
  <c r="I36" i="9"/>
  <c r="G44" i="9"/>
</calcChain>
</file>

<file path=xl/sharedStrings.xml><?xml version="1.0" encoding="utf-8"?>
<sst xmlns="http://schemas.openxmlformats.org/spreadsheetml/2006/main" count="252" uniqueCount="139">
  <si>
    <t>Azurix North America Corp. ("ANA") / Azurix Industrial Corp. ("AIC")</t>
  </si>
  <si>
    <t>Pro Forma Loss Calculation</t>
  </si>
  <si>
    <t>(In millions of US$)</t>
  </si>
  <si>
    <t>Best Case</t>
  </si>
  <si>
    <t>Worst Case</t>
  </si>
  <si>
    <t>Cash Consideration Received</t>
  </si>
  <si>
    <t>Less Transaction Costs (estimated)</t>
  </si>
  <si>
    <t>Outcome of Consideration placed in Escrow</t>
  </si>
  <si>
    <t xml:space="preserve">Net Consideration Received </t>
  </si>
  <si>
    <t xml:space="preserve">  (a)</t>
  </si>
  <si>
    <t>Cost Basis:</t>
  </si>
  <si>
    <t>Loans to ANA to be contributed at closing</t>
  </si>
  <si>
    <t xml:space="preserve">   contributed at closing</t>
  </si>
  <si>
    <t>Total Cost Basis</t>
  </si>
  <si>
    <t>Working Capital Adjustment</t>
  </si>
  <si>
    <t>Tax Loss on 338H-10 Election (estimated)</t>
  </si>
  <si>
    <t>Capitalized Interest - IT Projects</t>
  </si>
  <si>
    <t>B2B Websites</t>
  </si>
  <si>
    <t>Web technology and infrastructure</t>
  </si>
  <si>
    <t>Oracle/HR Payroll software</t>
  </si>
  <si>
    <t>Computer equipment</t>
  </si>
  <si>
    <t>Sub-total IT</t>
  </si>
  <si>
    <t>Leashold Improvements - 3AC Floors 8, 9 &amp; 10</t>
  </si>
  <si>
    <t>Other</t>
  </si>
  <si>
    <t>Book</t>
  </si>
  <si>
    <t>Value</t>
  </si>
  <si>
    <t>Est. Fair Value</t>
  </si>
  <si>
    <t>Low</t>
  </si>
  <si>
    <t>High</t>
  </si>
  <si>
    <t>Sub-total PP&amp;E</t>
  </si>
  <si>
    <t>Azurix Brazil</t>
  </si>
  <si>
    <t>Loans to Azurix Brazil to be contributed at closing</t>
  </si>
  <si>
    <t>Debt Adjustment</t>
  </si>
  <si>
    <t>Mendoza</t>
  </si>
  <si>
    <t>Additional funds to be invested or loaned to Azurix</t>
  </si>
  <si>
    <t>Azurix's Equity Investment - ANA at 7/31/01</t>
  </si>
  <si>
    <t>Azurix's Equity Investment - AIC at 7/31/01</t>
  </si>
  <si>
    <t>Additional funds to be invested or loaned to ANA</t>
  </si>
  <si>
    <t xml:space="preserve">   8/1/01 - closing date</t>
  </si>
  <si>
    <t>Equity earnings/(loss) from 8/1/01 - closing date</t>
  </si>
  <si>
    <t>Investment in Irrigation Stock</t>
  </si>
  <si>
    <t>Investment in Bristol Water</t>
  </si>
  <si>
    <t>ABA Accounts Receivable</t>
  </si>
  <si>
    <t>Azurix Corp. Severances</t>
  </si>
  <si>
    <t xml:space="preserve">   Brazil 8/1/01 - closing date</t>
  </si>
  <si>
    <t>Azurix's Equity Investment at 7/31/01</t>
  </si>
  <si>
    <t>Loans to Mendoza to be contributed at closing</t>
  </si>
  <si>
    <t>Additional funds to be invested or loaned to Mendoza</t>
  </si>
  <si>
    <t xml:space="preserve">   through closing date</t>
  </si>
  <si>
    <t>(b)</t>
  </si>
  <si>
    <t>(a)</t>
  </si>
  <si>
    <t xml:space="preserve">Pre-Tax Loss  </t>
  </si>
  <si>
    <t xml:space="preserve">Pro Forma Azurix Loss on Sale </t>
  </si>
  <si>
    <t xml:space="preserve">Pre-Tax Loss </t>
  </si>
  <si>
    <t>Pro Forma Azurix Loss on Sale</t>
  </si>
  <si>
    <t>Pre-tax Impairment</t>
  </si>
  <si>
    <t>(a) - Assumes that affiliate accounts receivable of $845,000 from OSM are not contributed and</t>
  </si>
  <si>
    <t xml:space="preserve">          amounts will be paid by OSM to Azurix Finance.  Excludes amount owed by Saur to</t>
  </si>
  <si>
    <t xml:space="preserve">          Azurix Finance for technical assistance fees earned through the closing date.</t>
  </si>
  <si>
    <t>Loss On Assets Held For Disposal</t>
  </si>
  <si>
    <t>Azurix North America / Azurix Industrials</t>
  </si>
  <si>
    <t>Azurix Mexico (IASA)</t>
  </si>
  <si>
    <t>Loans to Azurix Mexico to be contributed at closing</t>
  </si>
  <si>
    <t xml:space="preserve">   Mexico 8/1/01 - closing date</t>
  </si>
  <si>
    <t>(a) - Assumes that $0.4mm A/R from Cancun is paid prior to closing.</t>
  </si>
  <si>
    <t>Cancun</t>
  </si>
  <si>
    <t>(a) - Assumes that $24.0 N/R from Cancun is repaid at/or prior to closing.</t>
  </si>
  <si>
    <t>Loans to Cancun to be contributed at closing</t>
  </si>
  <si>
    <t>Additional funds to be invested or loaned to Cancun</t>
  </si>
  <si>
    <t>(b) - Balance are acquisition related costs pushed down to acquisition company. Assumes</t>
  </si>
  <si>
    <t xml:space="preserve">           that $0.4mm A/P to Azurix Mexico is paid prior to closing and that net A/R from</t>
  </si>
  <si>
    <t xml:space="preserve">           Cancun of $0.4mm is paid at/or prior to closing.  </t>
  </si>
  <si>
    <t>Planta Norte costs capitalized at Azurix Corp.</t>
  </si>
  <si>
    <t>Lurgi</t>
  </si>
  <si>
    <t>Madera Ranch</t>
  </si>
  <si>
    <t>Loans to Lurgi to be contributed at closing</t>
  </si>
  <si>
    <t>Additional funds to be invested or loaned to Lurgi</t>
  </si>
  <si>
    <t>Loans to Madera to be contributed at closing</t>
  </si>
  <si>
    <t>Additional funds to be invested or loaned to Madera</t>
  </si>
  <si>
    <t>Capitalized interest recorded at Azurix Corp.</t>
  </si>
  <si>
    <t>Sub-total Assets Held For Disposal Impairments</t>
  </si>
  <si>
    <t>Azurix Corp. PP&amp;E Impairments</t>
  </si>
  <si>
    <t>Azurix Corp.</t>
  </si>
  <si>
    <t>Potential Third Quarter 2001 Non-recurring Charges</t>
  </si>
  <si>
    <t>Pre-Tax Loss</t>
  </si>
  <si>
    <t xml:space="preserve">Pro Forma Azurix Loss on Sale  </t>
  </si>
  <si>
    <t>(a) - This amount assumes that Azurix does not receive $10mm to be placed in escrow.</t>
  </si>
  <si>
    <t>Intercompany net receivables from ANA to be</t>
  </si>
  <si>
    <t>Intercompany net receivables from AIC to be</t>
  </si>
  <si>
    <t>Intercompany net receivables from Azurix Brazil to be</t>
  </si>
  <si>
    <t>Intercompany net receivables from Mendoza to be</t>
  </si>
  <si>
    <t>Intercompany net receivables from Azurix Mexico to be</t>
  </si>
  <si>
    <t>Intercompany net receivables from Cancun to be</t>
  </si>
  <si>
    <t>Intercompany net receivables from Lurgi to be</t>
  </si>
  <si>
    <t>Intercompany net receivables from Madera to be</t>
  </si>
  <si>
    <t xml:space="preserve">(a) - Assumes that $3.0mm N/R from Lurgi CFA is transferred to another Azurix entity not being </t>
  </si>
  <si>
    <t xml:space="preserve">            sold prior to closing.</t>
  </si>
  <si>
    <t>Synagro Litigation Settlement</t>
  </si>
  <si>
    <t>Severances</t>
  </si>
  <si>
    <t>Book Value of PP&amp;E and Goodwill</t>
  </si>
  <si>
    <t xml:space="preserve">  (b)</t>
  </si>
  <si>
    <t>(b) - Settlement agreement and amount are final.</t>
  </si>
  <si>
    <t>Cash flows</t>
  </si>
  <si>
    <t>Yr 1</t>
  </si>
  <si>
    <t>Yr 2</t>
  </si>
  <si>
    <t>Swiss Combi</t>
  </si>
  <si>
    <t>Lurgi Condensed Balance Sheet</t>
  </si>
  <si>
    <t>At July 31, 2001</t>
  </si>
  <si>
    <t>Current Assets</t>
  </si>
  <si>
    <t>PP&amp;E</t>
  </si>
  <si>
    <t>Goodwill</t>
  </si>
  <si>
    <t>Deferred Tax Asset</t>
  </si>
  <si>
    <t>A/P and Accruals</t>
  </si>
  <si>
    <t>A/P Azurix Brazil</t>
  </si>
  <si>
    <t>Long-term Liabilities</t>
  </si>
  <si>
    <t>Deferred Tax Liabilities</t>
  </si>
  <si>
    <t>Pre-CTA Equity</t>
  </si>
  <si>
    <t>CTA</t>
  </si>
  <si>
    <t>Total Assets</t>
  </si>
  <si>
    <t>Total Liabilities</t>
  </si>
  <si>
    <t>Total Stockholder's Equity</t>
  </si>
  <si>
    <t>Total Liabilites and Stockholder's Equity</t>
  </si>
  <si>
    <t>($ in millions)</t>
  </si>
  <si>
    <t xml:space="preserve">   (b)</t>
  </si>
  <si>
    <t>Q3 Loss Calculation</t>
  </si>
  <si>
    <t>Write-off of CTA</t>
  </si>
  <si>
    <t>Write-off of Deferred Tax Assets</t>
  </si>
  <si>
    <t>Total Write-off</t>
  </si>
  <si>
    <t xml:space="preserve">   PP&amp;E, goodwill and deferred tax assets</t>
  </si>
  <si>
    <t>Fair value of net assets other than A/P - Brazil,</t>
  </si>
  <si>
    <t>SFAS 121 Impairment</t>
  </si>
  <si>
    <t>Pro Forma Loss Calculation  (a)</t>
  </si>
  <si>
    <t>(b) - Assumes that $3.0mm N/R from Lurgi CFA is transferred above the Brazil entities being sold prior to closing.</t>
  </si>
  <si>
    <t>(a) - Assumes asset is not sold but existing contracts are completed and no new contracts are signed.</t>
  </si>
  <si>
    <t>Updated: September 13, 2001</t>
  </si>
  <si>
    <t>Total Non-Recurring Charges - Pre-tax</t>
  </si>
  <si>
    <t>Total Non-Recurring Charges - Net of Tax</t>
  </si>
  <si>
    <t>Fair value of Lurgi equity</t>
  </si>
  <si>
    <t>Fair value of Lurgi future cash flows (PP&amp;E / Goodwill)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</si>
</sst>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&quot;$&quot;* #,##0.0_);_(&quot;$&quot;* \(#,##0.0\);_(&quot;$&quot;* &quot;-&quot;??_);_(@_)"/>
    <numFmt numFmtId="167" formatCode="#,##0.00;[Red]\(#,##0.00\)"/>
    <numFmt numFmtId="171" formatCode="_(* #,##0_);_(* \(#,##0\);_(* &quot;-&quot;??_);_(@_)"/>
  </numFmts>
  <fonts count="13" x14ac:knownFonts="1">
    <font>
      <sz val="10"/>
      <name val="Arial"/>
    </font>
    <font>
      <sz val="10"/>
      <name val="Arial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0"/>
      <color indexed="17"/>
      <name val="Arial"/>
      <family val="2"/>
    </font>
    <font>
      <b/>
      <sz val="16"/>
      <color indexed="13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17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0">
      <alignment horizontal="left"/>
    </xf>
    <xf numFmtId="167" fontId="3" fillId="2" borderId="0">
      <alignment horizontal="right"/>
    </xf>
    <xf numFmtId="0" fontId="4" fillId="3" borderId="0">
      <alignment horizontal="center"/>
    </xf>
    <xf numFmtId="0" fontId="5" fillId="4" borderId="1"/>
    <xf numFmtId="0" fontId="6" fillId="2" borderId="0" applyBorder="0">
      <alignment horizontal="centerContinuous"/>
    </xf>
    <xf numFmtId="0" fontId="7" fillId="4" borderId="0" applyBorder="0">
      <alignment horizontal="centerContinuous"/>
    </xf>
  </cellStyleXfs>
  <cellXfs count="36">
    <xf numFmtId="0" fontId="0" fillId="0" borderId="0" xfId="0"/>
    <xf numFmtId="164" fontId="1" fillId="0" borderId="0" xfId="1" applyNumberFormat="1"/>
    <xf numFmtId="164" fontId="9" fillId="0" borderId="2" xfId="1" applyNumberFormat="1" applyFont="1" applyBorder="1" applyAlignment="1">
      <alignment horizontal="center" wrapText="1"/>
    </xf>
    <xf numFmtId="165" fontId="1" fillId="0" borderId="0" xfId="2" applyNumberFormat="1"/>
    <xf numFmtId="164" fontId="1" fillId="0" borderId="0" xfId="1" applyNumberFormat="1" applyFont="1"/>
    <xf numFmtId="164" fontId="1" fillId="0" borderId="2" xfId="1" applyNumberFormat="1" applyBorder="1"/>
    <xf numFmtId="164" fontId="9" fillId="0" borderId="0" xfId="1" applyNumberFormat="1" applyFont="1"/>
    <xf numFmtId="164" fontId="1" fillId="0" borderId="0" xfId="1" quotePrefix="1" applyNumberFormat="1" applyFont="1"/>
    <xf numFmtId="164" fontId="1" fillId="0" borderId="0" xfId="1" applyNumberFormat="1" applyBorder="1"/>
    <xf numFmtId="164" fontId="9" fillId="0" borderId="2" xfId="1" applyNumberFormat="1" applyFont="1" applyBorder="1"/>
    <xf numFmtId="165" fontId="9" fillId="0" borderId="3" xfId="2" applyNumberFormat="1" applyFont="1" applyBorder="1"/>
    <xf numFmtId="171" fontId="0" fillId="0" borderId="0" xfId="1" applyNumberFormat="1" applyFont="1"/>
    <xf numFmtId="171" fontId="0" fillId="0" borderId="2" xfId="1" applyNumberFormat="1" applyFont="1" applyBorder="1"/>
    <xf numFmtId="171" fontId="0" fillId="0" borderId="0" xfId="1" applyNumberFormat="1" applyFont="1" applyAlignment="1">
      <alignment horizontal="center"/>
    </xf>
    <xf numFmtId="171" fontId="0" fillId="0" borderId="2" xfId="1" applyNumberFormat="1" applyFont="1" applyBorder="1" applyAlignment="1">
      <alignment horizontal="center"/>
    </xf>
    <xf numFmtId="171" fontId="0" fillId="0" borderId="4" xfId="1" applyNumberFormat="1" applyFont="1" applyBorder="1" applyAlignment="1">
      <alignment horizontal="center"/>
    </xf>
    <xf numFmtId="171" fontId="0" fillId="0" borderId="3" xfId="1" applyNumberFormat="1" applyFont="1" applyBorder="1"/>
    <xf numFmtId="171" fontId="0" fillId="0" borderId="0" xfId="1" applyNumberFormat="1" applyFont="1" applyBorder="1"/>
    <xf numFmtId="164" fontId="9" fillId="0" borderId="0" xfId="1" applyNumberFormat="1" applyFont="1" applyBorder="1" applyAlignment="1">
      <alignment horizontal="center" wrapText="1"/>
    </xf>
    <xf numFmtId="164" fontId="10" fillId="0" borderId="0" xfId="1" applyNumberFormat="1" applyFont="1"/>
    <xf numFmtId="164" fontId="0" fillId="0" borderId="0" xfId="1" applyNumberFormat="1" applyFont="1"/>
    <xf numFmtId="165" fontId="0" fillId="0" borderId="0" xfId="2" applyNumberFormat="1" applyFont="1"/>
    <xf numFmtId="164" fontId="0" fillId="0" borderId="0" xfId="1" quotePrefix="1" applyNumberFormat="1" applyFont="1"/>
    <xf numFmtId="164" fontId="0" fillId="0" borderId="2" xfId="1" applyNumberFormat="1" applyFont="1" applyBorder="1"/>
    <xf numFmtId="164" fontId="9" fillId="0" borderId="0" xfId="1" applyNumberFormat="1" applyFont="1" applyBorder="1"/>
    <xf numFmtId="164" fontId="0" fillId="0" borderId="3" xfId="1" applyNumberFormat="1" applyFont="1" applyBorder="1"/>
    <xf numFmtId="164" fontId="9" fillId="0" borderId="3" xfId="1" applyNumberFormat="1" applyFont="1" applyBorder="1"/>
    <xf numFmtId="164" fontId="0" fillId="0" borderId="0" xfId="1" applyNumberFormat="1" applyFont="1" applyAlignment="1">
      <alignment horizontal="center"/>
    </xf>
    <xf numFmtId="164" fontId="1" fillId="0" borderId="3" xfId="1" applyNumberFormat="1" applyBorder="1"/>
    <xf numFmtId="164" fontId="11" fillId="0" borderId="0" xfId="1" applyNumberFormat="1" applyFont="1"/>
    <xf numFmtId="164" fontId="12" fillId="0" borderId="0" xfId="1" applyNumberFormat="1" applyFont="1"/>
    <xf numFmtId="164" fontId="9" fillId="0" borderId="0" xfId="1" quotePrefix="1" applyNumberFormat="1" applyFont="1"/>
    <xf numFmtId="164" fontId="10" fillId="0" borderId="0" xfId="1" quotePrefix="1" applyNumberFormat="1" applyFont="1"/>
    <xf numFmtId="164" fontId="8" fillId="0" borderId="0" xfId="1" applyNumberFormat="1" applyFont="1" applyAlignment="1">
      <alignment horizontal="center"/>
    </xf>
    <xf numFmtId="164" fontId="9" fillId="0" borderId="0" xfId="1" applyNumberFormat="1" applyFont="1" applyAlignment="1">
      <alignment horizontal="center"/>
    </xf>
    <xf numFmtId="171" fontId="0" fillId="0" borderId="2" xfId="1" applyNumberFormat="1" applyFont="1" applyBorder="1" applyAlignment="1">
      <alignment horizontal="center"/>
    </xf>
  </cellXfs>
  <cellStyles count="9">
    <cellStyle name="Comma" xfId="1" builtinId="3"/>
    <cellStyle name="Currency" xfId="2" builtinId="4"/>
    <cellStyle name="LineItemValue" xfId="3"/>
    <cellStyle name="Normal" xfId="0" builtinId="0"/>
    <cellStyle name="OUTPUT AMOUNTS" xfId="4"/>
    <cellStyle name="OUTPUT COLUMN HEADINGS" xfId="5"/>
    <cellStyle name="OUTPUT LINE ITEMS" xfId="6"/>
    <cellStyle name="OUTPUT REPORT HEADING" xfId="7"/>
    <cellStyle name="OUTPUT REPORT TITLE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tabSelected="1" topLeftCell="A5" workbookViewId="0">
      <selection activeCell="B14" sqref="B14"/>
    </sheetView>
  </sheetViews>
  <sheetFormatPr defaultRowHeight="12.75" x14ac:dyDescent="0.2"/>
  <cols>
    <col min="1" max="1" width="3.7109375" style="20" customWidth="1"/>
    <col min="2" max="2" width="36.5703125" style="20" customWidth="1"/>
    <col min="3" max="16384" width="9.140625" style="20"/>
  </cols>
  <sheetData>
    <row r="1" spans="1:6" ht="15.75" x14ac:dyDescent="0.25">
      <c r="A1" s="33" t="s">
        <v>82</v>
      </c>
      <c r="B1" s="33"/>
      <c r="C1" s="33"/>
      <c r="D1" s="33"/>
      <c r="E1" s="33"/>
      <c r="F1" s="33"/>
    </row>
    <row r="2" spans="1:6" x14ac:dyDescent="0.2">
      <c r="A2" s="34" t="s">
        <v>83</v>
      </c>
      <c r="B2" s="34"/>
      <c r="C2" s="34"/>
      <c r="D2" s="34"/>
      <c r="E2" s="34"/>
      <c r="F2" s="34"/>
    </row>
    <row r="5" spans="1:6" x14ac:dyDescent="0.2">
      <c r="A5" s="19" t="s">
        <v>59</v>
      </c>
    </row>
    <row r="7" spans="1:6" x14ac:dyDescent="0.2">
      <c r="B7" s="20" t="s">
        <v>60</v>
      </c>
      <c r="E7" s="21">
        <f>ROUND(ANA!I39,1)</f>
        <v>-98.1</v>
      </c>
      <c r="F7" s="22" t="s">
        <v>9</v>
      </c>
    </row>
    <row r="9" spans="1:6" x14ac:dyDescent="0.2">
      <c r="B9" s="20" t="s">
        <v>30</v>
      </c>
      <c r="E9" s="20">
        <f>Brazil!G36</f>
        <v>-67.399999999999991</v>
      </c>
    </row>
    <row r="11" spans="1:6" x14ac:dyDescent="0.2">
      <c r="B11" s="20" t="s">
        <v>33</v>
      </c>
      <c r="E11" s="20">
        <f>Mendoza!G36</f>
        <v>-6.2999999999999989</v>
      </c>
    </row>
    <row r="13" spans="1:6" x14ac:dyDescent="0.2">
      <c r="B13" s="20" t="s">
        <v>61</v>
      </c>
      <c r="E13" s="20">
        <f>IASA!G36</f>
        <v>-20.000000000000004</v>
      </c>
    </row>
    <row r="15" spans="1:6" x14ac:dyDescent="0.2">
      <c r="B15" s="20" t="s">
        <v>65</v>
      </c>
      <c r="E15" s="20">
        <f>Cancun!G37</f>
        <v>-5.3000000000000007</v>
      </c>
    </row>
    <row r="17" spans="1:6" x14ac:dyDescent="0.2">
      <c r="B17" s="20" t="s">
        <v>73</v>
      </c>
      <c r="E17" s="20">
        <f>Lurgi!G52</f>
        <v>-41.1</v>
      </c>
    </row>
    <row r="19" spans="1:6" x14ac:dyDescent="0.2">
      <c r="B19" s="20" t="s">
        <v>74</v>
      </c>
      <c r="E19" s="20">
        <f>Madera!G37</f>
        <v>-31</v>
      </c>
    </row>
    <row r="21" spans="1:6" x14ac:dyDescent="0.2">
      <c r="B21" s="20" t="s">
        <v>105</v>
      </c>
      <c r="E21" s="23">
        <v>-4</v>
      </c>
    </row>
    <row r="23" spans="1:6" x14ac:dyDescent="0.2">
      <c r="B23" s="20" t="s">
        <v>80</v>
      </c>
      <c r="E23" s="20">
        <f>SUM(E7:E22)</f>
        <v>-273.20000000000005</v>
      </c>
    </row>
    <row r="25" spans="1:6" x14ac:dyDescent="0.2">
      <c r="A25" s="20" t="s">
        <v>81</v>
      </c>
      <c r="E25" s="20">
        <f>ROUND('Other Write offs'!M24/1000000,1)</f>
        <v>-18</v>
      </c>
    </row>
    <row r="27" spans="1:6" x14ac:dyDescent="0.2">
      <c r="A27" s="20" t="s">
        <v>97</v>
      </c>
      <c r="E27" s="20">
        <v>-8</v>
      </c>
      <c r="F27" s="22" t="s">
        <v>100</v>
      </c>
    </row>
    <row r="29" spans="1:6" x14ac:dyDescent="0.2">
      <c r="A29" s="20" t="s">
        <v>98</v>
      </c>
      <c r="E29" s="20">
        <f>-2-0.7-0.6-1</f>
        <v>-4.3000000000000007</v>
      </c>
    </row>
    <row r="31" spans="1:6" x14ac:dyDescent="0.2">
      <c r="A31" s="20" t="s">
        <v>23</v>
      </c>
      <c r="E31" s="23">
        <f>ROUND(('Other Write offs'!M26+'Other Write offs'!M28)/1000000,1)</f>
        <v>-1.5</v>
      </c>
    </row>
    <row r="33" spans="1:5" ht="13.5" thickBot="1" x14ac:dyDescent="0.25">
      <c r="B33" s="6" t="s">
        <v>135</v>
      </c>
      <c r="C33" s="6"/>
      <c r="D33" s="6"/>
      <c r="E33" s="26">
        <f>SUM(E23:E32)</f>
        <v>-305.00000000000006</v>
      </c>
    </row>
    <row r="34" spans="1:5" x14ac:dyDescent="0.2">
      <c r="B34" s="6"/>
      <c r="C34" s="6"/>
      <c r="D34" s="6"/>
      <c r="E34" s="6"/>
    </row>
    <row r="35" spans="1:5" ht="13.5" thickBot="1" x14ac:dyDescent="0.25">
      <c r="B35" s="6" t="s">
        <v>136</v>
      </c>
      <c r="C35" s="6"/>
      <c r="D35" s="6"/>
      <c r="E35" s="26">
        <f>E23+((E33-E23)*0.65)</f>
        <v>-293.87000000000006</v>
      </c>
    </row>
    <row r="37" spans="1:5" x14ac:dyDescent="0.2">
      <c r="A37" s="22" t="s">
        <v>86</v>
      </c>
    </row>
    <row r="39" spans="1:5" x14ac:dyDescent="0.2">
      <c r="A39" s="22" t="s">
        <v>101</v>
      </c>
    </row>
    <row r="43" spans="1:5" x14ac:dyDescent="0.2">
      <c r="A43" s="32" t="s">
        <v>134</v>
      </c>
    </row>
  </sheetData>
  <mergeCells count="2">
    <mergeCell ref="A1:F1"/>
    <mergeCell ref="A2:F2"/>
  </mergeCells>
  <phoneticPr fontId="0" type="noConversion"/>
  <printOptions horizontalCentered="1"/>
  <pageMargins left="0.75" right="0.75" top="1" bottom="1" header="0.5" footer="0.5"/>
  <pageSetup scale="89" orientation="landscape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32"/>
  <sheetViews>
    <sheetView workbookViewId="0">
      <selection activeCell="K32" sqref="K32"/>
    </sheetView>
  </sheetViews>
  <sheetFormatPr defaultRowHeight="12.75" x14ac:dyDescent="0.2"/>
  <cols>
    <col min="1" max="1" width="4.85546875" style="11" customWidth="1"/>
    <col min="2" max="2" width="26.28515625" style="11" customWidth="1"/>
    <col min="3" max="4" width="9.140625" style="11"/>
    <col min="5" max="5" width="13.28515625" style="11" customWidth="1"/>
    <col min="6" max="6" width="3.42578125" style="11" customWidth="1"/>
    <col min="7" max="7" width="10.85546875" style="11" customWidth="1"/>
    <col min="8" max="8" width="2.5703125" style="11" customWidth="1"/>
    <col min="9" max="9" width="10.28515625" style="11" bestFit="1" customWidth="1"/>
    <col min="10" max="10" width="3" style="11" customWidth="1"/>
    <col min="11" max="11" width="11.85546875" style="11" bestFit="1" customWidth="1"/>
    <col min="12" max="12" width="2.7109375" style="11" customWidth="1"/>
    <col min="13" max="13" width="11.85546875" style="11" bestFit="1" customWidth="1"/>
    <col min="14" max="16384" width="9.140625" style="11"/>
  </cols>
  <sheetData>
    <row r="4" spans="1:13" x14ac:dyDescent="0.2">
      <c r="G4" s="13"/>
    </row>
    <row r="5" spans="1:13" x14ac:dyDescent="0.2">
      <c r="E5" s="13" t="s">
        <v>24</v>
      </c>
      <c r="G5" s="35" t="s">
        <v>26</v>
      </c>
      <c r="H5" s="35"/>
      <c r="I5" s="35"/>
      <c r="K5" s="35" t="s">
        <v>55</v>
      </c>
      <c r="L5" s="35"/>
      <c r="M5" s="35"/>
    </row>
    <row r="6" spans="1:13" x14ac:dyDescent="0.2">
      <c r="E6" s="14" t="s">
        <v>25</v>
      </c>
      <c r="G6" s="14" t="s">
        <v>27</v>
      </c>
      <c r="I6" s="15" t="s">
        <v>28</v>
      </c>
      <c r="K6" s="14" t="s">
        <v>27</v>
      </c>
      <c r="M6" s="15" t="s">
        <v>28</v>
      </c>
    </row>
    <row r="8" spans="1:13" x14ac:dyDescent="0.2">
      <c r="A8" s="11" t="s">
        <v>16</v>
      </c>
      <c r="E8" s="11">
        <v>750520</v>
      </c>
      <c r="G8" s="11">
        <v>0</v>
      </c>
      <c r="I8" s="11">
        <v>0</v>
      </c>
    </row>
    <row r="10" spans="1:13" x14ac:dyDescent="0.2">
      <c r="A10" s="11" t="s">
        <v>17</v>
      </c>
      <c r="E10" s="11">
        <f>1572680+1451617</f>
        <v>3024297</v>
      </c>
      <c r="G10" s="11">
        <v>0</v>
      </c>
      <c r="I10" s="11">
        <v>0</v>
      </c>
    </row>
    <row r="12" spans="1:13" x14ac:dyDescent="0.2">
      <c r="A12" s="11" t="s">
        <v>18</v>
      </c>
      <c r="E12" s="11">
        <f>5916673-2016390-464816-5302</f>
        <v>3430165</v>
      </c>
      <c r="G12" s="11">
        <v>0</v>
      </c>
      <c r="I12" s="11">
        <v>0</v>
      </c>
    </row>
    <row r="14" spans="1:13" x14ac:dyDescent="0.2">
      <c r="A14" s="11" t="s">
        <v>19</v>
      </c>
      <c r="E14" s="11">
        <f>2016390+464816+5302+494000+1311424</f>
        <v>4291932</v>
      </c>
      <c r="G14" s="11">
        <v>0</v>
      </c>
      <c r="I14" s="11">
        <v>465000</v>
      </c>
    </row>
    <row r="16" spans="1:13" x14ac:dyDescent="0.2">
      <c r="A16" s="11" t="s">
        <v>20</v>
      </c>
      <c r="E16" s="12">
        <f>2555163-1311424+1007435</f>
        <v>2251174</v>
      </c>
      <c r="G16" s="12">
        <v>200000</v>
      </c>
      <c r="I16" s="12">
        <v>1100000</v>
      </c>
    </row>
    <row r="18" spans="1:13" x14ac:dyDescent="0.2">
      <c r="B18" s="11" t="s">
        <v>21</v>
      </c>
      <c r="E18" s="11">
        <f>SUM(E8:E17)</f>
        <v>13748088</v>
      </c>
      <c r="G18" s="11">
        <f>SUM(G8:G17)</f>
        <v>200000</v>
      </c>
      <c r="I18" s="11">
        <f>SUM(I8:I17)</f>
        <v>1565000</v>
      </c>
    </row>
    <row r="20" spans="1:13" x14ac:dyDescent="0.2">
      <c r="A20" s="11" t="s">
        <v>22</v>
      </c>
      <c r="E20" s="11">
        <v>4290670</v>
      </c>
      <c r="G20" s="11">
        <v>0</v>
      </c>
      <c r="I20" s="11">
        <v>0</v>
      </c>
    </row>
    <row r="22" spans="1:13" x14ac:dyDescent="0.2">
      <c r="A22" s="11" t="s">
        <v>23</v>
      </c>
      <c r="E22" s="12">
        <f>142062+22652</f>
        <v>164714</v>
      </c>
      <c r="G22" s="12">
        <v>0</v>
      </c>
      <c r="I22" s="12">
        <v>20000</v>
      </c>
    </row>
    <row r="24" spans="1:13" ht="13.5" thickBot="1" x14ac:dyDescent="0.25">
      <c r="B24" s="11" t="s">
        <v>29</v>
      </c>
      <c r="E24" s="17">
        <f>SUM(E18:E23)</f>
        <v>18203472</v>
      </c>
      <c r="F24" s="17"/>
      <c r="G24" s="17">
        <f>SUM(G18:G23)</f>
        <v>200000</v>
      </c>
      <c r="H24" s="17"/>
      <c r="I24" s="17">
        <f>SUM(I18:I23)</f>
        <v>1585000</v>
      </c>
      <c r="K24" s="16">
        <f>+I24-E24</f>
        <v>-16618472</v>
      </c>
      <c r="M24" s="16">
        <f>+G24-E24</f>
        <v>-18003472</v>
      </c>
    </row>
    <row r="26" spans="1:13" ht="13.5" thickBot="1" x14ac:dyDescent="0.25">
      <c r="A26" s="11" t="s">
        <v>40</v>
      </c>
      <c r="E26" s="11">
        <v>441408</v>
      </c>
      <c r="G26" s="11">
        <v>100000</v>
      </c>
      <c r="I26" s="11">
        <v>300000</v>
      </c>
      <c r="K26" s="16">
        <f>+I26-E26</f>
        <v>-141408</v>
      </c>
      <c r="M26" s="16">
        <f>+G26-E26</f>
        <v>-341408</v>
      </c>
    </row>
    <row r="28" spans="1:13" x14ac:dyDescent="0.2">
      <c r="A28" s="11" t="s">
        <v>41</v>
      </c>
      <c r="E28" s="11">
        <f>2702000*1.45</f>
        <v>3917900</v>
      </c>
      <c r="G28" s="11">
        <f>1915000*1.45</f>
        <v>2776750</v>
      </c>
      <c r="I28" s="11">
        <f>1915000*1.45</f>
        <v>2776750</v>
      </c>
      <c r="K28" s="11">
        <f>+I28-E28</f>
        <v>-1141150</v>
      </c>
      <c r="M28" s="11">
        <f>+G28-E28</f>
        <v>-1141150</v>
      </c>
    </row>
    <row r="30" spans="1:13" hidden="1" x14ac:dyDescent="0.2">
      <c r="A30" s="11" t="s">
        <v>42</v>
      </c>
    </row>
    <row r="31" spans="1:13" hidden="1" x14ac:dyDescent="0.2"/>
    <row r="32" spans="1:13" x14ac:dyDescent="0.2">
      <c r="A32" s="11" t="s">
        <v>43</v>
      </c>
      <c r="K32" s="11">
        <v>-4300000</v>
      </c>
      <c r="M32" s="11">
        <v>-4300000</v>
      </c>
    </row>
  </sheetData>
  <mergeCells count="2">
    <mergeCell ref="G5:I5"/>
    <mergeCell ref="K5:M5"/>
  </mergeCells>
  <phoneticPr fontId="0" type="noConversion"/>
  <pageMargins left="0.75" right="0.75" top="1" bottom="1" header="0.5" footer="0.5"/>
  <pageSetup orientation="landscape" horizontalDpi="4294967293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9"/>
  <sheetViews>
    <sheetView topLeftCell="A7" workbookViewId="0">
      <selection activeCell="C40" sqref="C40"/>
    </sheetView>
  </sheetViews>
  <sheetFormatPr defaultRowHeight="12.75" x14ac:dyDescent="0.2"/>
  <cols>
    <col min="1" max="1" width="3.5703125" style="1" customWidth="1"/>
    <col min="2" max="2" width="9.140625" style="1"/>
    <col min="3" max="3" width="36.42578125" style="1" customWidth="1"/>
    <col min="4" max="5" width="9.140625" style="1"/>
    <col min="6" max="6" width="2.28515625" style="1" customWidth="1"/>
    <col min="7" max="7" width="8.140625" style="1" customWidth="1"/>
    <col min="8" max="8" width="2.28515625" style="1" customWidth="1"/>
    <col min="9" max="9" width="9.140625" style="1"/>
    <col min="10" max="10" width="5.140625" style="1" customWidth="1"/>
    <col min="11" max="16384" width="9.140625" style="1"/>
  </cols>
  <sheetData>
    <row r="1" spans="1:10" ht="15.75" x14ac:dyDescent="0.2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5.75" x14ac:dyDescent="0.2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</row>
    <row r="3" spans="1:10" x14ac:dyDescent="0.2">
      <c r="A3" s="34" t="s">
        <v>2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ht="25.5" x14ac:dyDescent="0.2">
      <c r="G4" s="2" t="s">
        <v>3</v>
      </c>
      <c r="H4" s="2"/>
      <c r="I4" s="2" t="s">
        <v>4</v>
      </c>
    </row>
    <row r="6" spans="1:10" x14ac:dyDescent="0.2">
      <c r="A6" s="1" t="s">
        <v>5</v>
      </c>
      <c r="G6" s="3">
        <v>141.5</v>
      </c>
      <c r="I6" s="3">
        <v>141.5</v>
      </c>
    </row>
    <row r="8" spans="1:10" x14ac:dyDescent="0.2">
      <c r="A8" s="4" t="s">
        <v>6</v>
      </c>
      <c r="G8" s="5">
        <v>-3</v>
      </c>
      <c r="I8" s="5">
        <v>-3</v>
      </c>
    </row>
    <row r="10" spans="1:10" x14ac:dyDescent="0.2">
      <c r="A10" s="6"/>
      <c r="G10" s="1">
        <f>+G6+G8</f>
        <v>138.5</v>
      </c>
      <c r="I10" s="1">
        <f>+I6+I8</f>
        <v>138.5</v>
      </c>
    </row>
    <row r="12" spans="1:10" x14ac:dyDescent="0.2">
      <c r="A12" s="4" t="s">
        <v>7</v>
      </c>
      <c r="G12" s="5">
        <v>0</v>
      </c>
      <c r="I12" s="5">
        <v>-10</v>
      </c>
    </row>
    <row r="14" spans="1:10" x14ac:dyDescent="0.2">
      <c r="A14" s="6" t="s">
        <v>8</v>
      </c>
      <c r="G14" s="1">
        <f>+G10+G12</f>
        <v>138.5</v>
      </c>
      <c r="I14" s="1">
        <f>+I10+I12</f>
        <v>128.5</v>
      </c>
      <c r="J14" s="7"/>
    </row>
    <row r="16" spans="1:10" x14ac:dyDescent="0.2">
      <c r="A16" s="4" t="s">
        <v>10</v>
      </c>
    </row>
    <row r="17" spans="1:10" x14ac:dyDescent="0.2">
      <c r="B17" s="4" t="s">
        <v>35</v>
      </c>
      <c r="E17" s="3">
        <v>144.69999999999999</v>
      </c>
      <c r="F17" s="3"/>
      <c r="H17" s="3"/>
    </row>
    <row r="18" spans="1:10" x14ac:dyDescent="0.2">
      <c r="B18" s="4" t="s">
        <v>36</v>
      </c>
      <c r="E18" s="1">
        <v>8.6</v>
      </c>
      <c r="F18" s="3"/>
      <c r="H18" s="3"/>
    </row>
    <row r="19" spans="1:10" x14ac:dyDescent="0.2">
      <c r="B19" s="4" t="s">
        <v>11</v>
      </c>
      <c r="E19" s="1">
        <v>35.5</v>
      </c>
    </row>
    <row r="20" spans="1:10" x14ac:dyDescent="0.2">
      <c r="B20" s="4" t="s">
        <v>87</v>
      </c>
    </row>
    <row r="21" spans="1:10" x14ac:dyDescent="0.2">
      <c r="B21" s="7" t="s">
        <v>12</v>
      </c>
      <c r="E21" s="8">
        <v>6.4</v>
      </c>
      <c r="F21" s="8"/>
      <c r="H21" s="8"/>
    </row>
    <row r="22" spans="1:10" x14ac:dyDescent="0.2">
      <c r="B22" s="4" t="s">
        <v>88</v>
      </c>
      <c r="E22" s="8"/>
      <c r="F22" s="8"/>
      <c r="H22" s="8"/>
    </row>
    <row r="23" spans="1:10" x14ac:dyDescent="0.2">
      <c r="B23" s="7" t="s">
        <v>12</v>
      </c>
      <c r="E23" s="8">
        <v>1.2</v>
      </c>
      <c r="F23" s="8"/>
      <c r="H23" s="8"/>
    </row>
    <row r="24" spans="1:10" x14ac:dyDescent="0.2">
      <c r="B24" s="4" t="s">
        <v>39</v>
      </c>
      <c r="E24" s="8">
        <v>0</v>
      </c>
      <c r="F24" s="8"/>
      <c r="H24" s="8"/>
    </row>
    <row r="25" spans="1:10" x14ac:dyDescent="0.2">
      <c r="B25" s="4" t="s">
        <v>37</v>
      </c>
      <c r="E25" s="8"/>
      <c r="F25" s="8"/>
      <c r="H25" s="8"/>
    </row>
    <row r="26" spans="1:10" x14ac:dyDescent="0.2">
      <c r="B26" s="7" t="s">
        <v>38</v>
      </c>
      <c r="E26" s="5">
        <v>2</v>
      </c>
      <c r="F26" s="5"/>
      <c r="G26" s="5"/>
      <c r="H26" s="5"/>
      <c r="I26" s="5"/>
    </row>
    <row r="27" spans="1:10" x14ac:dyDescent="0.2">
      <c r="E27" s="8"/>
      <c r="F27" s="8"/>
      <c r="G27" s="8"/>
      <c r="H27" s="8"/>
      <c r="I27" s="8"/>
    </row>
    <row r="28" spans="1:10" x14ac:dyDescent="0.2">
      <c r="A28" s="6" t="s">
        <v>13</v>
      </c>
      <c r="G28" s="1">
        <f>SUM(E17:E26)</f>
        <v>198.39999999999998</v>
      </c>
      <c r="I28" s="1">
        <f>SUM(E17:E26)</f>
        <v>198.39999999999998</v>
      </c>
      <c r="J28" s="7"/>
    </row>
    <row r="30" spans="1:10" x14ac:dyDescent="0.2">
      <c r="A30" s="6" t="s">
        <v>14</v>
      </c>
      <c r="G30" s="1">
        <v>-8</v>
      </c>
      <c r="I30" s="1">
        <v>0</v>
      </c>
      <c r="J30" s="7"/>
    </row>
    <row r="32" spans="1:10" x14ac:dyDescent="0.2">
      <c r="A32" s="6" t="s">
        <v>32</v>
      </c>
      <c r="G32" s="5">
        <v>0</v>
      </c>
      <c r="I32" s="5">
        <v>0</v>
      </c>
    </row>
    <row r="34" spans="1:10" x14ac:dyDescent="0.2">
      <c r="A34" s="6" t="s">
        <v>84</v>
      </c>
      <c r="G34" s="24">
        <f>+G14-G28+G30+G32</f>
        <v>-67.899999999999977</v>
      </c>
      <c r="H34" s="6"/>
      <c r="I34" s="24">
        <f>+I14-I28-I30</f>
        <v>-69.899999999999977</v>
      </c>
    </row>
    <row r="37" spans="1:10" x14ac:dyDescent="0.2">
      <c r="A37" s="6" t="s">
        <v>15</v>
      </c>
      <c r="G37" s="5">
        <v>28.2</v>
      </c>
      <c r="I37" s="5">
        <v>28.2</v>
      </c>
      <c r="J37" s="7"/>
    </row>
    <row r="39" spans="1:10" ht="13.5" thickBot="1" x14ac:dyDescent="0.25">
      <c r="A39" s="6" t="s">
        <v>85</v>
      </c>
      <c r="G39" s="10">
        <f>+G14-G28-G37-G30</f>
        <v>-80.09999999999998</v>
      </c>
      <c r="H39" s="6"/>
      <c r="I39" s="10">
        <f>+I14-I28-I37-I30</f>
        <v>-98.09999999999998</v>
      </c>
      <c r="J39" s="7"/>
    </row>
  </sheetData>
  <mergeCells count="3">
    <mergeCell ref="A1:J1"/>
    <mergeCell ref="A2:J2"/>
    <mergeCell ref="A3:J3"/>
  </mergeCells>
  <phoneticPr fontId="0" type="noConversion"/>
  <printOptions horizontalCentered="1"/>
  <pageMargins left="0.75" right="0.75" top="1" bottom="1" header="0.5" footer="0.5"/>
  <pageSetup scale="9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0"/>
  <sheetViews>
    <sheetView topLeftCell="A24" workbookViewId="0">
      <selection activeCell="A41" sqref="A41"/>
    </sheetView>
  </sheetViews>
  <sheetFormatPr defaultRowHeight="12.75" x14ac:dyDescent="0.2"/>
  <cols>
    <col min="1" max="1" width="3.5703125" style="1" customWidth="1"/>
    <col min="2" max="2" width="9.140625" style="1"/>
    <col min="3" max="3" width="36.42578125" style="1" customWidth="1"/>
    <col min="4" max="5" width="9.140625" style="1"/>
    <col min="6" max="6" width="2.28515625" style="1" customWidth="1"/>
    <col min="7" max="7" width="8.140625" style="1" customWidth="1"/>
    <col min="8" max="8" width="2.28515625" style="1" hidden="1" customWidth="1"/>
    <col min="9" max="9" width="0" style="1" hidden="1" customWidth="1"/>
    <col min="10" max="10" width="5.140625" style="1" customWidth="1"/>
    <col min="11" max="16384" width="9.140625" style="1"/>
  </cols>
  <sheetData>
    <row r="1" spans="1:10" ht="15.75" x14ac:dyDescent="0.25">
      <c r="A1" s="33" t="s">
        <v>30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5.75" x14ac:dyDescent="0.2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</row>
    <row r="3" spans="1:10" x14ac:dyDescent="0.2">
      <c r="A3" s="34" t="s">
        <v>2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x14ac:dyDescent="0.2">
      <c r="G4" s="18"/>
      <c r="H4" s="18"/>
      <c r="I4" s="18"/>
    </row>
    <row r="6" spans="1:10" x14ac:dyDescent="0.2">
      <c r="A6" s="1" t="s">
        <v>5</v>
      </c>
      <c r="G6" s="3">
        <v>20</v>
      </c>
      <c r="I6" s="3">
        <v>141.5</v>
      </c>
    </row>
    <row r="8" spans="1:10" x14ac:dyDescent="0.2">
      <c r="A8" s="4" t="s">
        <v>6</v>
      </c>
      <c r="G8" s="5">
        <v>-0.7</v>
      </c>
      <c r="I8" s="5">
        <v>-3</v>
      </c>
    </row>
    <row r="10" spans="1:10" hidden="1" x14ac:dyDescent="0.2">
      <c r="A10" s="6"/>
      <c r="G10" s="1">
        <f>+G6+G8</f>
        <v>19.3</v>
      </c>
      <c r="I10" s="1">
        <f>+I6+I8</f>
        <v>138.5</v>
      </c>
    </row>
    <row r="11" spans="1:10" hidden="1" x14ac:dyDescent="0.2"/>
    <row r="12" spans="1:10" hidden="1" x14ac:dyDescent="0.2">
      <c r="A12" s="4" t="s">
        <v>7</v>
      </c>
      <c r="G12" s="5">
        <v>0</v>
      </c>
      <c r="I12" s="5">
        <v>-10</v>
      </c>
    </row>
    <row r="13" spans="1:10" hidden="1" x14ac:dyDescent="0.2"/>
    <row r="14" spans="1:10" x14ac:dyDescent="0.2">
      <c r="A14" s="6" t="s">
        <v>8</v>
      </c>
      <c r="G14" s="1">
        <f>+G10+G12</f>
        <v>19.3</v>
      </c>
      <c r="I14" s="1">
        <f>+I10+I12</f>
        <v>128.5</v>
      </c>
      <c r="J14" s="7"/>
    </row>
    <row r="16" spans="1:10" x14ac:dyDescent="0.2">
      <c r="A16" s="4" t="s">
        <v>10</v>
      </c>
    </row>
    <row r="17" spans="1:10" x14ac:dyDescent="0.2">
      <c r="B17" s="4" t="s">
        <v>45</v>
      </c>
      <c r="E17" s="3">
        <v>64.5</v>
      </c>
      <c r="F17" s="3"/>
      <c r="H17" s="3"/>
    </row>
    <row r="18" spans="1:10" x14ac:dyDescent="0.2">
      <c r="B18" s="4" t="s">
        <v>31</v>
      </c>
      <c r="E18" s="1">
        <v>22.1</v>
      </c>
    </row>
    <row r="19" spans="1:10" x14ac:dyDescent="0.2">
      <c r="B19" s="4" t="s">
        <v>34</v>
      </c>
    </row>
    <row r="20" spans="1:10" x14ac:dyDescent="0.2">
      <c r="B20" s="7" t="s">
        <v>44</v>
      </c>
      <c r="E20" s="1">
        <v>0</v>
      </c>
    </row>
    <row r="21" spans="1:10" x14ac:dyDescent="0.2">
      <c r="B21" s="4" t="s">
        <v>89</v>
      </c>
    </row>
    <row r="22" spans="1:10" x14ac:dyDescent="0.2">
      <c r="B22" s="7" t="s">
        <v>12</v>
      </c>
      <c r="E22" s="8">
        <v>0.1</v>
      </c>
      <c r="F22" s="8"/>
      <c r="G22" s="7" t="s">
        <v>9</v>
      </c>
      <c r="H22" s="8"/>
    </row>
    <row r="23" spans="1:10" x14ac:dyDescent="0.2">
      <c r="B23" s="4" t="s">
        <v>39</v>
      </c>
      <c r="E23" s="5">
        <v>0</v>
      </c>
      <c r="F23" s="8"/>
      <c r="H23" s="8"/>
    </row>
    <row r="24" spans="1:10" x14ac:dyDescent="0.2">
      <c r="E24" s="8"/>
      <c r="F24" s="8"/>
      <c r="G24" s="8"/>
      <c r="H24" s="8"/>
      <c r="I24" s="8"/>
    </row>
    <row r="25" spans="1:10" x14ac:dyDescent="0.2">
      <c r="A25" s="6" t="s">
        <v>13</v>
      </c>
      <c r="G25" s="1">
        <f>SUM(E17:E23)</f>
        <v>86.699999999999989</v>
      </c>
      <c r="I25" s="1">
        <f>SUM(E17:E23)</f>
        <v>86.699999999999989</v>
      </c>
    </row>
    <row r="27" spans="1:10" x14ac:dyDescent="0.2">
      <c r="A27" s="6" t="s">
        <v>14</v>
      </c>
      <c r="G27" s="1">
        <v>0</v>
      </c>
      <c r="I27" s="1">
        <v>0</v>
      </c>
      <c r="J27" s="7"/>
    </row>
    <row r="29" spans="1:10" x14ac:dyDescent="0.2">
      <c r="A29" s="6" t="s">
        <v>32</v>
      </c>
      <c r="G29" s="5">
        <v>0</v>
      </c>
    </row>
    <row r="31" spans="1:10" x14ac:dyDescent="0.2">
      <c r="A31" s="6" t="s">
        <v>53</v>
      </c>
      <c r="G31" s="9">
        <f>+G14-G25-G27</f>
        <v>-67.399999999999991</v>
      </c>
      <c r="H31" s="6"/>
      <c r="I31" s="9">
        <f>+I14-I25-I27</f>
        <v>41.800000000000011</v>
      </c>
    </row>
    <row r="34" spans="1:10" x14ac:dyDescent="0.2">
      <c r="A34" s="6" t="s">
        <v>15</v>
      </c>
      <c r="G34" s="5">
        <v>0</v>
      </c>
      <c r="I34" s="5">
        <v>28.2</v>
      </c>
      <c r="J34" s="7"/>
    </row>
    <row r="36" spans="1:10" ht="13.5" thickBot="1" x14ac:dyDescent="0.25">
      <c r="A36" s="6" t="s">
        <v>54</v>
      </c>
      <c r="G36" s="10">
        <f>+G14-G25-G34-G27</f>
        <v>-67.399999999999991</v>
      </c>
      <c r="H36" s="6"/>
      <c r="I36" s="10">
        <f>+I14-I25-I34-I27</f>
        <v>13.600000000000012</v>
      </c>
      <c r="J36" s="7"/>
    </row>
    <row r="39" spans="1:10" x14ac:dyDescent="0.2">
      <c r="A39" s="7" t="s">
        <v>95</v>
      </c>
    </row>
    <row r="40" spans="1:10" x14ac:dyDescent="0.2">
      <c r="A40" s="7" t="s">
        <v>96</v>
      </c>
    </row>
  </sheetData>
  <mergeCells count="3">
    <mergeCell ref="A1:J1"/>
    <mergeCell ref="A2:J2"/>
    <mergeCell ref="A3:J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1"/>
  <sheetViews>
    <sheetView workbookViewId="0">
      <selection activeCell="G7" sqref="G7"/>
    </sheetView>
  </sheetViews>
  <sheetFormatPr defaultRowHeight="12.75" x14ac:dyDescent="0.2"/>
  <cols>
    <col min="1" max="1" width="3.5703125" style="1" customWidth="1"/>
    <col min="2" max="2" width="9.140625" style="1"/>
    <col min="3" max="3" width="36.42578125" style="1" customWidth="1"/>
    <col min="4" max="5" width="9.140625" style="1"/>
    <col min="6" max="6" width="2.28515625" style="1" customWidth="1"/>
    <col min="7" max="7" width="8.140625" style="1" customWidth="1"/>
    <col min="8" max="8" width="2.28515625" style="1" hidden="1" customWidth="1"/>
    <col min="9" max="9" width="0" style="1" hidden="1" customWidth="1"/>
    <col min="10" max="10" width="5.140625" style="1" customWidth="1"/>
    <col min="11" max="16384" width="9.140625" style="1"/>
  </cols>
  <sheetData>
    <row r="1" spans="1:10" ht="15.75" x14ac:dyDescent="0.25">
      <c r="A1" s="33" t="s">
        <v>33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5.75" x14ac:dyDescent="0.2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</row>
    <row r="3" spans="1:10" x14ac:dyDescent="0.2">
      <c r="A3" s="34" t="s">
        <v>2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x14ac:dyDescent="0.2">
      <c r="G4" s="18"/>
      <c r="H4" s="18"/>
      <c r="I4" s="18"/>
    </row>
    <row r="6" spans="1:10" x14ac:dyDescent="0.2">
      <c r="A6" s="1" t="s">
        <v>5</v>
      </c>
      <c r="G6" s="3">
        <v>15</v>
      </c>
      <c r="I6" s="3">
        <v>141.5</v>
      </c>
    </row>
    <row r="8" spans="1:10" x14ac:dyDescent="0.2">
      <c r="A8" s="4" t="s">
        <v>6</v>
      </c>
      <c r="G8" s="5">
        <v>-0.6</v>
      </c>
      <c r="I8" s="5">
        <v>-3</v>
      </c>
    </row>
    <row r="10" spans="1:10" hidden="1" x14ac:dyDescent="0.2">
      <c r="A10" s="6"/>
      <c r="G10" s="1">
        <f>+G6+G8</f>
        <v>14.4</v>
      </c>
      <c r="I10" s="1">
        <f>+I6+I8</f>
        <v>138.5</v>
      </c>
    </row>
    <row r="11" spans="1:10" hidden="1" x14ac:dyDescent="0.2"/>
    <row r="12" spans="1:10" hidden="1" x14ac:dyDescent="0.2">
      <c r="A12" s="4" t="s">
        <v>7</v>
      </c>
      <c r="G12" s="5">
        <v>0</v>
      </c>
      <c r="I12" s="5">
        <v>-10</v>
      </c>
    </row>
    <row r="13" spans="1:10" hidden="1" x14ac:dyDescent="0.2"/>
    <row r="14" spans="1:10" x14ac:dyDescent="0.2">
      <c r="A14" s="6" t="s">
        <v>8</v>
      </c>
      <c r="G14" s="1">
        <f>+G10+G12</f>
        <v>14.4</v>
      </c>
      <c r="I14" s="1">
        <f>+I10+I12</f>
        <v>128.5</v>
      </c>
      <c r="J14" s="7"/>
    </row>
    <row r="16" spans="1:10" x14ac:dyDescent="0.2">
      <c r="A16" s="4" t="s">
        <v>10</v>
      </c>
    </row>
    <row r="17" spans="1:10" x14ac:dyDescent="0.2">
      <c r="B17" s="4" t="s">
        <v>45</v>
      </c>
      <c r="E17" s="3">
        <v>20.7</v>
      </c>
      <c r="F17" s="3"/>
      <c r="H17" s="3"/>
    </row>
    <row r="18" spans="1:10" x14ac:dyDescent="0.2">
      <c r="B18" s="4" t="s">
        <v>46</v>
      </c>
      <c r="E18" s="1">
        <v>0</v>
      </c>
    </row>
    <row r="19" spans="1:10" x14ac:dyDescent="0.2">
      <c r="B19" s="4" t="s">
        <v>47</v>
      </c>
    </row>
    <row r="20" spans="1:10" x14ac:dyDescent="0.2">
      <c r="B20" s="7" t="s">
        <v>48</v>
      </c>
      <c r="E20" s="1">
        <v>0</v>
      </c>
    </row>
    <row r="21" spans="1:10" x14ac:dyDescent="0.2">
      <c r="B21" s="4" t="s">
        <v>90</v>
      </c>
    </row>
    <row r="22" spans="1:10" x14ac:dyDescent="0.2">
      <c r="B22" s="7" t="s">
        <v>12</v>
      </c>
      <c r="E22" s="8">
        <v>0</v>
      </c>
      <c r="F22" s="8"/>
      <c r="G22" s="7" t="s">
        <v>50</v>
      </c>
      <c r="H22" s="8"/>
    </row>
    <row r="23" spans="1:10" x14ac:dyDescent="0.2">
      <c r="B23" s="4" t="s">
        <v>39</v>
      </c>
      <c r="E23" s="5">
        <v>0</v>
      </c>
      <c r="F23" s="8"/>
      <c r="H23" s="8"/>
    </row>
    <row r="24" spans="1:10" x14ac:dyDescent="0.2">
      <c r="E24" s="8"/>
      <c r="F24" s="8"/>
      <c r="G24" s="8"/>
      <c r="H24" s="8"/>
      <c r="I24" s="8"/>
    </row>
    <row r="25" spans="1:10" x14ac:dyDescent="0.2">
      <c r="A25" s="6" t="s">
        <v>13</v>
      </c>
      <c r="G25" s="1">
        <f>SUM(E17:E23)</f>
        <v>20.7</v>
      </c>
      <c r="I25" s="1">
        <f>SUM(E17:E23)</f>
        <v>20.7</v>
      </c>
      <c r="J25" s="7"/>
    </row>
    <row r="27" spans="1:10" x14ac:dyDescent="0.2">
      <c r="A27" s="6" t="s">
        <v>14</v>
      </c>
      <c r="G27" s="1">
        <v>0</v>
      </c>
      <c r="I27" s="1">
        <v>0</v>
      </c>
      <c r="J27" s="7"/>
    </row>
    <row r="29" spans="1:10" x14ac:dyDescent="0.2">
      <c r="A29" s="6" t="s">
        <v>32</v>
      </c>
      <c r="G29" s="5">
        <v>0</v>
      </c>
    </row>
    <row r="31" spans="1:10" x14ac:dyDescent="0.2">
      <c r="A31" s="6" t="s">
        <v>51</v>
      </c>
      <c r="G31" s="9">
        <f>+G14-G25-G27</f>
        <v>-6.2999999999999989</v>
      </c>
      <c r="H31" s="6"/>
      <c r="I31" s="9">
        <f>+I14-I25-I27</f>
        <v>107.8</v>
      </c>
    </row>
    <row r="34" spans="1:10" x14ac:dyDescent="0.2">
      <c r="A34" s="6" t="s">
        <v>15</v>
      </c>
      <c r="G34" s="5">
        <v>0</v>
      </c>
      <c r="I34" s="5">
        <v>28.2</v>
      </c>
      <c r="J34" s="7"/>
    </row>
    <row r="36" spans="1:10" ht="13.5" thickBot="1" x14ac:dyDescent="0.25">
      <c r="A36" s="6" t="s">
        <v>52</v>
      </c>
      <c r="G36" s="10">
        <f>+G14-G25-G34-G27</f>
        <v>-6.2999999999999989</v>
      </c>
      <c r="H36" s="6"/>
      <c r="I36" s="10">
        <f>+I14-I25-I34-I27</f>
        <v>79.599999999999994</v>
      </c>
      <c r="J36" s="7"/>
    </row>
    <row r="39" spans="1:10" x14ac:dyDescent="0.2">
      <c r="A39" s="7" t="s">
        <v>56</v>
      </c>
    </row>
    <row r="40" spans="1:10" x14ac:dyDescent="0.2">
      <c r="A40" s="7" t="s">
        <v>57</v>
      </c>
    </row>
    <row r="41" spans="1:10" x14ac:dyDescent="0.2">
      <c r="A41" s="7" t="s">
        <v>58</v>
      </c>
    </row>
  </sheetData>
  <mergeCells count="3">
    <mergeCell ref="A1:J1"/>
    <mergeCell ref="A2:J2"/>
    <mergeCell ref="A3:J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9"/>
  <sheetViews>
    <sheetView workbookViewId="0">
      <selection activeCell="B22" sqref="B22"/>
    </sheetView>
  </sheetViews>
  <sheetFormatPr defaultRowHeight="12.75" x14ac:dyDescent="0.2"/>
  <cols>
    <col min="1" max="1" width="3.5703125" style="1" customWidth="1"/>
    <col min="2" max="2" width="9.140625" style="1"/>
    <col min="3" max="3" width="36.42578125" style="1" customWidth="1"/>
    <col min="4" max="5" width="9.140625" style="1"/>
    <col min="6" max="6" width="2.28515625" style="1" customWidth="1"/>
    <col min="7" max="7" width="8.140625" style="1" customWidth="1"/>
    <col min="8" max="8" width="2.28515625" style="1" hidden="1" customWidth="1"/>
    <col min="9" max="9" width="0" style="1" hidden="1" customWidth="1"/>
    <col min="10" max="10" width="5.140625" style="1" customWidth="1"/>
    <col min="11" max="16384" width="9.140625" style="1"/>
  </cols>
  <sheetData>
    <row r="1" spans="1:10" ht="15.75" x14ac:dyDescent="0.25">
      <c r="A1" s="33" t="s">
        <v>61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5.75" x14ac:dyDescent="0.2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</row>
    <row r="3" spans="1:10" x14ac:dyDescent="0.2">
      <c r="A3" s="34" t="s">
        <v>2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x14ac:dyDescent="0.2">
      <c r="G4" s="18"/>
      <c r="H4" s="18"/>
      <c r="I4" s="18"/>
    </row>
    <row r="6" spans="1:10" x14ac:dyDescent="0.2">
      <c r="A6" s="1" t="s">
        <v>5</v>
      </c>
      <c r="G6" s="3">
        <v>10</v>
      </c>
      <c r="I6" s="3">
        <v>141.5</v>
      </c>
    </row>
    <row r="8" spans="1:10" x14ac:dyDescent="0.2">
      <c r="A8" s="4" t="s">
        <v>6</v>
      </c>
      <c r="G8" s="5">
        <v>-0.5</v>
      </c>
      <c r="I8" s="5">
        <v>-3</v>
      </c>
    </row>
    <row r="10" spans="1:10" hidden="1" x14ac:dyDescent="0.2">
      <c r="A10" s="6"/>
      <c r="G10" s="1">
        <f>+G6+G8</f>
        <v>9.5</v>
      </c>
      <c r="I10" s="1">
        <f>+I6+I8</f>
        <v>138.5</v>
      </c>
    </row>
    <row r="11" spans="1:10" hidden="1" x14ac:dyDescent="0.2"/>
    <row r="12" spans="1:10" hidden="1" x14ac:dyDescent="0.2">
      <c r="A12" s="4" t="s">
        <v>7</v>
      </c>
      <c r="G12" s="5">
        <v>0</v>
      </c>
      <c r="I12" s="5">
        <v>-10</v>
      </c>
    </row>
    <row r="13" spans="1:10" hidden="1" x14ac:dyDescent="0.2"/>
    <row r="14" spans="1:10" x14ac:dyDescent="0.2">
      <c r="A14" s="6" t="s">
        <v>8</v>
      </c>
      <c r="G14" s="1">
        <f>+G10+G12</f>
        <v>9.5</v>
      </c>
      <c r="I14" s="1">
        <f>+I10+I12</f>
        <v>128.5</v>
      </c>
      <c r="J14" s="7"/>
    </row>
    <row r="16" spans="1:10" x14ac:dyDescent="0.2">
      <c r="A16" s="4" t="s">
        <v>10</v>
      </c>
    </row>
    <row r="17" spans="1:10" x14ac:dyDescent="0.2">
      <c r="B17" s="4" t="s">
        <v>45</v>
      </c>
      <c r="E17" s="3">
        <v>6.6</v>
      </c>
      <c r="F17" s="3"/>
      <c r="H17" s="3"/>
    </row>
    <row r="18" spans="1:10" x14ac:dyDescent="0.2">
      <c r="B18" s="4" t="s">
        <v>62</v>
      </c>
      <c r="E18" s="1">
        <v>20.6</v>
      </c>
    </row>
    <row r="19" spans="1:10" x14ac:dyDescent="0.2">
      <c r="B19" s="4" t="s">
        <v>34</v>
      </c>
    </row>
    <row r="20" spans="1:10" x14ac:dyDescent="0.2">
      <c r="B20" s="7" t="s">
        <v>63</v>
      </c>
      <c r="E20" s="1">
        <v>0</v>
      </c>
    </row>
    <row r="21" spans="1:10" x14ac:dyDescent="0.2">
      <c r="B21" s="4" t="s">
        <v>91</v>
      </c>
    </row>
    <row r="22" spans="1:10" x14ac:dyDescent="0.2">
      <c r="B22" s="7" t="s">
        <v>12</v>
      </c>
      <c r="E22" s="8">
        <v>2.2999999999999998</v>
      </c>
      <c r="F22" s="8"/>
      <c r="G22" s="7" t="s">
        <v>50</v>
      </c>
      <c r="H22" s="8"/>
    </row>
    <row r="23" spans="1:10" x14ac:dyDescent="0.2">
      <c r="B23" s="4" t="s">
        <v>39</v>
      </c>
      <c r="E23" s="5">
        <v>0</v>
      </c>
      <c r="F23" s="8"/>
      <c r="H23" s="8"/>
    </row>
    <row r="24" spans="1:10" x14ac:dyDescent="0.2">
      <c r="E24" s="8"/>
      <c r="F24" s="8"/>
      <c r="G24" s="8"/>
      <c r="H24" s="8"/>
      <c r="I24" s="8"/>
    </row>
    <row r="25" spans="1:10" x14ac:dyDescent="0.2">
      <c r="A25" s="6" t="s">
        <v>13</v>
      </c>
      <c r="G25" s="1">
        <f>SUM(E17:E23)</f>
        <v>29.500000000000004</v>
      </c>
      <c r="I25" s="1">
        <f>SUM(E17:E23)</f>
        <v>29.500000000000004</v>
      </c>
      <c r="J25" s="7"/>
    </row>
    <row r="27" spans="1:10" x14ac:dyDescent="0.2">
      <c r="A27" s="6" t="s">
        <v>14</v>
      </c>
      <c r="G27" s="1">
        <v>0</v>
      </c>
      <c r="I27" s="1">
        <v>0</v>
      </c>
      <c r="J27" s="7"/>
    </row>
    <row r="29" spans="1:10" x14ac:dyDescent="0.2">
      <c r="A29" s="6" t="s">
        <v>32</v>
      </c>
      <c r="G29" s="5">
        <v>0</v>
      </c>
    </row>
    <row r="31" spans="1:10" x14ac:dyDescent="0.2">
      <c r="A31" s="6" t="s">
        <v>53</v>
      </c>
      <c r="G31" s="9">
        <f>+G14-G25-G27</f>
        <v>-20.000000000000004</v>
      </c>
      <c r="H31" s="6"/>
      <c r="I31" s="9">
        <f>+I14-I25-I27</f>
        <v>99</v>
      </c>
    </row>
    <row r="34" spans="1:10" x14ac:dyDescent="0.2">
      <c r="A34" s="6" t="s">
        <v>15</v>
      </c>
      <c r="G34" s="5">
        <v>0</v>
      </c>
      <c r="I34" s="5">
        <v>28.2</v>
      </c>
      <c r="J34" s="7"/>
    </row>
    <row r="36" spans="1:10" ht="13.5" thickBot="1" x14ac:dyDescent="0.25">
      <c r="A36" s="6" t="s">
        <v>54</v>
      </c>
      <c r="G36" s="10">
        <f>+G14-G25-G34-G27</f>
        <v>-20.000000000000004</v>
      </c>
      <c r="H36" s="6"/>
      <c r="I36" s="10">
        <f>+I14-I25-I34-I27</f>
        <v>70.8</v>
      </c>
      <c r="J36" s="7"/>
    </row>
    <row r="39" spans="1:10" x14ac:dyDescent="0.2">
      <c r="A39" s="7" t="s">
        <v>64</v>
      </c>
    </row>
  </sheetData>
  <mergeCells count="3">
    <mergeCell ref="A1:J1"/>
    <mergeCell ref="A2:J2"/>
    <mergeCell ref="A3:J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4"/>
  <sheetViews>
    <sheetView topLeftCell="A31" workbookViewId="0">
      <selection activeCell="A43" sqref="A43"/>
    </sheetView>
  </sheetViews>
  <sheetFormatPr defaultRowHeight="12.75" x14ac:dyDescent="0.2"/>
  <cols>
    <col min="1" max="1" width="3.5703125" style="1" customWidth="1"/>
    <col min="2" max="2" width="9.140625" style="1"/>
    <col min="3" max="3" width="36.42578125" style="1" customWidth="1"/>
    <col min="4" max="5" width="9.140625" style="1"/>
    <col min="6" max="6" width="2.28515625" style="1" customWidth="1"/>
    <col min="7" max="7" width="8.140625" style="1" customWidth="1"/>
    <col min="8" max="8" width="2.28515625" style="1" hidden="1" customWidth="1"/>
    <col min="9" max="9" width="0" style="1" hidden="1" customWidth="1"/>
    <col min="10" max="10" width="5.140625" style="1" customWidth="1"/>
    <col min="11" max="16384" width="9.140625" style="1"/>
  </cols>
  <sheetData>
    <row r="1" spans="1:10" ht="15.75" x14ac:dyDescent="0.25">
      <c r="A1" s="33" t="s">
        <v>65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5.75" x14ac:dyDescent="0.2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</row>
    <row r="3" spans="1:10" x14ac:dyDescent="0.2">
      <c r="A3" s="34" t="s">
        <v>2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x14ac:dyDescent="0.2">
      <c r="G4" s="18"/>
      <c r="H4" s="18"/>
      <c r="I4" s="18"/>
    </row>
    <row r="6" spans="1:10" x14ac:dyDescent="0.2">
      <c r="A6" s="1" t="s">
        <v>5</v>
      </c>
      <c r="G6" s="3">
        <v>20</v>
      </c>
      <c r="I6" s="3">
        <v>141.5</v>
      </c>
    </row>
    <row r="8" spans="1:10" x14ac:dyDescent="0.2">
      <c r="A8" s="4" t="s">
        <v>6</v>
      </c>
      <c r="G8" s="5">
        <v>-1.5</v>
      </c>
      <c r="I8" s="5">
        <v>-3</v>
      </c>
    </row>
    <row r="10" spans="1:10" hidden="1" x14ac:dyDescent="0.2">
      <c r="A10" s="6"/>
      <c r="G10" s="1">
        <f>+G6+G8</f>
        <v>18.5</v>
      </c>
      <c r="I10" s="1">
        <f>+I6+I8</f>
        <v>138.5</v>
      </c>
    </row>
    <row r="11" spans="1:10" hidden="1" x14ac:dyDescent="0.2"/>
    <row r="12" spans="1:10" hidden="1" x14ac:dyDescent="0.2">
      <c r="A12" s="4" t="s">
        <v>7</v>
      </c>
      <c r="G12" s="5">
        <v>0</v>
      </c>
      <c r="I12" s="5">
        <v>-10</v>
      </c>
    </row>
    <row r="13" spans="1:10" hidden="1" x14ac:dyDescent="0.2"/>
    <row r="14" spans="1:10" x14ac:dyDescent="0.2">
      <c r="A14" s="6" t="s">
        <v>8</v>
      </c>
      <c r="G14" s="1">
        <f>+G10+G12</f>
        <v>18.5</v>
      </c>
      <c r="I14" s="1">
        <f>+I10+I12</f>
        <v>128.5</v>
      </c>
      <c r="J14" s="7"/>
    </row>
    <row r="16" spans="1:10" x14ac:dyDescent="0.2">
      <c r="A16" s="4" t="s">
        <v>10</v>
      </c>
    </row>
    <row r="17" spans="1:10" x14ac:dyDescent="0.2">
      <c r="B17" s="4" t="s">
        <v>45</v>
      </c>
      <c r="E17" s="3">
        <v>22.1</v>
      </c>
      <c r="F17" s="3"/>
      <c r="H17" s="3"/>
    </row>
    <row r="18" spans="1:10" x14ac:dyDescent="0.2">
      <c r="B18" s="4" t="s">
        <v>67</v>
      </c>
      <c r="E18" s="1">
        <v>0</v>
      </c>
      <c r="G18" s="7" t="s">
        <v>50</v>
      </c>
    </row>
    <row r="19" spans="1:10" x14ac:dyDescent="0.2">
      <c r="B19" s="4" t="s">
        <v>72</v>
      </c>
      <c r="E19" s="1">
        <v>0.3</v>
      </c>
      <c r="G19" s="7"/>
    </row>
    <row r="20" spans="1:10" x14ac:dyDescent="0.2">
      <c r="B20" s="4" t="s">
        <v>68</v>
      </c>
    </row>
    <row r="21" spans="1:10" x14ac:dyDescent="0.2">
      <c r="B21" s="7" t="s">
        <v>38</v>
      </c>
      <c r="E21" s="1">
        <v>0</v>
      </c>
    </row>
    <row r="22" spans="1:10" x14ac:dyDescent="0.2">
      <c r="B22" s="4" t="s">
        <v>92</v>
      </c>
    </row>
    <row r="23" spans="1:10" x14ac:dyDescent="0.2">
      <c r="B23" s="7" t="s">
        <v>12</v>
      </c>
      <c r="E23" s="8">
        <v>1.4</v>
      </c>
      <c r="F23" s="8"/>
      <c r="G23" s="7" t="s">
        <v>49</v>
      </c>
      <c r="H23" s="8"/>
    </row>
    <row r="24" spans="1:10" x14ac:dyDescent="0.2">
      <c r="B24" s="4" t="s">
        <v>39</v>
      </c>
      <c r="E24" s="5">
        <v>0</v>
      </c>
      <c r="F24" s="8"/>
      <c r="H24" s="8"/>
    </row>
    <row r="25" spans="1:10" x14ac:dyDescent="0.2">
      <c r="E25" s="8"/>
      <c r="F25" s="8"/>
      <c r="G25" s="8"/>
      <c r="H25" s="8"/>
      <c r="I25" s="8"/>
    </row>
    <row r="26" spans="1:10" x14ac:dyDescent="0.2">
      <c r="A26" s="6" t="s">
        <v>13</v>
      </c>
      <c r="G26" s="1">
        <f>SUM(E17:E24)</f>
        <v>23.8</v>
      </c>
      <c r="I26" s="1">
        <f>SUM(E17:E24)</f>
        <v>23.8</v>
      </c>
      <c r="J26" s="7"/>
    </row>
    <row r="28" spans="1:10" x14ac:dyDescent="0.2">
      <c r="A28" s="6" t="s">
        <v>14</v>
      </c>
      <c r="G28" s="1">
        <v>0</v>
      </c>
      <c r="I28" s="1">
        <v>0</v>
      </c>
      <c r="J28" s="7"/>
    </row>
    <row r="30" spans="1:10" x14ac:dyDescent="0.2">
      <c r="A30" s="6" t="s">
        <v>32</v>
      </c>
      <c r="G30" s="5">
        <v>0</v>
      </c>
    </row>
    <row r="32" spans="1:10" x14ac:dyDescent="0.2">
      <c r="A32" s="6" t="s">
        <v>53</v>
      </c>
      <c r="G32" s="9">
        <f>+G14-G26-G28</f>
        <v>-5.3000000000000007</v>
      </c>
      <c r="H32" s="6"/>
      <c r="I32" s="9">
        <f>+I14-I26-I28</f>
        <v>104.7</v>
      </c>
    </row>
    <row r="35" spans="1:10" x14ac:dyDescent="0.2">
      <c r="A35" s="6" t="s">
        <v>15</v>
      </c>
      <c r="G35" s="5">
        <v>0</v>
      </c>
      <c r="I35" s="5">
        <v>28.2</v>
      </c>
      <c r="J35" s="7"/>
    </row>
    <row r="37" spans="1:10" ht="13.5" thickBot="1" x14ac:dyDescent="0.25">
      <c r="A37" s="6" t="s">
        <v>54</v>
      </c>
      <c r="G37" s="10">
        <f>+G14-G26-G35-G28</f>
        <v>-5.3000000000000007</v>
      </c>
      <c r="H37" s="6"/>
      <c r="I37" s="10">
        <f>+I14-I26-I35-I28</f>
        <v>76.5</v>
      </c>
      <c r="J37" s="7"/>
    </row>
    <row r="40" spans="1:10" x14ac:dyDescent="0.2">
      <c r="A40" s="7" t="s">
        <v>66</v>
      </c>
    </row>
    <row r="42" spans="1:10" x14ac:dyDescent="0.2">
      <c r="A42" s="7" t="s">
        <v>69</v>
      </c>
    </row>
    <row r="43" spans="1:10" x14ac:dyDescent="0.2">
      <c r="A43" s="7" t="s">
        <v>70</v>
      </c>
    </row>
    <row r="44" spans="1:10" x14ac:dyDescent="0.2">
      <c r="A44" s="7" t="s">
        <v>71</v>
      </c>
    </row>
  </sheetData>
  <mergeCells count="3">
    <mergeCell ref="A1:J1"/>
    <mergeCell ref="A2:J2"/>
    <mergeCell ref="A3:J3"/>
  </mergeCells>
  <phoneticPr fontId="0" type="noConversion"/>
  <printOptions horizontalCentered="1"/>
  <pageMargins left="0.75" right="0.75" top="1" bottom="1" header="0.5" footer="0.5"/>
  <pageSetup scale="93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6"/>
  <sheetViews>
    <sheetView topLeftCell="A14" workbookViewId="0">
      <selection activeCell="A41" sqref="A41"/>
    </sheetView>
  </sheetViews>
  <sheetFormatPr defaultRowHeight="12.75" x14ac:dyDescent="0.2"/>
  <cols>
    <col min="1" max="1" width="3.5703125" style="1" customWidth="1"/>
    <col min="2" max="2" width="9.140625" style="1"/>
    <col min="3" max="3" width="36.42578125" style="1" customWidth="1"/>
    <col min="4" max="5" width="9.140625" style="1"/>
    <col min="6" max="6" width="2.28515625" style="1" customWidth="1"/>
    <col min="7" max="7" width="8.140625" style="1" customWidth="1"/>
    <col min="8" max="8" width="2.28515625" style="1" hidden="1" customWidth="1"/>
    <col min="9" max="9" width="0" style="1" hidden="1" customWidth="1"/>
    <col min="10" max="10" width="5.140625" style="1" customWidth="1"/>
    <col min="11" max="16384" width="9.140625" style="1"/>
  </cols>
  <sheetData>
    <row r="1" spans="1:10" ht="15.75" x14ac:dyDescent="0.25">
      <c r="A1" s="33" t="s">
        <v>73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5.75" x14ac:dyDescent="0.25">
      <c r="A2" s="33" t="s">
        <v>131</v>
      </c>
      <c r="B2" s="33"/>
      <c r="C2" s="33"/>
      <c r="D2" s="33"/>
      <c r="E2" s="33"/>
      <c r="F2" s="33"/>
      <c r="G2" s="33"/>
      <c r="H2" s="33"/>
      <c r="I2" s="33"/>
      <c r="J2" s="33"/>
    </row>
    <row r="3" spans="1:10" x14ac:dyDescent="0.2">
      <c r="A3" s="34" t="s">
        <v>2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x14ac:dyDescent="0.2">
      <c r="G4" s="18"/>
      <c r="H4" s="18"/>
      <c r="I4" s="18"/>
    </row>
    <row r="6" spans="1:10" x14ac:dyDescent="0.2">
      <c r="A6" s="1" t="s">
        <v>5</v>
      </c>
      <c r="G6" s="3">
        <v>0</v>
      </c>
      <c r="I6" s="3">
        <v>141.5</v>
      </c>
    </row>
    <row r="8" spans="1:10" x14ac:dyDescent="0.2">
      <c r="A8" s="4" t="s">
        <v>6</v>
      </c>
      <c r="G8" s="5">
        <v>0</v>
      </c>
      <c r="I8" s="5">
        <v>-3</v>
      </c>
    </row>
    <row r="10" spans="1:10" hidden="1" x14ac:dyDescent="0.2">
      <c r="A10" s="6"/>
      <c r="G10" s="1">
        <f>+G6+G8</f>
        <v>0</v>
      </c>
      <c r="I10" s="1">
        <f>+I6+I8</f>
        <v>138.5</v>
      </c>
    </row>
    <row r="11" spans="1:10" hidden="1" x14ac:dyDescent="0.2"/>
    <row r="12" spans="1:10" hidden="1" x14ac:dyDescent="0.2">
      <c r="A12" s="4" t="s">
        <v>7</v>
      </c>
      <c r="G12" s="5">
        <v>0</v>
      </c>
      <c r="I12" s="5">
        <v>-10</v>
      </c>
    </row>
    <row r="13" spans="1:10" hidden="1" x14ac:dyDescent="0.2"/>
    <row r="14" spans="1:10" x14ac:dyDescent="0.2">
      <c r="A14" s="6" t="s">
        <v>8</v>
      </c>
      <c r="G14" s="1">
        <f>+G10+G12</f>
        <v>0</v>
      </c>
      <c r="I14" s="1">
        <f>+I10+I12</f>
        <v>128.5</v>
      </c>
      <c r="J14" s="7"/>
    </row>
    <row r="16" spans="1:10" x14ac:dyDescent="0.2">
      <c r="A16" s="4" t="s">
        <v>10</v>
      </c>
    </row>
    <row r="17" spans="1:10" x14ac:dyDescent="0.2">
      <c r="B17" s="4" t="s">
        <v>45</v>
      </c>
      <c r="E17" s="3">
        <v>21.8</v>
      </c>
      <c r="F17" s="3"/>
      <c r="H17" s="3"/>
    </row>
    <row r="18" spans="1:10" x14ac:dyDescent="0.2">
      <c r="B18" s="4" t="s">
        <v>75</v>
      </c>
      <c r="E18" s="1">
        <v>3</v>
      </c>
      <c r="G18" s="7" t="s">
        <v>49</v>
      </c>
    </row>
    <row r="19" spans="1:10" x14ac:dyDescent="0.2">
      <c r="B19" s="4" t="s">
        <v>76</v>
      </c>
    </row>
    <row r="20" spans="1:10" x14ac:dyDescent="0.2">
      <c r="B20" s="7" t="s">
        <v>38</v>
      </c>
      <c r="E20" s="1">
        <f>ROUND((1.2*1.45)+(3.5*2)+15,1)</f>
        <v>23.7</v>
      </c>
    </row>
    <row r="21" spans="1:10" x14ac:dyDescent="0.2">
      <c r="B21" s="4" t="s">
        <v>93</v>
      </c>
    </row>
    <row r="22" spans="1:10" x14ac:dyDescent="0.2">
      <c r="B22" s="7" t="s">
        <v>12</v>
      </c>
      <c r="E22" s="8">
        <v>0</v>
      </c>
      <c r="F22" s="8"/>
      <c r="G22" s="7"/>
      <c r="H22" s="8"/>
    </row>
    <row r="23" spans="1:10" x14ac:dyDescent="0.2">
      <c r="B23" s="4" t="s">
        <v>39</v>
      </c>
      <c r="E23" s="5">
        <v>0</v>
      </c>
      <c r="F23" s="8"/>
      <c r="H23" s="8"/>
    </row>
    <row r="24" spans="1:10" x14ac:dyDescent="0.2">
      <c r="E24" s="8"/>
      <c r="F24" s="8"/>
      <c r="G24" s="8"/>
      <c r="H24" s="8"/>
      <c r="I24" s="8"/>
    </row>
    <row r="25" spans="1:10" ht="13.5" thickBot="1" x14ac:dyDescent="0.25">
      <c r="A25" s="6" t="s">
        <v>13</v>
      </c>
      <c r="G25" s="26">
        <f>SUM(E17:E23)</f>
        <v>48.5</v>
      </c>
      <c r="I25" s="1">
        <f>SUM(E17:E23)</f>
        <v>48.5</v>
      </c>
      <c r="J25" s="7"/>
    </row>
    <row r="27" spans="1:10" hidden="1" x14ac:dyDescent="0.2">
      <c r="A27" s="6" t="s">
        <v>14</v>
      </c>
      <c r="G27" s="1">
        <v>0</v>
      </c>
      <c r="I27" s="1">
        <v>0</v>
      </c>
      <c r="J27" s="7"/>
    </row>
    <row r="28" spans="1:10" hidden="1" x14ac:dyDescent="0.2"/>
    <row r="29" spans="1:10" hidden="1" x14ac:dyDescent="0.2">
      <c r="A29" s="6" t="s">
        <v>32</v>
      </c>
      <c r="G29" s="5">
        <v>0</v>
      </c>
    </row>
    <row r="30" spans="1:10" hidden="1" x14ac:dyDescent="0.2"/>
    <row r="31" spans="1:10" hidden="1" x14ac:dyDescent="0.2">
      <c r="A31" s="6" t="s">
        <v>53</v>
      </c>
      <c r="G31" s="9">
        <f>+G14-G25-G27</f>
        <v>-48.5</v>
      </c>
      <c r="H31" s="6"/>
      <c r="I31" s="9">
        <f>+I14-I25-I27</f>
        <v>80</v>
      </c>
    </row>
    <row r="32" spans="1:10" hidden="1" x14ac:dyDescent="0.2"/>
    <row r="33" spans="1:10" hidden="1" x14ac:dyDescent="0.2"/>
    <row r="34" spans="1:10" hidden="1" x14ac:dyDescent="0.2">
      <c r="A34" s="6" t="s">
        <v>15</v>
      </c>
      <c r="G34" s="5">
        <v>0</v>
      </c>
      <c r="I34" s="5">
        <v>28.2</v>
      </c>
      <c r="J34" s="7"/>
    </row>
    <row r="35" spans="1:10" hidden="1" x14ac:dyDescent="0.2"/>
    <row r="36" spans="1:10" ht="13.5" hidden="1" thickBot="1" x14ac:dyDescent="0.25">
      <c r="A36" s="6" t="s">
        <v>54</v>
      </c>
      <c r="G36" s="10">
        <f>+G14-G25-G34-G27</f>
        <v>-48.5</v>
      </c>
      <c r="H36" s="6"/>
      <c r="I36" s="10">
        <f>+I14-I25-I34-I27</f>
        <v>51.8</v>
      </c>
      <c r="J36" s="7"/>
    </row>
    <row r="37" spans="1:10" hidden="1" x14ac:dyDescent="0.2"/>
    <row r="38" spans="1:10" ht="13.5" thickBot="1" x14ac:dyDescent="0.25">
      <c r="A38" s="6" t="s">
        <v>99</v>
      </c>
      <c r="B38" s="6"/>
      <c r="C38" s="6"/>
      <c r="D38" s="6"/>
      <c r="E38" s="6"/>
      <c r="F38" s="6"/>
      <c r="G38" s="26">
        <f>30.1+2.5</f>
        <v>32.6</v>
      </c>
      <c r="J38" s="7"/>
    </row>
    <row r="40" spans="1:10" x14ac:dyDescent="0.2">
      <c r="A40" s="6" t="s">
        <v>138</v>
      </c>
      <c r="E40" s="1">
        <f>-ROUND('Lurgi Support'!E11,1)</f>
        <v>-18.5</v>
      </c>
    </row>
    <row r="41" spans="1:10" x14ac:dyDescent="0.2">
      <c r="A41" s="6" t="s">
        <v>129</v>
      </c>
    </row>
    <row r="42" spans="1:10" x14ac:dyDescent="0.2">
      <c r="A42" s="31" t="s">
        <v>128</v>
      </c>
      <c r="E42" s="5">
        <f>'Lurgi Support'!D42</f>
        <v>-16.399999999999995</v>
      </c>
    </row>
    <row r="44" spans="1:10" ht="13.5" thickBot="1" x14ac:dyDescent="0.25">
      <c r="A44" s="6" t="s">
        <v>137</v>
      </c>
      <c r="G44" s="28">
        <f>SUM(E40:E42)</f>
        <v>-34.899999999999991</v>
      </c>
    </row>
    <row r="46" spans="1:10" ht="15" x14ac:dyDescent="0.2">
      <c r="A46" s="29" t="s">
        <v>124</v>
      </c>
    </row>
    <row r="48" spans="1:10" x14ac:dyDescent="0.2">
      <c r="A48" s="6" t="s">
        <v>130</v>
      </c>
      <c r="G48" s="24">
        <f>-G38</f>
        <v>-32.6</v>
      </c>
    </row>
    <row r="49" spans="1:7" x14ac:dyDescent="0.2">
      <c r="A49" s="6" t="s">
        <v>125</v>
      </c>
      <c r="B49" s="6"/>
      <c r="C49" s="6"/>
      <c r="D49" s="6"/>
      <c r="E49" s="6"/>
      <c r="F49" s="6"/>
      <c r="G49" s="6">
        <v>-5.8</v>
      </c>
    </row>
    <row r="50" spans="1:7" x14ac:dyDescent="0.2">
      <c r="A50" s="6" t="s">
        <v>126</v>
      </c>
      <c r="B50" s="6"/>
      <c r="C50" s="6"/>
      <c r="D50" s="6"/>
      <c r="E50" s="6"/>
      <c r="F50" s="6"/>
      <c r="G50" s="9">
        <v>-2.7</v>
      </c>
    </row>
    <row r="52" spans="1:7" ht="13.5" thickBot="1" x14ac:dyDescent="0.25">
      <c r="B52" s="6" t="s">
        <v>127</v>
      </c>
      <c r="G52" s="26">
        <f>SUM(G48:G51)</f>
        <v>-41.1</v>
      </c>
    </row>
    <row r="55" spans="1:7" x14ac:dyDescent="0.2">
      <c r="A55" s="7" t="s">
        <v>133</v>
      </c>
    </row>
    <row r="56" spans="1:7" x14ac:dyDescent="0.2">
      <c r="A56" s="7" t="s">
        <v>132</v>
      </c>
    </row>
  </sheetData>
  <mergeCells count="3">
    <mergeCell ref="A1:J1"/>
    <mergeCell ref="A2:J2"/>
    <mergeCell ref="A3:J3"/>
  </mergeCells>
  <phoneticPr fontId="0" type="noConversion"/>
  <printOptions horizontalCentered="1"/>
  <pageMargins left="0.75" right="0.75" top="1" bottom="1" header="0.5" footer="0.5"/>
  <pageSetup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42"/>
  <sheetViews>
    <sheetView topLeftCell="A6" workbookViewId="0">
      <selection activeCell="D42" sqref="D42"/>
    </sheetView>
  </sheetViews>
  <sheetFormatPr defaultRowHeight="12.75" x14ac:dyDescent="0.2"/>
  <cols>
    <col min="1" max="1" width="21.7109375" style="20" customWidth="1"/>
    <col min="2" max="4" width="9.140625" style="20"/>
    <col min="5" max="5" width="11.140625" style="20" bestFit="1" customWidth="1"/>
    <col min="6" max="16384" width="9.140625" style="20"/>
  </cols>
  <sheetData>
    <row r="4" spans="1:5" x14ac:dyDescent="0.2">
      <c r="A4" s="20" t="s">
        <v>102</v>
      </c>
    </row>
    <row r="6" spans="1:5" x14ac:dyDescent="0.2">
      <c r="A6" s="20" t="s">
        <v>103</v>
      </c>
      <c r="C6" s="20">
        <v>3.5</v>
      </c>
    </row>
    <row r="7" spans="1:5" x14ac:dyDescent="0.2">
      <c r="A7" s="20" t="s">
        <v>104</v>
      </c>
      <c r="C7" s="20">
        <v>18.5</v>
      </c>
    </row>
    <row r="9" spans="1:5" x14ac:dyDescent="0.2">
      <c r="C9" s="20">
        <f>NPV(0.14,3.5,3.5)</f>
        <v>5.763311788242536</v>
      </c>
      <c r="D9" s="20">
        <f>3.5+NPV(0.14,3.5)</f>
        <v>6.5701754385964914</v>
      </c>
      <c r="E9" s="20">
        <f>(C9+D9)/2</f>
        <v>6.1667436134195137</v>
      </c>
    </row>
    <row r="10" spans="1:5" x14ac:dyDescent="0.2">
      <c r="C10" s="20">
        <f>NPV(0.14,15)</f>
        <v>13.157894736842104</v>
      </c>
      <c r="D10" s="20">
        <f>NPV(0.14,0,15)</f>
        <v>11.542012927054476</v>
      </c>
      <c r="E10" s="20">
        <f>(C10+D10)/2</f>
        <v>12.349953831948291</v>
      </c>
    </row>
    <row r="11" spans="1:5" x14ac:dyDescent="0.2">
      <c r="E11" s="20">
        <f>SUM(E9:E10)</f>
        <v>18.516697445367804</v>
      </c>
    </row>
    <row r="14" spans="1:5" x14ac:dyDescent="0.2">
      <c r="A14" s="34" t="s">
        <v>106</v>
      </c>
      <c r="B14" s="34"/>
      <c r="C14" s="34"/>
      <c r="D14" s="34"/>
    </row>
    <row r="15" spans="1:5" x14ac:dyDescent="0.2">
      <c r="A15" s="34" t="s">
        <v>107</v>
      </c>
      <c r="B15" s="34"/>
      <c r="C15" s="34"/>
      <c r="D15" s="34"/>
    </row>
    <row r="16" spans="1:5" x14ac:dyDescent="0.2">
      <c r="D16" s="27" t="s">
        <v>122</v>
      </c>
    </row>
    <row r="18" spans="1:5" x14ac:dyDescent="0.2">
      <c r="A18" s="20" t="s">
        <v>108</v>
      </c>
      <c r="D18" s="20">
        <v>27.5</v>
      </c>
      <c r="E18" s="22" t="s">
        <v>9</v>
      </c>
    </row>
    <row r="19" spans="1:5" x14ac:dyDescent="0.2">
      <c r="A19" s="20" t="s">
        <v>109</v>
      </c>
      <c r="D19" s="20">
        <v>2.5</v>
      </c>
    </row>
    <row r="20" spans="1:5" x14ac:dyDescent="0.2">
      <c r="A20" s="20" t="s">
        <v>110</v>
      </c>
      <c r="D20" s="20">
        <f>30.1+0.1</f>
        <v>30.200000000000003</v>
      </c>
    </row>
    <row r="21" spans="1:5" x14ac:dyDescent="0.2">
      <c r="A21" s="20" t="s">
        <v>111</v>
      </c>
      <c r="D21" s="23">
        <v>2.7</v>
      </c>
    </row>
    <row r="23" spans="1:5" ht="13.5" thickBot="1" x14ac:dyDescent="0.25">
      <c r="A23" s="20" t="s">
        <v>118</v>
      </c>
      <c r="D23" s="25">
        <f>SUM(D18:D22)</f>
        <v>62.900000000000006</v>
      </c>
    </row>
    <row r="25" spans="1:5" x14ac:dyDescent="0.2">
      <c r="A25" s="20" t="s">
        <v>112</v>
      </c>
      <c r="D25" s="20">
        <f>32.8+0.5-0.1</f>
        <v>33.199999999999996</v>
      </c>
      <c r="E25" s="22" t="s">
        <v>123</v>
      </c>
    </row>
    <row r="26" spans="1:5" x14ac:dyDescent="0.2">
      <c r="A26" s="20" t="s">
        <v>113</v>
      </c>
      <c r="D26" s="20">
        <v>3</v>
      </c>
    </row>
    <row r="27" spans="1:5" x14ac:dyDescent="0.2">
      <c r="A27" s="20" t="s">
        <v>114</v>
      </c>
      <c r="D27" s="20">
        <v>9.8000000000000007</v>
      </c>
      <c r="E27" s="22" t="s">
        <v>123</v>
      </c>
    </row>
    <row r="28" spans="1:5" x14ac:dyDescent="0.2">
      <c r="A28" s="20" t="s">
        <v>115</v>
      </c>
      <c r="D28" s="20">
        <v>0.9</v>
      </c>
      <c r="E28" s="22" t="s">
        <v>123</v>
      </c>
    </row>
    <row r="30" spans="1:5" x14ac:dyDescent="0.2">
      <c r="A30" s="20" t="s">
        <v>119</v>
      </c>
      <c r="D30" s="20">
        <f>SUM(D25:D29)</f>
        <v>46.9</v>
      </c>
    </row>
    <row r="32" spans="1:5" x14ac:dyDescent="0.2">
      <c r="A32" s="20" t="s">
        <v>116</v>
      </c>
      <c r="D32" s="20">
        <v>21.8</v>
      </c>
    </row>
    <row r="33" spans="1:4" x14ac:dyDescent="0.2">
      <c r="A33" s="20" t="s">
        <v>117</v>
      </c>
      <c r="D33" s="23">
        <v>-5.8</v>
      </c>
    </row>
    <row r="35" spans="1:4" x14ac:dyDescent="0.2">
      <c r="A35" s="20" t="s">
        <v>120</v>
      </c>
      <c r="D35" s="20">
        <f>SUM(D32:D34)</f>
        <v>16</v>
      </c>
    </row>
    <row r="37" spans="1:4" ht="13.5" thickBot="1" x14ac:dyDescent="0.25">
      <c r="A37" s="20" t="s">
        <v>121</v>
      </c>
      <c r="D37" s="25">
        <f>+D30+D35</f>
        <v>62.9</v>
      </c>
    </row>
    <row r="41" spans="1:4" x14ac:dyDescent="0.2">
      <c r="A41" s="30" t="s">
        <v>129</v>
      </c>
    </row>
    <row r="42" spans="1:4" x14ac:dyDescent="0.2">
      <c r="A42" s="22" t="s">
        <v>128</v>
      </c>
      <c r="D42" s="20">
        <f>+D18-D25-D27-D28</f>
        <v>-16.399999999999995</v>
      </c>
    </row>
  </sheetData>
  <mergeCells count="2">
    <mergeCell ref="A14:D14"/>
    <mergeCell ref="A15:D1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workbookViewId="0">
      <selection activeCell="C39" sqref="C39"/>
    </sheetView>
  </sheetViews>
  <sheetFormatPr defaultRowHeight="12.75" x14ac:dyDescent="0.2"/>
  <cols>
    <col min="1" max="1" width="3.5703125" style="1" customWidth="1"/>
    <col min="2" max="2" width="9.140625" style="1"/>
    <col min="3" max="3" width="36.42578125" style="1" customWidth="1"/>
    <col min="4" max="5" width="9.140625" style="1"/>
    <col min="6" max="6" width="2.28515625" style="1" customWidth="1"/>
    <col min="7" max="7" width="8.140625" style="1" customWidth="1"/>
    <col min="8" max="8" width="2.28515625" style="1" hidden="1" customWidth="1"/>
    <col min="9" max="9" width="0" style="1" hidden="1" customWidth="1"/>
    <col min="10" max="10" width="5.140625" style="1" customWidth="1"/>
    <col min="11" max="16384" width="9.140625" style="1"/>
  </cols>
  <sheetData>
    <row r="1" spans="1:10" ht="15.75" x14ac:dyDescent="0.25">
      <c r="A1" s="33" t="s">
        <v>74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5.75" x14ac:dyDescent="0.2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</row>
    <row r="3" spans="1:10" x14ac:dyDescent="0.2">
      <c r="A3" s="34" t="s">
        <v>2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x14ac:dyDescent="0.2">
      <c r="G4" s="18"/>
      <c r="H4" s="18"/>
      <c r="I4" s="18"/>
    </row>
    <row r="6" spans="1:10" x14ac:dyDescent="0.2">
      <c r="A6" s="1" t="s">
        <v>5</v>
      </c>
      <c r="G6" s="3">
        <v>11</v>
      </c>
      <c r="I6" s="3">
        <v>141.5</v>
      </c>
    </row>
    <row r="8" spans="1:10" x14ac:dyDescent="0.2">
      <c r="A8" s="4" t="s">
        <v>6</v>
      </c>
      <c r="G8" s="5">
        <f>-ROUND((11*0.06)+0.3,1)</f>
        <v>-1</v>
      </c>
      <c r="I8" s="5">
        <v>-3</v>
      </c>
    </row>
    <row r="10" spans="1:10" hidden="1" x14ac:dyDescent="0.2">
      <c r="A10" s="6"/>
      <c r="G10" s="1">
        <f>+G6+G8</f>
        <v>10</v>
      </c>
      <c r="I10" s="1">
        <f>+I6+I8</f>
        <v>138.5</v>
      </c>
    </row>
    <row r="11" spans="1:10" hidden="1" x14ac:dyDescent="0.2"/>
    <row r="12" spans="1:10" hidden="1" x14ac:dyDescent="0.2">
      <c r="A12" s="4" t="s">
        <v>7</v>
      </c>
      <c r="G12" s="5">
        <v>0</v>
      </c>
      <c r="I12" s="5">
        <v>-10</v>
      </c>
    </row>
    <row r="13" spans="1:10" hidden="1" x14ac:dyDescent="0.2"/>
    <row r="14" spans="1:10" x14ac:dyDescent="0.2">
      <c r="A14" s="6" t="s">
        <v>8</v>
      </c>
      <c r="G14" s="1">
        <f>+G10+G12</f>
        <v>10</v>
      </c>
      <c r="I14" s="1">
        <f>+I10+I12</f>
        <v>128.5</v>
      </c>
      <c r="J14" s="7"/>
    </row>
    <row r="16" spans="1:10" x14ac:dyDescent="0.2">
      <c r="A16" s="4" t="s">
        <v>10</v>
      </c>
    </row>
    <row r="17" spans="1:10" x14ac:dyDescent="0.2">
      <c r="B17" s="4" t="s">
        <v>45</v>
      </c>
      <c r="E17" s="3">
        <v>35.200000000000003</v>
      </c>
      <c r="F17" s="3"/>
      <c r="H17" s="3"/>
    </row>
    <row r="18" spans="1:10" x14ac:dyDescent="0.2">
      <c r="B18" s="4" t="s">
        <v>77</v>
      </c>
      <c r="E18" s="1">
        <v>0</v>
      </c>
      <c r="G18" s="7"/>
    </row>
    <row r="19" spans="1:10" x14ac:dyDescent="0.2">
      <c r="B19" s="4" t="s">
        <v>79</v>
      </c>
      <c r="E19" s="1">
        <v>5.8</v>
      </c>
      <c r="G19" s="7"/>
    </row>
    <row r="20" spans="1:10" x14ac:dyDescent="0.2">
      <c r="B20" s="4" t="s">
        <v>78</v>
      </c>
    </row>
    <row r="21" spans="1:10" x14ac:dyDescent="0.2">
      <c r="B21" s="7" t="s">
        <v>38</v>
      </c>
      <c r="E21" s="1">
        <v>0</v>
      </c>
    </row>
    <row r="22" spans="1:10" x14ac:dyDescent="0.2">
      <c r="B22" s="4" t="s">
        <v>94</v>
      </c>
    </row>
    <row r="23" spans="1:10" x14ac:dyDescent="0.2">
      <c r="B23" s="7" t="s">
        <v>12</v>
      </c>
      <c r="E23" s="8">
        <v>0</v>
      </c>
      <c r="F23" s="8"/>
      <c r="G23" s="7"/>
      <c r="H23" s="8"/>
    </row>
    <row r="24" spans="1:10" x14ac:dyDescent="0.2">
      <c r="B24" s="4" t="s">
        <v>39</v>
      </c>
      <c r="E24" s="5">
        <v>0</v>
      </c>
      <c r="F24" s="8"/>
      <c r="H24" s="8"/>
    </row>
    <row r="25" spans="1:10" x14ac:dyDescent="0.2">
      <c r="E25" s="8"/>
      <c r="F25" s="8"/>
      <c r="G25" s="8"/>
      <c r="H25" s="8"/>
      <c r="I25" s="8"/>
    </row>
    <row r="26" spans="1:10" x14ac:dyDescent="0.2">
      <c r="A26" s="6" t="s">
        <v>13</v>
      </c>
      <c r="G26" s="1">
        <f>SUM(E17:E24)</f>
        <v>41</v>
      </c>
      <c r="I26" s="1">
        <f>SUM(E17:E24)</f>
        <v>41</v>
      </c>
      <c r="J26" s="7"/>
    </row>
    <row r="28" spans="1:10" x14ac:dyDescent="0.2">
      <c r="A28" s="6" t="s">
        <v>14</v>
      </c>
      <c r="G28" s="1">
        <v>0</v>
      </c>
      <c r="I28" s="1">
        <v>0</v>
      </c>
      <c r="J28" s="7"/>
    </row>
    <row r="30" spans="1:10" x14ac:dyDescent="0.2">
      <c r="A30" s="6" t="s">
        <v>32</v>
      </c>
      <c r="G30" s="5">
        <v>0</v>
      </c>
    </row>
    <row r="32" spans="1:10" x14ac:dyDescent="0.2">
      <c r="A32" s="6" t="s">
        <v>53</v>
      </c>
      <c r="G32" s="9">
        <f>+G14-G26-G28</f>
        <v>-31</v>
      </c>
      <c r="H32" s="6"/>
      <c r="I32" s="9">
        <f>+I14-I26-I28</f>
        <v>87.5</v>
      </c>
    </row>
    <row r="35" spans="1:10" x14ac:dyDescent="0.2">
      <c r="A35" s="6" t="s">
        <v>15</v>
      </c>
      <c r="G35" s="5">
        <v>0</v>
      </c>
      <c r="I35" s="5">
        <v>28.2</v>
      </c>
      <c r="J35" s="7"/>
    </row>
    <row r="37" spans="1:10" ht="13.5" thickBot="1" x14ac:dyDescent="0.25">
      <c r="A37" s="6" t="s">
        <v>54</v>
      </c>
      <c r="G37" s="10">
        <f>+G14-G26-G35-G28</f>
        <v>-31</v>
      </c>
      <c r="H37" s="6"/>
      <c r="I37" s="10">
        <f>+I14-I26-I35-I28</f>
        <v>59.3</v>
      </c>
      <c r="J37" s="7"/>
    </row>
  </sheetData>
  <mergeCells count="3">
    <mergeCell ref="A1:J1"/>
    <mergeCell ref="A2:J2"/>
    <mergeCell ref="A3:J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ANA</vt:lpstr>
      <vt:lpstr>Brazil</vt:lpstr>
      <vt:lpstr>Mendoza</vt:lpstr>
      <vt:lpstr>IASA</vt:lpstr>
      <vt:lpstr>Cancun</vt:lpstr>
      <vt:lpstr>Lurgi</vt:lpstr>
      <vt:lpstr>Lurgi Support</vt:lpstr>
      <vt:lpstr>Madera</vt:lpstr>
      <vt:lpstr>Other Write offs</vt:lpstr>
      <vt:lpstr>Sheet1</vt:lpstr>
    </vt:vector>
  </TitlesOfParts>
  <Company>Azurix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qkneen</dc:creator>
  <cp:lastModifiedBy>Felienne</cp:lastModifiedBy>
  <cp:lastPrinted>2001-09-14T18:09:13Z</cp:lastPrinted>
  <dcterms:created xsi:type="dcterms:W3CDTF">2001-07-31T20:08:51Z</dcterms:created>
  <dcterms:modified xsi:type="dcterms:W3CDTF">2014-09-04T12:31:55Z</dcterms:modified>
</cp:coreProperties>
</file>