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955" yWindow="-15" windowWidth="6000" windowHeight="6210" tabRatio="783" firstSheet="7" activeTab="12"/>
  </bookViews>
  <sheets>
    <sheet name="DataBase" sheetId="20" r:id="rId1"/>
    <sheet name="Sales&amp;Liq-COS" sheetId="2" r:id="rId2"/>
    <sheet name="Transport" sheetId="3" r:id="rId3"/>
    <sheet name="OtherRev" sheetId="4" r:id="rId4"/>
    <sheet name="O&amp;M" sheetId="6" r:id="rId5"/>
    <sheet name="Trackers" sheetId="7" r:id="rId6"/>
    <sheet name="RegAmort" sheetId="9" r:id="rId7"/>
    <sheet name="TC&amp;S" sheetId="8" r:id="rId8"/>
    <sheet name="Fuel-Depr-OtherTax" sheetId="10" r:id="rId9"/>
    <sheet name="OtherInc" sheetId="11" r:id="rId10"/>
    <sheet name="IntDeduct" sheetId="12" r:id="rId11"/>
    <sheet name="DeferredTax" sheetId="14" r:id="rId12"/>
    <sheet name="IncomeState" sheetId="13" r:id="rId13"/>
    <sheet name="Source" sheetId="15" r:id="rId14"/>
    <sheet name="Mymode" sheetId="18" state="veryHidden" r:id=""/>
    <sheet name="Module1" sheetId="19" state="veryHidden" r:id=""/>
  </sheets>
  <definedNames>
    <definedName name="\0" localSheetId="11">DeferredTax!$A$147</definedName>
    <definedName name="\0" localSheetId="8">'Fuel-Depr-OtherTax'!#REF!</definedName>
    <definedName name="\0" localSheetId="12">IncomeState!#REF!</definedName>
    <definedName name="\0" localSheetId="10">IntDeduct!#REF!</definedName>
    <definedName name="\0" localSheetId="4">'O&amp;M'!#REF!</definedName>
    <definedName name="\0" localSheetId="9">OtherInc!#REF!</definedName>
    <definedName name="\0" localSheetId="3">OtherRev!#REF!</definedName>
    <definedName name="\0" localSheetId="6">RegAmort!$A$66</definedName>
    <definedName name="\0" localSheetId="13">Source!#REF!</definedName>
    <definedName name="\0" localSheetId="7">'TC&amp;S'!#REF!</definedName>
    <definedName name="\0" localSheetId="5">Trackers!#REF!</definedName>
    <definedName name="\0" localSheetId="2">Transport!#REF!</definedName>
    <definedName name="\0">'Sales&amp;Liq-COS'!#REF!</definedName>
    <definedName name="\C" localSheetId="12">IncomeState!#REF!</definedName>
    <definedName name="\C">OtherRev!#REF!</definedName>
    <definedName name="\P" localSheetId="11">DeferredTax!$A$134:$A$138</definedName>
    <definedName name="\P" localSheetId="8">'Fuel-Depr-OtherTax'!#REF!</definedName>
    <definedName name="\P" localSheetId="12">IncomeState!$A$62:$A$63</definedName>
    <definedName name="\P" localSheetId="10">IntDeduct!#REF!</definedName>
    <definedName name="\P" localSheetId="4">'O&amp;M'!#REF!</definedName>
    <definedName name="\P" localSheetId="9">OtherInc!#REF!</definedName>
    <definedName name="\P" localSheetId="3">OtherRev!#REF!</definedName>
    <definedName name="\P" localSheetId="6">RegAmort!$A$63</definedName>
    <definedName name="\P" localSheetId="13">Source!$A$81</definedName>
    <definedName name="\P" localSheetId="7">'TC&amp;S'!$A$101</definedName>
    <definedName name="\P" localSheetId="5">Trackers!#REF!</definedName>
    <definedName name="\P" localSheetId="2">Transport!#REF!</definedName>
    <definedName name="\P">'Sales&amp;Liq-COS'!#REF!</definedName>
    <definedName name="\Q">IncomeState!#REF!</definedName>
    <definedName name="\W">OtherRev!#REF!</definedName>
    <definedName name="__123Graph_A" localSheetId="11" hidden="1">DeferredTax!$F$69:$F$85</definedName>
    <definedName name="__123Graph_A" localSheetId="12" hidden="1">IncomeState!$B$55:$B$57</definedName>
    <definedName name="__123Graph_A" localSheetId="10" hidden="1">IntDeduct!$C$42:$C$58</definedName>
    <definedName name="__123Graph_A" localSheetId="4" hidden="1">'O&amp;M'!#REF!</definedName>
    <definedName name="__123Graph_A" localSheetId="3" hidden="1">OtherRev!#REF!</definedName>
    <definedName name="__123Graph_A" localSheetId="6" hidden="1">RegAmort!$B$32:$B$58</definedName>
    <definedName name="__123Graph_A" localSheetId="5" hidden="1">Trackers!$B$548:$B$559</definedName>
    <definedName name="__123Graph_A" localSheetId="2" hidden="1">Transport!$C$7:$C$68</definedName>
    <definedName name="__123Graph_A" hidden="1">'Sales&amp;Liq-COS'!#REF!</definedName>
    <definedName name="__123Graph_B" localSheetId="11" hidden="1">DeferredTax!$G$69:$G$85</definedName>
    <definedName name="__123Graph_B" localSheetId="12" hidden="1">IncomeState!$C$55:$C$57</definedName>
    <definedName name="__123Graph_B" localSheetId="10" hidden="1">IntDeduct!$D$42:$D$58</definedName>
    <definedName name="__123Graph_B" localSheetId="4" hidden="1">'O&amp;M'!#REF!</definedName>
    <definedName name="__123Graph_B" localSheetId="3" hidden="1">OtherRev!#REF!</definedName>
    <definedName name="__123Graph_B" localSheetId="6" hidden="1">RegAmort!$C$32:$C$58</definedName>
    <definedName name="__123Graph_B" localSheetId="5" hidden="1">Trackers!$D$548:$D$559</definedName>
    <definedName name="__123Graph_B" localSheetId="2" hidden="1">Transport!$D$3:$D$99</definedName>
    <definedName name="__123Graph_B" hidden="1">'Sales&amp;Liq-COS'!#REF!</definedName>
    <definedName name="__123Graph_C" localSheetId="11" hidden="1">DeferredTax!$H$69:$H$85</definedName>
    <definedName name="__123Graph_C" localSheetId="12" hidden="1">IncomeState!$D$55:$D$57</definedName>
    <definedName name="__123Graph_C" localSheetId="10" hidden="1">IntDeduct!$E$42:$E$58</definedName>
    <definedName name="__123Graph_C" localSheetId="4" hidden="1">'O&amp;M'!#REF!</definedName>
    <definedName name="__123Graph_C" localSheetId="3" hidden="1">OtherRev!#REF!</definedName>
    <definedName name="__123Graph_C" localSheetId="6" hidden="1">RegAmort!$D$32:$D$58</definedName>
    <definedName name="__123Graph_C" localSheetId="5" hidden="1">Trackers!$E$548:$E$559</definedName>
    <definedName name="__123Graph_C" hidden="1">'Sales&amp;Liq-COS'!#REF!</definedName>
    <definedName name="__123Graph_D" localSheetId="11" hidden="1">DeferredTax!$I$69:$I$85</definedName>
    <definedName name="__123Graph_D" localSheetId="12" hidden="1">IncomeState!$E$55:$E$57</definedName>
    <definedName name="__123Graph_D" localSheetId="10" hidden="1">IntDeduct!$F$42:$F$58</definedName>
    <definedName name="__123Graph_D" localSheetId="4" hidden="1">'O&amp;M'!#REF!</definedName>
    <definedName name="__123Graph_D" localSheetId="3" hidden="1">OtherRev!#REF!</definedName>
    <definedName name="__123Graph_D" localSheetId="6" hidden="1">RegAmort!$E$32:$E$58</definedName>
    <definedName name="__123Graph_D" localSheetId="7" hidden="1">'TC&amp;S'!$C$69:$C$69</definedName>
    <definedName name="__123Graph_D" localSheetId="5" hidden="1">Trackers!$F$548:$F$559</definedName>
    <definedName name="__123Graph_D" hidden="1">'Sales&amp;Liq-COS'!#REF!</definedName>
    <definedName name="__123Graph_E" localSheetId="11" hidden="1">DeferredTax!$J$69:$J$85</definedName>
    <definedName name="__123Graph_E" localSheetId="12" hidden="1">IncomeState!$F$55:$F$57</definedName>
    <definedName name="__123Graph_E" localSheetId="10" hidden="1">IntDeduct!$G$42:$G$58</definedName>
    <definedName name="__123Graph_E" localSheetId="4" hidden="1">'O&amp;M'!#REF!</definedName>
    <definedName name="__123Graph_E" localSheetId="3" hidden="1">OtherRev!#REF!</definedName>
    <definedName name="__123Graph_E" localSheetId="6" hidden="1">RegAmort!$F$32:$F$58</definedName>
    <definedName name="__123Graph_E" localSheetId="5" hidden="1">Trackers!$G$548:$G$559</definedName>
    <definedName name="__123Graph_E" localSheetId="2" hidden="1">Transport!#REF!</definedName>
    <definedName name="__123Graph_E" hidden="1">'Sales&amp;Liq-COS'!#REF!</definedName>
    <definedName name="__123Graph_F" localSheetId="12" hidden="1">IncomeState!$G$55:$G$57</definedName>
    <definedName name="__123Graph_F" localSheetId="10" hidden="1">IntDeduct!$H$42:$H$58</definedName>
    <definedName name="__123Graph_F" localSheetId="4" hidden="1">'O&amp;M'!#REF!</definedName>
    <definedName name="__123Graph_F" localSheetId="3" hidden="1">OtherRev!#REF!</definedName>
    <definedName name="__123Graph_F" localSheetId="6" hidden="1">RegAmort!$G$32:$G$58</definedName>
    <definedName name="__123Graph_F" localSheetId="5" hidden="1">Trackers!$H$548:$H$559</definedName>
    <definedName name="__123Graph_F" localSheetId="2" hidden="1">Transport!$G$4:$G$66</definedName>
    <definedName name="__123Graph_F" hidden="1">'Sales&amp;Liq-COS'!#REF!</definedName>
    <definedName name="__123Graph_LBL_A" hidden="1">Transport!$C$3:$C$4</definedName>
    <definedName name="__123Graph_X" localSheetId="10" hidden="1">IntDeduct!$B$42:$B$58</definedName>
    <definedName name="__123Graph_X" localSheetId="2" hidden="1">Transport!$C$3:$N$3</definedName>
    <definedName name="__123Graph_X" hidden="1">'Sales&amp;Liq-COS'!#REF!</definedName>
    <definedName name="_0">DeferredTax!$A$147</definedName>
    <definedName name="_94ACTUALS">#REF!</definedName>
    <definedName name="_95PLAN">#REF!</definedName>
    <definedName name="_Sort" localSheetId="8" hidden="1">'Fuel-Depr-OtherTax'!$1:$4113</definedName>
    <definedName name="_Sort" localSheetId="12" hidden="1">IncomeState!$A$1:$IU$4040</definedName>
    <definedName name="_Sort" localSheetId="10" hidden="1">IntDeduct!$1:$3868</definedName>
    <definedName name="_Sort" localSheetId="9" hidden="1">OtherInc!$1:$3899</definedName>
    <definedName name="_Sort" localSheetId="6" hidden="1">RegAmort!$6:$4094</definedName>
    <definedName name="_Sort" localSheetId="7" hidden="1">'TC&amp;S'!$1:$4081</definedName>
    <definedName name="_Sort" hidden="1">#REF!</definedName>
    <definedName name="CC">#REF!</definedName>
    <definedName name="COTPL">#REF!</definedName>
    <definedName name="EXP">'TC&amp;S'!$A$1:$Q$70</definedName>
    <definedName name="GRIMO">#REF!</definedName>
    <definedName name="INPUT.VOL">#REF!</definedName>
    <definedName name="LE">#REF!</definedName>
    <definedName name="LEV95PLN">#REF!</definedName>
    <definedName name="LEVS94ACT">#REF!</definedName>
    <definedName name="LEVSPRIOR">#REF!</definedName>
    <definedName name="MARGIN">#REF!</definedName>
    <definedName name="MARGINPL">#REF!</definedName>
    <definedName name="marginpv">#REF!</definedName>
    <definedName name="margnplpv">#REF!</definedName>
    <definedName name="NORMALPL">#REF!</definedName>
    <definedName name="O_M">'O&amp;M'!$A$1:$Q$50</definedName>
    <definedName name="OTHER">#REF!</definedName>
    <definedName name="OTHEREG">#REF!</definedName>
    <definedName name="otherpv">#REF!</definedName>
    <definedName name="OTHERREV">OtherRev!$A$1:$Q$29</definedName>
    <definedName name="OTHREVREGFUEL">#REF!</definedName>
    <definedName name="PAGE1" localSheetId="11">DeferredTax!$A$1:$J$84</definedName>
    <definedName name="PAGE1" localSheetId="3">OtherRev!$A$1:$Q$29</definedName>
    <definedName name="PAGE1" localSheetId="6">RegAmort!$A$1:$Q$60</definedName>
    <definedName name="PAGE1" localSheetId="13">Source!$A$1:$R$79</definedName>
    <definedName name="PAGE1">Transport!$A$1:$Q$66</definedName>
    <definedName name="PAGE2" localSheetId="11">DeferredTax!$M$1:$AF$84</definedName>
    <definedName name="PAGE2" localSheetId="3">OtherRev!#REF!</definedName>
    <definedName name="PAGE2">Transport!#REF!</definedName>
    <definedName name="PAGE2.1">DeferredTax!$M$86:$AF$173</definedName>
    <definedName name="PAGE3" localSheetId="11">DeferredTax!$AI$1:$AW$84</definedName>
    <definedName name="PAGE3" localSheetId="3">OtherRev!#REF!</definedName>
    <definedName name="PAGE3">Transport!#REF!</definedName>
    <definedName name="PAGE4">OtherRev!$A$32:$O$80</definedName>
    <definedName name="PRINT" localSheetId="10">IntDeduct!$A$1:$Q$58</definedName>
    <definedName name="PRINT" localSheetId="9">OtherInc!$A$1:$Q$52</definedName>
    <definedName name="PRINT">'Fuel-Depr-OtherTax'!$A$1:$Q$50</definedName>
    <definedName name="_xlnm.Print_Area" localSheetId="0">DataBase!$A$4:$Y$582</definedName>
    <definedName name="_xlnm.Print_Area" localSheetId="11">DeferredTax!$AI$1:$AW$84</definedName>
    <definedName name="_xlnm.Print_Area" localSheetId="8">'Fuel-Depr-OtherTax'!$A$1:$Q$52</definedName>
    <definedName name="_xlnm.Print_Area" localSheetId="12">IncomeState!$A$121:$R$180</definedName>
    <definedName name="_xlnm.Print_Area" localSheetId="10">IntDeduct!$A$1:$Q$58</definedName>
    <definedName name="_xlnm.Print_Area" localSheetId="4">'O&amp;M'!$A$1:$Q$54</definedName>
    <definedName name="_xlnm.Print_Area" localSheetId="9">OtherInc!$A$1:$Q$52</definedName>
    <definedName name="_xlnm.Print_Area" localSheetId="3">OtherRev!$A$1:$Q$29</definedName>
    <definedName name="_xlnm.Print_Area" localSheetId="6">RegAmort!$A$1:$Q$60</definedName>
    <definedName name="_xlnm.Print_Area" localSheetId="1">'Sales&amp;Liq-COS'!$A$1:$Q$45</definedName>
    <definedName name="_xlnm.Print_Area" localSheetId="13">Source!$A$1:$R$77</definedName>
    <definedName name="_xlnm.Print_Area" localSheetId="7">'TC&amp;S'!$A$1:$Q$70</definedName>
    <definedName name="_xlnm.Print_Area" localSheetId="5">Trackers!$A$654:$P$680</definedName>
    <definedName name="_xlnm.Print_Area" localSheetId="2">Transport!$A$1:$Q$67</definedName>
    <definedName name="Print_Area_MI" localSheetId="13">Source!$A$1:$R$66</definedName>
    <definedName name="_xlnm.Print_Titles" localSheetId="0">DataBase!$A:$B,DataBase!$1:$3</definedName>
    <definedName name="PRINT1">'TC&amp;S'!$A$1:$Q$70</definedName>
    <definedName name="PRIORFCST">#REF!</definedName>
    <definedName name="PRT.1">'Sales&amp;Liq-COS'!$A$1:$Q$35</definedName>
    <definedName name="PRT.10">Trackers!$A$625:$P$652</definedName>
    <definedName name="PRT.11">Trackers!$A1048568:$P18</definedName>
    <definedName name="PRT.2" localSheetId="5">Trackers!$A$1:$P$69</definedName>
    <definedName name="PRT.2">'Sales&amp;Liq-COS'!#REF!</definedName>
    <definedName name="PRT.2B">Trackers!$A$71:$P$98</definedName>
    <definedName name="PRT.3">Trackers!$A$572:$P$623</definedName>
    <definedName name="PRT.4">Trackers!$A$360:$P$411</definedName>
    <definedName name="PRT.5">Trackers!$A$100:$P$159</definedName>
    <definedName name="PRT.6">Trackers!$A$161:$P$221</definedName>
    <definedName name="PRT.6B">Trackers!$A$223:$P$296</definedName>
    <definedName name="PRT.7">Trackers!$A$298:$P$358</definedName>
    <definedName name="PRT.8">Trackers!$A$413:$P$464</definedName>
    <definedName name="PRT.9">Trackers!$A$466:$P$517</definedName>
    <definedName name="PURCH.EXP">#REF!</definedName>
    <definedName name="PURCH.VOL">#REF!</definedName>
    <definedName name="QTRGRI">#REF!</definedName>
    <definedName name="QTRMRGN">#REF!</definedName>
    <definedName name="QTRMRGPL">#REF!</definedName>
    <definedName name="QTROTHREGFUEL">#REF!</definedName>
    <definedName name="QTRPL">#REF!</definedName>
    <definedName name="QTRTCS">#REF!</definedName>
    <definedName name="QTRTCS_OTHER">#REF!</definedName>
    <definedName name="REPORT.1">IncomeState!$A$1:$Q$59</definedName>
    <definedName name="REPORT.10">IncomeState!$A$121:$R$180</definedName>
    <definedName name="REPORT.11">IncomeState!$T$121:$AA$180</definedName>
    <definedName name="REPORT.12">IncomeState!$AD$121:$AQ$180</definedName>
    <definedName name="REPORT.2">IncomeState!$A$182:$Q$219</definedName>
    <definedName name="REPORT.3">IncomeState!$AD$1:$AQ$59</definedName>
    <definedName name="REPORT.7">IncomeState!$A$61:$Q$119</definedName>
    <definedName name="REPORT.8">IncomeState!$T$61:$AA$119</definedName>
    <definedName name="REPORT.9">IncomeState!$AD$61:$AQ$119</definedName>
    <definedName name="REPORT4">IncomeState!$AD$182:$AQ$219</definedName>
    <definedName name="REPORT5">IncomeState!$T$1:$AA$59</definedName>
    <definedName name="REPORT6">IncomeState!$T$182:$AA$219</definedName>
    <definedName name="SUMPL">#REF!</definedName>
    <definedName name="TCSOTHER">#REF!</definedName>
    <definedName name="tcspv">#REF!</definedName>
    <definedName name="VOL">'TC&amp;S'!$S$1:$AI$70</definedName>
  </definedNames>
  <calcPr calcId="152511" fullCalcOnLoad="1"/>
</workbook>
</file>

<file path=xl/calcChain.xml><?xml version="1.0" encoding="utf-8"?>
<calcChain xmlns="http://schemas.openxmlformats.org/spreadsheetml/2006/main">
  <c r="A1" i="20" l="1"/>
  <c r="B2" i="20"/>
  <c r="Y2" i="20"/>
  <c r="A3" i="20"/>
  <c r="B3" i="20"/>
  <c r="Y3" i="20"/>
  <c r="O7" i="20"/>
  <c r="U7" i="20"/>
  <c r="Y7" i="20" s="1"/>
  <c r="V7" i="20"/>
  <c r="W7" i="20"/>
  <c r="X7" i="20"/>
  <c r="O8" i="20"/>
  <c r="U8" i="20"/>
  <c r="V8" i="20"/>
  <c r="W8" i="20"/>
  <c r="X8" i="20"/>
  <c r="O9" i="20"/>
  <c r="U9" i="20"/>
  <c r="V9" i="20"/>
  <c r="W9" i="20"/>
  <c r="X9" i="20"/>
  <c r="O10" i="20"/>
  <c r="U10" i="20"/>
  <c r="V10" i="20"/>
  <c r="W10" i="20"/>
  <c r="X10" i="20"/>
  <c r="Y10" i="20"/>
  <c r="O12" i="20"/>
  <c r="U12" i="20"/>
  <c r="Y12" i="20" s="1"/>
  <c r="V12" i="20"/>
  <c r="W12" i="20"/>
  <c r="X12" i="20"/>
  <c r="O13" i="20"/>
  <c r="U13" i="20"/>
  <c r="Y13" i="20" s="1"/>
  <c r="V13" i="20"/>
  <c r="W13" i="20"/>
  <c r="X13" i="20"/>
  <c r="O14" i="20"/>
  <c r="U14" i="20"/>
  <c r="V14" i="20"/>
  <c r="W14" i="20"/>
  <c r="X14" i="20"/>
  <c r="O15" i="20"/>
  <c r="U15" i="20"/>
  <c r="V15" i="20"/>
  <c r="W15" i="20"/>
  <c r="X15" i="20"/>
  <c r="Y15" i="20"/>
  <c r="O16" i="20"/>
  <c r="U16" i="20"/>
  <c r="Y16" i="20" s="1"/>
  <c r="V16" i="20"/>
  <c r="W16" i="20"/>
  <c r="X16" i="20"/>
  <c r="O17" i="20"/>
  <c r="U17" i="20"/>
  <c r="Y17" i="20" s="1"/>
  <c r="V17" i="20"/>
  <c r="W17" i="20"/>
  <c r="X17" i="20"/>
  <c r="O18" i="20"/>
  <c r="U18" i="20"/>
  <c r="V18" i="20"/>
  <c r="W18" i="20"/>
  <c r="X18" i="20"/>
  <c r="O19" i="20"/>
  <c r="U19" i="20"/>
  <c r="V19" i="20"/>
  <c r="W19" i="20"/>
  <c r="X19" i="20"/>
  <c r="Y19" i="20"/>
  <c r="O20" i="20"/>
  <c r="U20" i="20"/>
  <c r="Y20" i="20" s="1"/>
  <c r="V20" i="20"/>
  <c r="W20" i="20"/>
  <c r="X20" i="20"/>
  <c r="O21" i="20"/>
  <c r="U21" i="20"/>
  <c r="Y21" i="20" s="1"/>
  <c r="V21" i="20"/>
  <c r="W21" i="20"/>
  <c r="X21" i="20"/>
  <c r="O22" i="20"/>
  <c r="U22" i="20"/>
  <c r="V22" i="20"/>
  <c r="W22" i="20"/>
  <c r="X22" i="20"/>
  <c r="O23" i="20"/>
  <c r="U23" i="20"/>
  <c r="V23" i="20"/>
  <c r="W23" i="20"/>
  <c r="X23" i="20"/>
  <c r="Y23" i="20"/>
  <c r="O24" i="20"/>
  <c r="U24" i="20"/>
  <c r="Y24" i="20" s="1"/>
  <c r="V24" i="20"/>
  <c r="W24" i="20"/>
  <c r="X24" i="20"/>
  <c r="O25" i="20"/>
  <c r="U25" i="20"/>
  <c r="Y25" i="20" s="1"/>
  <c r="V25" i="20"/>
  <c r="W25" i="20"/>
  <c r="X25" i="20"/>
  <c r="O26" i="20"/>
  <c r="U26" i="20"/>
  <c r="V26" i="20"/>
  <c r="Y26" i="20" s="1"/>
  <c r="W26" i="20"/>
  <c r="X26" i="20"/>
  <c r="O27" i="20"/>
  <c r="U27" i="20"/>
  <c r="V27" i="20"/>
  <c r="W27" i="20"/>
  <c r="X27" i="20"/>
  <c r="Y27" i="20"/>
  <c r="O28" i="20"/>
  <c r="U28" i="20"/>
  <c r="Y28" i="20" s="1"/>
  <c r="V28" i="20"/>
  <c r="W28" i="20"/>
  <c r="X28" i="20"/>
  <c r="O29" i="20"/>
  <c r="U29" i="20"/>
  <c r="Y29" i="20" s="1"/>
  <c r="V29" i="20"/>
  <c r="W29" i="20"/>
  <c r="X29" i="20"/>
  <c r="O30" i="20"/>
  <c r="U30" i="20"/>
  <c r="V30" i="20"/>
  <c r="Y30" i="20" s="1"/>
  <c r="W30" i="20"/>
  <c r="X30" i="20"/>
  <c r="O31" i="20"/>
  <c r="U31" i="20"/>
  <c r="V31" i="20"/>
  <c r="W31" i="20"/>
  <c r="X31" i="20"/>
  <c r="Y31" i="20"/>
  <c r="O32" i="20"/>
  <c r="U32" i="20"/>
  <c r="Y32" i="20" s="1"/>
  <c r="V32" i="20"/>
  <c r="W32" i="20"/>
  <c r="X32" i="20"/>
  <c r="O33" i="20"/>
  <c r="U33" i="20"/>
  <c r="Y33" i="20" s="1"/>
  <c r="V33" i="20"/>
  <c r="W33" i="20"/>
  <c r="X33" i="20"/>
  <c r="O34" i="20"/>
  <c r="U34" i="20"/>
  <c r="V34" i="20"/>
  <c r="Y34" i="20" s="1"/>
  <c r="W34" i="20"/>
  <c r="X34" i="20"/>
  <c r="O35" i="20"/>
  <c r="U35" i="20"/>
  <c r="V35" i="20"/>
  <c r="W35" i="20"/>
  <c r="X35" i="20"/>
  <c r="Y35" i="20"/>
  <c r="O36" i="20"/>
  <c r="U36" i="20"/>
  <c r="Y36" i="20" s="1"/>
  <c r="V36" i="20"/>
  <c r="W36" i="20"/>
  <c r="X36" i="20"/>
  <c r="O38" i="20"/>
  <c r="U38" i="20"/>
  <c r="Y38" i="20" s="1"/>
  <c r="V38" i="20"/>
  <c r="W38" i="20"/>
  <c r="X38" i="20"/>
  <c r="O39" i="20"/>
  <c r="U39" i="20"/>
  <c r="V39" i="20"/>
  <c r="W39" i="20"/>
  <c r="X39" i="20"/>
  <c r="O40" i="20"/>
  <c r="U40" i="20"/>
  <c r="V40" i="20"/>
  <c r="W40" i="20"/>
  <c r="X40" i="20"/>
  <c r="Y40" i="20"/>
  <c r="O41" i="20"/>
  <c r="U41" i="20"/>
  <c r="Y41" i="20" s="1"/>
  <c r="V41" i="20"/>
  <c r="W41" i="20"/>
  <c r="X41" i="20"/>
  <c r="C43" i="20"/>
  <c r="O43" i="20" s="1"/>
  <c r="D43" i="20"/>
  <c r="E43" i="20"/>
  <c r="F43" i="20"/>
  <c r="F80" i="20" s="1"/>
  <c r="G43" i="20"/>
  <c r="G80" i="20" s="1"/>
  <c r="W43" i="20"/>
  <c r="X43" i="20"/>
  <c r="O44" i="20"/>
  <c r="U44" i="20"/>
  <c r="Y44" i="20" s="1"/>
  <c r="V44" i="20"/>
  <c r="W44" i="20"/>
  <c r="X44" i="20"/>
  <c r="C45" i="20"/>
  <c r="D45" i="20"/>
  <c r="E45" i="20"/>
  <c r="F45" i="20"/>
  <c r="F46" i="20" s="1"/>
  <c r="V46" i="20" s="1"/>
  <c r="G45" i="20"/>
  <c r="K45" i="20"/>
  <c r="L45" i="20"/>
  <c r="X45" i="20" s="1"/>
  <c r="M45" i="20"/>
  <c r="N45" i="20"/>
  <c r="V45" i="20"/>
  <c r="W45" i="20"/>
  <c r="G46" i="20"/>
  <c r="H46" i="20"/>
  <c r="I46" i="20"/>
  <c r="J46" i="20"/>
  <c r="K46" i="20"/>
  <c r="W46" i="20" s="1"/>
  <c r="L46" i="20"/>
  <c r="O47" i="20"/>
  <c r="U47" i="20"/>
  <c r="Y47" i="20" s="1"/>
  <c r="V47" i="20"/>
  <c r="W47" i="20"/>
  <c r="X47" i="20"/>
  <c r="O49" i="20"/>
  <c r="U49" i="20"/>
  <c r="Y49" i="20" s="1"/>
  <c r="V49" i="20"/>
  <c r="W49" i="20"/>
  <c r="X49" i="20"/>
  <c r="O50" i="20"/>
  <c r="U50" i="20"/>
  <c r="V50" i="20"/>
  <c r="Y50" i="20" s="1"/>
  <c r="W50" i="20"/>
  <c r="X50" i="20"/>
  <c r="O51" i="20"/>
  <c r="U51" i="20"/>
  <c r="V51" i="20"/>
  <c r="W51" i="20"/>
  <c r="X51" i="20"/>
  <c r="Y51" i="20"/>
  <c r="C52" i="20"/>
  <c r="D52" i="20"/>
  <c r="E52" i="20"/>
  <c r="F52" i="20"/>
  <c r="G52" i="20"/>
  <c r="H52" i="20"/>
  <c r="I52" i="20"/>
  <c r="J52" i="20"/>
  <c r="K52" i="20"/>
  <c r="L52" i="20"/>
  <c r="X52" i="20" s="1"/>
  <c r="M52" i="20"/>
  <c r="N52" i="20"/>
  <c r="V52" i="20"/>
  <c r="O53" i="20"/>
  <c r="U53" i="20"/>
  <c r="V53" i="20"/>
  <c r="W53" i="20"/>
  <c r="X53" i="20"/>
  <c r="Y53" i="20"/>
  <c r="O55" i="20"/>
  <c r="U55" i="20"/>
  <c r="Y55" i="20" s="1"/>
  <c r="V55" i="20"/>
  <c r="W55" i="20"/>
  <c r="X55" i="20"/>
  <c r="C56" i="20"/>
  <c r="U56" i="20" s="1"/>
  <c r="D56" i="20"/>
  <c r="E56" i="20"/>
  <c r="F56" i="20"/>
  <c r="V56" i="20" s="1"/>
  <c r="Y56" i="20" s="1"/>
  <c r="G56" i="20"/>
  <c r="H56" i="20"/>
  <c r="I56" i="20"/>
  <c r="J56" i="20"/>
  <c r="K56" i="20"/>
  <c r="W56" i="20" s="1"/>
  <c r="L56" i="20"/>
  <c r="X56" i="20" s="1"/>
  <c r="M56" i="20"/>
  <c r="N56" i="20"/>
  <c r="O57" i="20"/>
  <c r="U57" i="20"/>
  <c r="Y57" i="20" s="1"/>
  <c r="V57" i="20"/>
  <c r="W57" i="20"/>
  <c r="X57" i="20"/>
  <c r="O58" i="20"/>
  <c r="U58" i="20"/>
  <c r="Y58" i="20" s="1"/>
  <c r="V58" i="20"/>
  <c r="W58" i="20"/>
  <c r="X58" i="20"/>
  <c r="O59" i="20"/>
  <c r="U59" i="20"/>
  <c r="V59" i="20"/>
  <c r="W59" i="20"/>
  <c r="X59" i="20"/>
  <c r="C60" i="20"/>
  <c r="O60" i="20" s="1"/>
  <c r="D60" i="20"/>
  <c r="E60" i="20"/>
  <c r="F60" i="20"/>
  <c r="V60" i="20" s="1"/>
  <c r="G60" i="20"/>
  <c r="H60" i="20"/>
  <c r="H80" i="20" s="1"/>
  <c r="H81" i="20" s="1"/>
  <c r="I60" i="20"/>
  <c r="J60" i="20"/>
  <c r="K60" i="20"/>
  <c r="W60" i="20" s="1"/>
  <c r="L60" i="20"/>
  <c r="M60" i="20"/>
  <c r="N60" i="20"/>
  <c r="U60" i="20"/>
  <c r="X60" i="20"/>
  <c r="O61" i="20"/>
  <c r="U61" i="20"/>
  <c r="V61" i="20"/>
  <c r="W61" i="20"/>
  <c r="X61" i="20"/>
  <c r="O62" i="20"/>
  <c r="U62" i="20"/>
  <c r="V62" i="20"/>
  <c r="W62" i="20"/>
  <c r="X62" i="20"/>
  <c r="Y62" i="20"/>
  <c r="O63" i="20"/>
  <c r="U63" i="20"/>
  <c r="Y63" i="20" s="1"/>
  <c r="V63" i="20"/>
  <c r="W63" i="20"/>
  <c r="X63" i="20"/>
  <c r="O64" i="20"/>
  <c r="U64" i="20"/>
  <c r="Y64" i="20" s="1"/>
  <c r="V64" i="20"/>
  <c r="W64" i="20"/>
  <c r="X64" i="20"/>
  <c r="O66" i="20"/>
  <c r="U66" i="20"/>
  <c r="V66" i="20"/>
  <c r="Y66" i="20" s="1"/>
  <c r="W66" i="20"/>
  <c r="X66" i="20"/>
  <c r="C67" i="20"/>
  <c r="O67" i="20" s="1"/>
  <c r="D67" i="20"/>
  <c r="E67" i="20"/>
  <c r="F67" i="20"/>
  <c r="G67" i="20"/>
  <c r="I67" i="20"/>
  <c r="W67" i="20" s="1"/>
  <c r="J67" i="20"/>
  <c r="K67" i="20"/>
  <c r="L67" i="20"/>
  <c r="X67" i="20" s="1"/>
  <c r="M67" i="20"/>
  <c r="N67" i="20"/>
  <c r="V67" i="20"/>
  <c r="O68" i="20"/>
  <c r="U68" i="20"/>
  <c r="V68" i="20"/>
  <c r="W68" i="20"/>
  <c r="X68" i="20"/>
  <c r="O69" i="20"/>
  <c r="U69" i="20"/>
  <c r="Y69" i="20" s="1"/>
  <c r="V69" i="20"/>
  <c r="W69" i="20"/>
  <c r="X69" i="20"/>
  <c r="O70" i="20"/>
  <c r="U70" i="20"/>
  <c r="V70" i="20"/>
  <c r="Y70" i="20" s="1"/>
  <c r="W70" i="20"/>
  <c r="X70" i="20"/>
  <c r="O71" i="20"/>
  <c r="U71" i="20"/>
  <c r="V71" i="20"/>
  <c r="Y71" i="20" s="1"/>
  <c r="W71" i="20"/>
  <c r="X71" i="20"/>
  <c r="O72" i="20"/>
  <c r="U72" i="20"/>
  <c r="V72" i="20"/>
  <c r="Y72" i="20" s="1"/>
  <c r="W72" i="20"/>
  <c r="X72" i="20"/>
  <c r="O74" i="20"/>
  <c r="U74" i="20"/>
  <c r="Y74" i="20" s="1"/>
  <c r="V74" i="20"/>
  <c r="W74" i="20"/>
  <c r="X74" i="20"/>
  <c r="O76" i="20"/>
  <c r="U76" i="20"/>
  <c r="V76" i="20"/>
  <c r="Y76" i="20" s="1"/>
  <c r="W76" i="20"/>
  <c r="X76" i="20"/>
  <c r="O77" i="20"/>
  <c r="U77" i="20"/>
  <c r="V77" i="20"/>
  <c r="Y77" i="20" s="1"/>
  <c r="W77" i="20"/>
  <c r="X77" i="20"/>
  <c r="O78" i="20"/>
  <c r="U78" i="20"/>
  <c r="V78" i="20"/>
  <c r="W78" i="20"/>
  <c r="X78" i="20"/>
  <c r="I80" i="20"/>
  <c r="G81" i="20"/>
  <c r="C82" i="20"/>
  <c r="D82" i="20"/>
  <c r="E82" i="20"/>
  <c r="F82" i="20"/>
  <c r="G82" i="20"/>
  <c r="V82" i="20" s="1"/>
  <c r="H82" i="20"/>
  <c r="I82" i="20"/>
  <c r="J82" i="20"/>
  <c r="K82" i="20"/>
  <c r="L82" i="20"/>
  <c r="M82" i="20"/>
  <c r="X82" i="20" s="1"/>
  <c r="N82" i="20"/>
  <c r="O84" i="20"/>
  <c r="U84" i="20"/>
  <c r="V84" i="20"/>
  <c r="W84" i="20"/>
  <c r="X84" i="20"/>
  <c r="O85" i="20"/>
  <c r="U85" i="20"/>
  <c r="V85" i="20"/>
  <c r="Y85" i="20" s="1"/>
  <c r="W85" i="20"/>
  <c r="X85" i="20"/>
  <c r="O86" i="20"/>
  <c r="U86" i="20"/>
  <c r="V86" i="20"/>
  <c r="W86" i="20"/>
  <c r="X86" i="20"/>
  <c r="O87" i="20"/>
  <c r="U87" i="20"/>
  <c r="V87" i="20"/>
  <c r="W87" i="20"/>
  <c r="X87" i="20"/>
  <c r="C88" i="20"/>
  <c r="D88" i="20"/>
  <c r="E88" i="20"/>
  <c r="F88" i="20"/>
  <c r="F101" i="20" s="1"/>
  <c r="F130" i="20" s="1"/>
  <c r="G88" i="20"/>
  <c r="H88" i="20"/>
  <c r="I88" i="20"/>
  <c r="J88" i="20"/>
  <c r="J101" i="20" s="1"/>
  <c r="J130" i="20" s="1"/>
  <c r="K88" i="20"/>
  <c r="L88" i="20"/>
  <c r="M88" i="20"/>
  <c r="N88" i="20"/>
  <c r="N101" i="20" s="1"/>
  <c r="N130" i="20" s="1"/>
  <c r="V88" i="20"/>
  <c r="X88" i="20"/>
  <c r="O89" i="20"/>
  <c r="U89" i="20"/>
  <c r="V89" i="20"/>
  <c r="W89" i="20"/>
  <c r="X89" i="20"/>
  <c r="O90" i="20"/>
  <c r="U90" i="20"/>
  <c r="Y90" i="20" s="1"/>
  <c r="V90" i="20"/>
  <c r="W90" i="20"/>
  <c r="X90" i="20"/>
  <c r="O91" i="20"/>
  <c r="U91" i="20"/>
  <c r="V91" i="20"/>
  <c r="Y91" i="20" s="1"/>
  <c r="W91" i="20"/>
  <c r="X91" i="20"/>
  <c r="O92" i="20"/>
  <c r="U92" i="20"/>
  <c r="V92" i="20"/>
  <c r="Y92" i="20" s="1"/>
  <c r="W92" i="20"/>
  <c r="X92" i="20"/>
  <c r="O93" i="20"/>
  <c r="U93" i="20"/>
  <c r="V93" i="20"/>
  <c r="W93" i="20"/>
  <c r="X93" i="20"/>
  <c r="O94" i="20"/>
  <c r="U94" i="20"/>
  <c r="Y94" i="20" s="1"/>
  <c r="V94" i="20"/>
  <c r="W94" i="20"/>
  <c r="X94" i="20"/>
  <c r="O95" i="20"/>
  <c r="U95" i="20"/>
  <c r="V95" i="20"/>
  <c r="Y95" i="20" s="1"/>
  <c r="W95" i="20"/>
  <c r="X95" i="20"/>
  <c r="O96" i="20"/>
  <c r="U96" i="20"/>
  <c r="V96" i="20"/>
  <c r="W96" i="20"/>
  <c r="X96" i="20"/>
  <c r="O97" i="20"/>
  <c r="U97" i="20"/>
  <c r="V97" i="20"/>
  <c r="W97" i="20"/>
  <c r="X97" i="20"/>
  <c r="O98" i="20"/>
  <c r="U98" i="20"/>
  <c r="V98" i="20"/>
  <c r="Y98" i="20" s="1"/>
  <c r="W98" i="20"/>
  <c r="X98" i="20"/>
  <c r="C99" i="20"/>
  <c r="D99" i="20"/>
  <c r="E99" i="20"/>
  <c r="E101" i="20" s="1"/>
  <c r="E130" i="20" s="1"/>
  <c r="F99" i="20"/>
  <c r="G99" i="20"/>
  <c r="V99" i="20" s="1"/>
  <c r="H99" i="20"/>
  <c r="I99" i="20"/>
  <c r="J99" i="20"/>
  <c r="K99" i="20"/>
  <c r="L99" i="20"/>
  <c r="M99" i="20"/>
  <c r="N99" i="20"/>
  <c r="O100" i="20"/>
  <c r="U100" i="20"/>
  <c r="V100" i="20"/>
  <c r="Y100" i="20" s="1"/>
  <c r="W100" i="20"/>
  <c r="X100" i="20"/>
  <c r="C101" i="20"/>
  <c r="C130" i="20" s="1"/>
  <c r="D101" i="20"/>
  <c r="G101" i="20"/>
  <c r="H101" i="20"/>
  <c r="K101" i="20"/>
  <c r="L101" i="20"/>
  <c r="L130" i="20" s="1"/>
  <c r="O103" i="20"/>
  <c r="U103" i="20"/>
  <c r="V103" i="20"/>
  <c r="Y103" i="20" s="1"/>
  <c r="W103" i="20"/>
  <c r="X103" i="20"/>
  <c r="O104" i="20"/>
  <c r="U104" i="20"/>
  <c r="V104" i="20"/>
  <c r="Y104" i="20" s="1"/>
  <c r="W104" i="20"/>
  <c r="X104" i="20"/>
  <c r="O105" i="20"/>
  <c r="U105" i="20"/>
  <c r="V105" i="20"/>
  <c r="W105" i="20"/>
  <c r="X105" i="20"/>
  <c r="O106" i="20"/>
  <c r="U106" i="20"/>
  <c r="V106" i="20"/>
  <c r="W106" i="20"/>
  <c r="X106" i="20"/>
  <c r="C107" i="20"/>
  <c r="D107" i="20"/>
  <c r="E107" i="20"/>
  <c r="F107" i="20"/>
  <c r="G107" i="20"/>
  <c r="H107" i="20"/>
  <c r="I107" i="20"/>
  <c r="J107" i="20"/>
  <c r="K107" i="20"/>
  <c r="L107" i="20"/>
  <c r="M107" i="20"/>
  <c r="N107" i="20"/>
  <c r="V107" i="20"/>
  <c r="X107" i="20"/>
  <c r="O108" i="20"/>
  <c r="U108" i="20"/>
  <c r="V108" i="20"/>
  <c r="W108" i="20"/>
  <c r="X108" i="20"/>
  <c r="O109" i="20"/>
  <c r="U109" i="20"/>
  <c r="V109" i="20"/>
  <c r="Y109" i="20" s="1"/>
  <c r="W109" i="20"/>
  <c r="X109" i="20"/>
  <c r="O111" i="20"/>
  <c r="O118" i="20" s="1"/>
  <c r="U111" i="20"/>
  <c r="U118" i="20" s="1"/>
  <c r="V111" i="20"/>
  <c r="Y111" i="20" s="1"/>
  <c r="W111" i="20"/>
  <c r="X111" i="20"/>
  <c r="O112" i="20"/>
  <c r="U112" i="20"/>
  <c r="V112" i="20"/>
  <c r="W112" i="20"/>
  <c r="X112" i="20"/>
  <c r="O113" i="20"/>
  <c r="U113" i="20"/>
  <c r="Y113" i="20" s="1"/>
  <c r="V113" i="20"/>
  <c r="W113" i="20"/>
  <c r="X113" i="20"/>
  <c r="O114" i="20"/>
  <c r="U114" i="20"/>
  <c r="Y114" i="20" s="1"/>
  <c r="V114" i="20"/>
  <c r="W114" i="20"/>
  <c r="X114" i="20"/>
  <c r="O115" i="20"/>
  <c r="U115" i="20"/>
  <c r="V115" i="20"/>
  <c r="Y115" i="20" s="1"/>
  <c r="W115" i="20"/>
  <c r="W118" i="20" s="1"/>
  <c r="X115" i="20"/>
  <c r="O116" i="20"/>
  <c r="U116" i="20"/>
  <c r="V116" i="20"/>
  <c r="W116" i="20"/>
  <c r="X116" i="20"/>
  <c r="O117" i="20"/>
  <c r="U117" i="20"/>
  <c r="Y117" i="20" s="1"/>
  <c r="V117" i="20"/>
  <c r="W117" i="20"/>
  <c r="X117" i="20"/>
  <c r="X118" i="20" s="1"/>
  <c r="C118" i="20"/>
  <c r="D118" i="20"/>
  <c r="E118" i="20"/>
  <c r="F118" i="20"/>
  <c r="G118" i="20"/>
  <c r="H118" i="20"/>
  <c r="I118" i="20"/>
  <c r="J118" i="20"/>
  <c r="K118" i="20"/>
  <c r="L118" i="20"/>
  <c r="M118" i="20"/>
  <c r="N118" i="20"/>
  <c r="O120" i="20"/>
  <c r="U120" i="20"/>
  <c r="V120" i="20"/>
  <c r="W120" i="20"/>
  <c r="X120" i="20"/>
  <c r="O121" i="20"/>
  <c r="U121" i="20"/>
  <c r="Y121" i="20" s="1"/>
  <c r="V121" i="20"/>
  <c r="W121" i="20"/>
  <c r="X121" i="20"/>
  <c r="O123" i="20"/>
  <c r="U123" i="20"/>
  <c r="V123" i="20"/>
  <c r="W123" i="20"/>
  <c r="X123" i="20"/>
  <c r="O124" i="20"/>
  <c r="U124" i="20"/>
  <c r="V124" i="20"/>
  <c r="W124" i="20"/>
  <c r="X124" i="20"/>
  <c r="Y124" i="20"/>
  <c r="O125" i="20"/>
  <c r="U125" i="20"/>
  <c r="Y125" i="20" s="1"/>
  <c r="V125" i="20"/>
  <c r="W125" i="20"/>
  <c r="X125" i="20"/>
  <c r="O126" i="20"/>
  <c r="U126" i="20"/>
  <c r="Y126" i="20" s="1"/>
  <c r="V126" i="20"/>
  <c r="W126" i="20"/>
  <c r="X126" i="20"/>
  <c r="O128" i="20"/>
  <c r="U128" i="20"/>
  <c r="V128" i="20"/>
  <c r="W128" i="20"/>
  <c r="X128" i="20"/>
  <c r="G130" i="20"/>
  <c r="G158" i="20" s="1"/>
  <c r="G159" i="20" s="1"/>
  <c r="H130" i="20"/>
  <c r="O133" i="20"/>
  <c r="U133" i="20"/>
  <c r="V133" i="20"/>
  <c r="W133" i="20"/>
  <c r="X133" i="20"/>
  <c r="O134" i="20"/>
  <c r="U134" i="20"/>
  <c r="V134" i="20"/>
  <c r="W134" i="20"/>
  <c r="X134" i="20"/>
  <c r="Y134" i="20"/>
  <c r="O135" i="20"/>
  <c r="U135" i="20"/>
  <c r="Y135" i="20" s="1"/>
  <c r="V135" i="20"/>
  <c r="W135" i="20"/>
  <c r="X135" i="20"/>
  <c r="O136" i="20"/>
  <c r="U136" i="20"/>
  <c r="V136" i="20"/>
  <c r="W136" i="20"/>
  <c r="X136" i="20"/>
  <c r="H138" i="20"/>
  <c r="U138" i="20"/>
  <c r="W138" i="20"/>
  <c r="X138" i="20"/>
  <c r="K139" i="20"/>
  <c r="O139" i="20"/>
  <c r="U139" i="20"/>
  <c r="V139" i="20"/>
  <c r="Y139" i="20" s="1"/>
  <c r="W139" i="20"/>
  <c r="X139" i="20"/>
  <c r="O140" i="20"/>
  <c r="U140" i="20"/>
  <c r="V140" i="20"/>
  <c r="W140" i="20"/>
  <c r="X140" i="20"/>
  <c r="Y140" i="20"/>
  <c r="O141" i="20"/>
  <c r="U141" i="20"/>
  <c r="V141" i="20"/>
  <c r="W141" i="20"/>
  <c r="X141" i="20"/>
  <c r="O142" i="20"/>
  <c r="U142" i="20"/>
  <c r="Y142" i="20" s="1"/>
  <c r="V142" i="20"/>
  <c r="W142" i="20"/>
  <c r="X142" i="20"/>
  <c r="O143" i="20"/>
  <c r="U143" i="20"/>
  <c r="V143" i="20"/>
  <c r="W143" i="20"/>
  <c r="X143" i="20"/>
  <c r="O144" i="20"/>
  <c r="U144" i="20"/>
  <c r="V144" i="20"/>
  <c r="W144" i="20"/>
  <c r="X144" i="20"/>
  <c r="Y144" i="20"/>
  <c r="O145" i="20"/>
  <c r="U145" i="20"/>
  <c r="Y145" i="20" s="1"/>
  <c r="V145" i="20"/>
  <c r="W145" i="20"/>
  <c r="X145" i="20"/>
  <c r="O146" i="20"/>
  <c r="U146" i="20"/>
  <c r="Y146" i="20" s="1"/>
  <c r="V146" i="20"/>
  <c r="W146" i="20"/>
  <c r="X146" i="20"/>
  <c r="O147" i="20"/>
  <c r="U147" i="20"/>
  <c r="V147" i="20"/>
  <c r="W147" i="20"/>
  <c r="X147" i="20"/>
  <c r="O149" i="20"/>
  <c r="U149" i="20"/>
  <c r="V149" i="20"/>
  <c r="W149" i="20"/>
  <c r="X149" i="20"/>
  <c r="O151" i="20"/>
  <c r="U151" i="20"/>
  <c r="V151" i="20"/>
  <c r="W151" i="20"/>
  <c r="X151" i="20"/>
  <c r="O152" i="20"/>
  <c r="U152" i="20"/>
  <c r="Y152" i="20" s="1"/>
  <c r="V152" i="20"/>
  <c r="W152" i="20"/>
  <c r="X152" i="20"/>
  <c r="O153" i="20"/>
  <c r="U153" i="20"/>
  <c r="V153" i="20"/>
  <c r="W153" i="20"/>
  <c r="X153" i="20"/>
  <c r="O154" i="20"/>
  <c r="U154" i="20"/>
  <c r="V154" i="20"/>
  <c r="W154" i="20"/>
  <c r="X154" i="20"/>
  <c r="Y154" i="20" s="1"/>
  <c r="C156" i="20"/>
  <c r="D156" i="20"/>
  <c r="E156" i="20"/>
  <c r="F156" i="20"/>
  <c r="G156" i="20"/>
  <c r="I156" i="20"/>
  <c r="J156" i="20"/>
  <c r="K156" i="20"/>
  <c r="L156" i="20"/>
  <c r="M156" i="20"/>
  <c r="N156" i="20"/>
  <c r="C160" i="20"/>
  <c r="D160" i="20"/>
  <c r="E160" i="20"/>
  <c r="F160" i="20"/>
  <c r="G160" i="20"/>
  <c r="H160" i="20"/>
  <c r="I160" i="20"/>
  <c r="W160" i="20" s="1"/>
  <c r="J160" i="20"/>
  <c r="K160" i="20"/>
  <c r="L160" i="20"/>
  <c r="M160" i="20"/>
  <c r="N160" i="20"/>
  <c r="V160" i="20"/>
  <c r="X160" i="20"/>
  <c r="O164" i="20"/>
  <c r="U164" i="20"/>
  <c r="V164" i="20"/>
  <c r="W164" i="20"/>
  <c r="X164" i="20"/>
  <c r="O167" i="20"/>
  <c r="O172" i="20" s="1"/>
  <c r="U167" i="20"/>
  <c r="V167" i="20"/>
  <c r="W167" i="20"/>
  <c r="X167" i="20"/>
  <c r="O168" i="20"/>
  <c r="U168" i="20"/>
  <c r="V168" i="20"/>
  <c r="Y168" i="20" s="1"/>
  <c r="W168" i="20"/>
  <c r="X168" i="20"/>
  <c r="O169" i="20"/>
  <c r="U169" i="20"/>
  <c r="V169" i="20"/>
  <c r="W169" i="20"/>
  <c r="X169" i="20"/>
  <c r="Y169" i="20"/>
  <c r="O170" i="20"/>
  <c r="U170" i="20"/>
  <c r="Y170" i="20" s="1"/>
  <c r="V170" i="20"/>
  <c r="W170" i="20"/>
  <c r="X170" i="20"/>
  <c r="O171" i="20"/>
  <c r="U171" i="20"/>
  <c r="Y171" i="20" s="1"/>
  <c r="V171" i="20"/>
  <c r="W171" i="20"/>
  <c r="X171" i="20"/>
  <c r="C172" i="20"/>
  <c r="D172" i="20"/>
  <c r="E172" i="20"/>
  <c r="E178" i="20" s="1"/>
  <c r="E180" i="20" s="1"/>
  <c r="F172" i="20"/>
  <c r="F178" i="20" s="1"/>
  <c r="F180" i="20" s="1"/>
  <c r="G172" i="20"/>
  <c r="G178" i="20" s="1"/>
  <c r="G180" i="20" s="1"/>
  <c r="H172" i="20"/>
  <c r="H178" i="20" s="1"/>
  <c r="H180" i="20" s="1"/>
  <c r="I172" i="20"/>
  <c r="J172" i="20"/>
  <c r="K172" i="20"/>
  <c r="L172" i="20"/>
  <c r="M172" i="20"/>
  <c r="M178" i="20" s="1"/>
  <c r="M180" i="20" s="1"/>
  <c r="N172" i="20"/>
  <c r="N178" i="20" s="1"/>
  <c r="N180" i="20" s="1"/>
  <c r="X172" i="20"/>
  <c r="C174" i="20"/>
  <c r="D174" i="20"/>
  <c r="D178" i="20" s="1"/>
  <c r="D180" i="20" s="1"/>
  <c r="E174" i="20"/>
  <c r="F174" i="20"/>
  <c r="G174" i="20"/>
  <c r="H174" i="20"/>
  <c r="I174" i="20"/>
  <c r="J174" i="20"/>
  <c r="K174" i="20"/>
  <c r="L174" i="20"/>
  <c r="X174" i="20" s="1"/>
  <c r="M174" i="20"/>
  <c r="N174" i="20"/>
  <c r="V174" i="20"/>
  <c r="O176" i="20"/>
  <c r="U176" i="20"/>
  <c r="Y176" i="20" s="1"/>
  <c r="V176" i="20"/>
  <c r="W176" i="20"/>
  <c r="X176" i="20"/>
  <c r="I178" i="20"/>
  <c r="J178" i="20"/>
  <c r="K178" i="20"/>
  <c r="K180" i="20" s="1"/>
  <c r="L178" i="20"/>
  <c r="L180" i="20" s="1"/>
  <c r="X178" i="20"/>
  <c r="I180" i="20"/>
  <c r="J180" i="20"/>
  <c r="O183" i="20"/>
  <c r="U183" i="20"/>
  <c r="V183" i="20"/>
  <c r="W183" i="20"/>
  <c r="X183" i="20"/>
  <c r="Y183" i="20"/>
  <c r="O186" i="20"/>
  <c r="U186" i="20"/>
  <c r="Y186" i="20" s="1"/>
  <c r="V186" i="20"/>
  <c r="W186" i="20"/>
  <c r="X186" i="20"/>
  <c r="O187" i="20"/>
  <c r="U187" i="20"/>
  <c r="Y187" i="20" s="1"/>
  <c r="V187" i="20"/>
  <c r="W187" i="20"/>
  <c r="X187" i="20"/>
  <c r="O188" i="20"/>
  <c r="U188" i="20"/>
  <c r="V188" i="20"/>
  <c r="W188" i="20"/>
  <c r="X188" i="20"/>
  <c r="O189" i="20"/>
  <c r="U189" i="20"/>
  <c r="V189" i="20"/>
  <c r="Y189" i="20" s="1"/>
  <c r="W189" i="20"/>
  <c r="X189" i="20"/>
  <c r="O190" i="20"/>
  <c r="U190" i="20"/>
  <c r="V190" i="20"/>
  <c r="W190" i="20"/>
  <c r="X190" i="20"/>
  <c r="O191" i="20"/>
  <c r="U191" i="20"/>
  <c r="V191" i="20"/>
  <c r="W191" i="20"/>
  <c r="X191" i="20"/>
  <c r="O192" i="20"/>
  <c r="U192" i="20"/>
  <c r="V192" i="20"/>
  <c r="W192" i="20"/>
  <c r="X192" i="20"/>
  <c r="O193" i="20"/>
  <c r="U193" i="20"/>
  <c r="V193" i="20"/>
  <c r="Y193" i="20" s="1"/>
  <c r="W193" i="20"/>
  <c r="X193" i="20"/>
  <c r="O194" i="20"/>
  <c r="U194" i="20"/>
  <c r="V194" i="20"/>
  <c r="W194" i="20"/>
  <c r="X194" i="20"/>
  <c r="O195" i="20"/>
  <c r="U195" i="20"/>
  <c r="Y195" i="20" s="1"/>
  <c r="V195" i="20"/>
  <c r="W195" i="20"/>
  <c r="X195" i="20"/>
  <c r="O196" i="20"/>
  <c r="U196" i="20"/>
  <c r="Y196" i="20" s="1"/>
  <c r="V196" i="20"/>
  <c r="W196" i="20"/>
  <c r="X196" i="20"/>
  <c r="O197" i="20"/>
  <c r="U197" i="20"/>
  <c r="V197" i="20"/>
  <c r="W197" i="20"/>
  <c r="X197" i="20"/>
  <c r="Y197" i="20"/>
  <c r="O198" i="20"/>
  <c r="U198" i="20"/>
  <c r="V198" i="20"/>
  <c r="W198" i="20"/>
  <c r="X198" i="20"/>
  <c r="Y198" i="20"/>
  <c r="O199" i="20"/>
  <c r="U199" i="20"/>
  <c r="Y199" i="20" s="1"/>
  <c r="V199" i="20"/>
  <c r="W199" i="20"/>
  <c r="X199" i="20"/>
  <c r="C200" i="20"/>
  <c r="D200" i="20"/>
  <c r="D206" i="20" s="1"/>
  <c r="D208" i="20" s="1"/>
  <c r="E200" i="20"/>
  <c r="E206" i="20" s="1"/>
  <c r="E208" i="20" s="1"/>
  <c r="F200" i="20"/>
  <c r="F206" i="20" s="1"/>
  <c r="F208" i="20" s="1"/>
  <c r="G200" i="20"/>
  <c r="G206" i="20" s="1"/>
  <c r="G208" i="20" s="1"/>
  <c r="H200" i="20"/>
  <c r="H206" i="20" s="1"/>
  <c r="H208" i="20" s="1"/>
  <c r="I200" i="20"/>
  <c r="J200" i="20"/>
  <c r="K200" i="20"/>
  <c r="L200" i="20"/>
  <c r="M200" i="20"/>
  <c r="M206" i="20" s="1"/>
  <c r="M208" i="20" s="1"/>
  <c r="N200" i="20"/>
  <c r="C202" i="20"/>
  <c r="D202" i="20"/>
  <c r="E202" i="20"/>
  <c r="F202" i="20"/>
  <c r="V202" i="20" s="1"/>
  <c r="G202" i="20"/>
  <c r="H202" i="20"/>
  <c r="I202" i="20"/>
  <c r="J202" i="20"/>
  <c r="K202" i="20"/>
  <c r="L202" i="20"/>
  <c r="M202" i="20"/>
  <c r="N202" i="20"/>
  <c r="X202" i="20"/>
  <c r="O204" i="20"/>
  <c r="U204" i="20"/>
  <c r="V204" i="20"/>
  <c r="W204" i="20"/>
  <c r="X204" i="20"/>
  <c r="Y204" i="20"/>
  <c r="C206" i="20"/>
  <c r="C208" i="20" s="1"/>
  <c r="J206" i="20"/>
  <c r="K206" i="20"/>
  <c r="K208" i="20" s="1"/>
  <c r="L206" i="20"/>
  <c r="L208" i="20" s="1"/>
  <c r="J208" i="20"/>
  <c r="O212" i="20"/>
  <c r="U212" i="20"/>
  <c r="V212" i="20"/>
  <c r="W212" i="20"/>
  <c r="X212" i="20"/>
  <c r="Y212" i="20" s="1"/>
  <c r="O215" i="20"/>
  <c r="U215" i="20"/>
  <c r="Y215" i="20" s="1"/>
  <c r="V215" i="20"/>
  <c r="W215" i="20"/>
  <c r="X215" i="20"/>
  <c r="O216" i="20"/>
  <c r="U216" i="20"/>
  <c r="V216" i="20"/>
  <c r="W216" i="20"/>
  <c r="W230" i="20" s="1"/>
  <c r="W239" i="20" s="1"/>
  <c r="X216" i="20"/>
  <c r="O217" i="20"/>
  <c r="U217" i="20"/>
  <c r="V217" i="20"/>
  <c r="W217" i="20"/>
  <c r="X217" i="20"/>
  <c r="Y217" i="20"/>
  <c r="O218" i="20"/>
  <c r="U218" i="20"/>
  <c r="V218" i="20"/>
  <c r="Y218" i="20" s="1"/>
  <c r="W218" i="20"/>
  <c r="X218" i="20"/>
  <c r="O219" i="20"/>
  <c r="U219" i="20"/>
  <c r="V219" i="20"/>
  <c r="W219" i="20"/>
  <c r="X219" i="20"/>
  <c r="O220" i="20"/>
  <c r="U220" i="20"/>
  <c r="V220" i="20"/>
  <c r="W220" i="20"/>
  <c r="X220" i="20"/>
  <c r="O221" i="20"/>
  <c r="U221" i="20"/>
  <c r="Y221" i="20" s="1"/>
  <c r="V221" i="20"/>
  <c r="W221" i="20"/>
  <c r="X221" i="20"/>
  <c r="O222" i="20"/>
  <c r="U222" i="20"/>
  <c r="V222" i="20"/>
  <c r="W222" i="20"/>
  <c r="X222" i="20"/>
  <c r="O223" i="20"/>
  <c r="U223" i="20"/>
  <c r="V223" i="20"/>
  <c r="W223" i="20"/>
  <c r="X223" i="20"/>
  <c r="Y223" i="20" s="1"/>
  <c r="O224" i="20"/>
  <c r="U224" i="20"/>
  <c r="V224" i="20"/>
  <c r="W224" i="20"/>
  <c r="X224" i="20"/>
  <c r="O225" i="20"/>
  <c r="U225" i="20"/>
  <c r="Y225" i="20" s="1"/>
  <c r="V225" i="20"/>
  <c r="W225" i="20"/>
  <c r="X225" i="20"/>
  <c r="O226" i="20"/>
  <c r="U226" i="20"/>
  <c r="V226" i="20"/>
  <c r="Y226" i="20" s="1"/>
  <c r="W226" i="20"/>
  <c r="X226" i="20"/>
  <c r="O227" i="20"/>
  <c r="U227" i="20"/>
  <c r="V227" i="20"/>
  <c r="W227" i="20"/>
  <c r="X227" i="20"/>
  <c r="Y227" i="20"/>
  <c r="O228" i="20"/>
  <c r="U228" i="20"/>
  <c r="V228" i="20"/>
  <c r="W228" i="20"/>
  <c r="X228" i="20"/>
  <c r="O229" i="20"/>
  <c r="U229" i="20"/>
  <c r="Y229" i="20" s="1"/>
  <c r="V229" i="20"/>
  <c r="W229" i="20"/>
  <c r="X229" i="20"/>
  <c r="C230" i="20"/>
  <c r="D230" i="20"/>
  <c r="E230" i="20"/>
  <c r="E239" i="20" s="1"/>
  <c r="F230" i="20"/>
  <c r="G230" i="20"/>
  <c r="G239" i="20" s="1"/>
  <c r="H230" i="20"/>
  <c r="H239" i="20" s="1"/>
  <c r="I230" i="20"/>
  <c r="J230" i="20"/>
  <c r="K230" i="20"/>
  <c r="L230" i="20"/>
  <c r="M230" i="20"/>
  <c r="M239" i="20" s="1"/>
  <c r="N230" i="20"/>
  <c r="O230" i="20"/>
  <c r="O239" i="20" s="1"/>
  <c r="O232" i="20"/>
  <c r="O235" i="20" s="1"/>
  <c r="U232" i="20"/>
  <c r="V232" i="20"/>
  <c r="W232" i="20"/>
  <c r="W235" i="20" s="1"/>
  <c r="X232" i="20"/>
  <c r="O233" i="20"/>
  <c r="U233" i="20"/>
  <c r="V233" i="20"/>
  <c r="W233" i="20"/>
  <c r="X233" i="20"/>
  <c r="X235" i="20" s="1"/>
  <c r="Y233" i="20"/>
  <c r="O234" i="20"/>
  <c r="U234" i="20"/>
  <c r="Y234" i="20" s="1"/>
  <c r="V234" i="20"/>
  <c r="W234" i="20"/>
  <c r="X234" i="20"/>
  <c r="C235" i="20"/>
  <c r="C239" i="20" s="1"/>
  <c r="D235" i="20"/>
  <c r="D239" i="20" s="1"/>
  <c r="E235" i="20"/>
  <c r="F235" i="20"/>
  <c r="G235" i="20"/>
  <c r="H235" i="20"/>
  <c r="I235" i="20"/>
  <c r="J235" i="20"/>
  <c r="K235" i="20"/>
  <c r="L235" i="20"/>
  <c r="M235" i="20"/>
  <c r="N235" i="20"/>
  <c r="V235" i="20"/>
  <c r="O237" i="20"/>
  <c r="U237" i="20"/>
  <c r="Y237" i="20" s="1"/>
  <c r="V237" i="20"/>
  <c r="W237" i="20"/>
  <c r="X237" i="20"/>
  <c r="I239" i="20"/>
  <c r="J239" i="20"/>
  <c r="K239" i="20"/>
  <c r="L239" i="20"/>
  <c r="O241" i="20"/>
  <c r="U241" i="20"/>
  <c r="Y241" i="20" s="1"/>
  <c r="V241" i="20"/>
  <c r="W241" i="20"/>
  <c r="X241" i="20"/>
  <c r="O242" i="20"/>
  <c r="O243" i="20" s="1"/>
  <c r="U242" i="20"/>
  <c r="Y242" i="20" s="1"/>
  <c r="Y243" i="20" s="1"/>
  <c r="V242" i="20"/>
  <c r="W242" i="20"/>
  <c r="W243" i="20" s="1"/>
  <c r="X242" i="20"/>
  <c r="C243" i="20"/>
  <c r="D243" i="20"/>
  <c r="E243" i="20"/>
  <c r="F243" i="20"/>
  <c r="G243" i="20"/>
  <c r="H243" i="20"/>
  <c r="I243" i="20"/>
  <c r="J243" i="20"/>
  <c r="K243" i="20"/>
  <c r="L243" i="20"/>
  <c r="M243" i="20"/>
  <c r="N243" i="20"/>
  <c r="U243" i="20"/>
  <c r="V243" i="20"/>
  <c r="X243" i="20"/>
  <c r="O245" i="20"/>
  <c r="U245" i="20"/>
  <c r="V245" i="20"/>
  <c r="W245" i="20"/>
  <c r="X245" i="20"/>
  <c r="O246" i="20"/>
  <c r="U246" i="20"/>
  <c r="Y246" i="20" s="1"/>
  <c r="V246" i="20"/>
  <c r="W246" i="20"/>
  <c r="X246" i="20"/>
  <c r="O247" i="20"/>
  <c r="U247" i="20"/>
  <c r="V247" i="20"/>
  <c r="Y247" i="20" s="1"/>
  <c r="W247" i="20"/>
  <c r="X247" i="20"/>
  <c r="X254" i="20" s="1"/>
  <c r="O248" i="20"/>
  <c r="U248" i="20"/>
  <c r="V248" i="20"/>
  <c r="W248" i="20"/>
  <c r="X248" i="20"/>
  <c r="Y248" i="20"/>
  <c r="O249" i="20"/>
  <c r="U249" i="20"/>
  <c r="V249" i="20"/>
  <c r="W249" i="20"/>
  <c r="X249" i="20"/>
  <c r="O250" i="20"/>
  <c r="U250" i="20"/>
  <c r="V250" i="20"/>
  <c r="W250" i="20"/>
  <c r="X250" i="20"/>
  <c r="O251" i="20"/>
  <c r="U251" i="20"/>
  <c r="V251" i="20"/>
  <c r="W251" i="20"/>
  <c r="X251" i="20"/>
  <c r="Y251" i="20"/>
  <c r="O252" i="20"/>
  <c r="U252" i="20"/>
  <c r="V252" i="20"/>
  <c r="W252" i="20"/>
  <c r="X252" i="20"/>
  <c r="Y252" i="20" s="1"/>
  <c r="O253" i="20"/>
  <c r="U253" i="20"/>
  <c r="Y253" i="20" s="1"/>
  <c r="V253" i="20"/>
  <c r="W253" i="20"/>
  <c r="X253" i="20"/>
  <c r="C254" i="20"/>
  <c r="D254" i="20"/>
  <c r="E254" i="20"/>
  <c r="F254" i="20"/>
  <c r="G254" i="20"/>
  <c r="H254" i="20"/>
  <c r="I254" i="20"/>
  <c r="J254" i="20"/>
  <c r="K254" i="20"/>
  <c r="L254" i="20"/>
  <c r="M254" i="20"/>
  <c r="N254" i="20"/>
  <c r="J255" i="20"/>
  <c r="J256" i="20" s="1"/>
  <c r="C258" i="20"/>
  <c r="D258" i="20"/>
  <c r="E258" i="20"/>
  <c r="E263" i="20" s="1"/>
  <c r="F258" i="20"/>
  <c r="G258" i="20"/>
  <c r="G263" i="20" s="1"/>
  <c r="H258" i="20"/>
  <c r="H263" i="20" s="1"/>
  <c r="I258" i="20"/>
  <c r="J258" i="20"/>
  <c r="J263" i="20" s="1"/>
  <c r="K258" i="20"/>
  <c r="L258" i="20"/>
  <c r="M258" i="20"/>
  <c r="N258" i="20"/>
  <c r="N263" i="20" s="1"/>
  <c r="U258" i="20"/>
  <c r="W258" i="20"/>
  <c r="W263" i="20" s="1"/>
  <c r="O259" i="20"/>
  <c r="U259" i="20"/>
  <c r="V259" i="20"/>
  <c r="W259" i="20"/>
  <c r="X259" i="20"/>
  <c r="Y259" i="20"/>
  <c r="O260" i="20"/>
  <c r="U260" i="20"/>
  <c r="V260" i="20"/>
  <c r="W260" i="20"/>
  <c r="X260" i="20"/>
  <c r="Y260" i="20" s="1"/>
  <c r="O261" i="20"/>
  <c r="U261" i="20"/>
  <c r="Y261" i="20" s="1"/>
  <c r="V261" i="20"/>
  <c r="W261" i="20"/>
  <c r="X261" i="20"/>
  <c r="O262" i="20"/>
  <c r="U262" i="20"/>
  <c r="V262" i="20"/>
  <c r="W262" i="20"/>
  <c r="X262" i="20"/>
  <c r="C263" i="20"/>
  <c r="D263" i="20"/>
  <c r="I263" i="20"/>
  <c r="K263" i="20"/>
  <c r="L263" i="20"/>
  <c r="M263" i="20"/>
  <c r="O265" i="20"/>
  <c r="U265" i="20"/>
  <c r="V265" i="20"/>
  <c r="W265" i="20"/>
  <c r="X265" i="20"/>
  <c r="O266" i="20"/>
  <c r="U266" i="20"/>
  <c r="V266" i="20"/>
  <c r="W266" i="20"/>
  <c r="Y266" i="20" s="1"/>
  <c r="X266" i="20"/>
  <c r="O271" i="20"/>
  <c r="U271" i="20"/>
  <c r="V271" i="20"/>
  <c r="W271" i="20"/>
  <c r="X271" i="20"/>
  <c r="O273" i="20"/>
  <c r="U273" i="20"/>
  <c r="V273" i="20"/>
  <c r="W273" i="20"/>
  <c r="X273" i="20"/>
  <c r="Y273" i="20"/>
  <c r="O274" i="20"/>
  <c r="U274" i="20"/>
  <c r="V274" i="20"/>
  <c r="W274" i="20"/>
  <c r="X274" i="20"/>
  <c r="Y274" i="20"/>
  <c r="O275" i="20"/>
  <c r="U275" i="20"/>
  <c r="Y275" i="20" s="1"/>
  <c r="V275" i="20"/>
  <c r="W275" i="20"/>
  <c r="X275" i="20"/>
  <c r="O276" i="20"/>
  <c r="U276" i="20"/>
  <c r="V276" i="20"/>
  <c r="W276" i="20"/>
  <c r="X276" i="20"/>
  <c r="O277" i="20"/>
  <c r="U277" i="20"/>
  <c r="V277" i="20"/>
  <c r="W277" i="20"/>
  <c r="Y277" i="20" s="1"/>
  <c r="X277" i="20"/>
  <c r="O278" i="20"/>
  <c r="U278" i="20"/>
  <c r="V278" i="20"/>
  <c r="W278" i="20"/>
  <c r="X278" i="20"/>
  <c r="Y278" i="20"/>
  <c r="O279" i="20"/>
  <c r="U279" i="20"/>
  <c r="V279" i="20"/>
  <c r="W279" i="20"/>
  <c r="X279" i="20"/>
  <c r="O281" i="20"/>
  <c r="U281" i="20"/>
  <c r="Y281" i="20" s="1"/>
  <c r="V281" i="20"/>
  <c r="W281" i="20"/>
  <c r="X281" i="20"/>
  <c r="O282" i="20"/>
  <c r="U282" i="20"/>
  <c r="V282" i="20"/>
  <c r="W282" i="20"/>
  <c r="X282" i="20"/>
  <c r="O283" i="20"/>
  <c r="U283" i="20"/>
  <c r="V283" i="20"/>
  <c r="W283" i="20"/>
  <c r="X283" i="20"/>
  <c r="Y283" i="20"/>
  <c r="O284" i="20"/>
  <c r="U284" i="20"/>
  <c r="Y284" i="20" s="1"/>
  <c r="V284" i="20"/>
  <c r="W284" i="20"/>
  <c r="X284" i="20"/>
  <c r="C285" i="20"/>
  <c r="D285" i="20"/>
  <c r="E285" i="20"/>
  <c r="F285" i="20"/>
  <c r="V285" i="20" s="1"/>
  <c r="G285" i="20"/>
  <c r="H285" i="20"/>
  <c r="I285" i="20"/>
  <c r="J285" i="20"/>
  <c r="K285" i="20"/>
  <c r="W285" i="20" s="1"/>
  <c r="L285" i="20"/>
  <c r="M285" i="20"/>
  <c r="X285" i="20" s="1"/>
  <c r="N285" i="20"/>
  <c r="C291" i="20"/>
  <c r="D291" i="20"/>
  <c r="E291" i="20"/>
  <c r="F291" i="20"/>
  <c r="G291" i="20"/>
  <c r="H291" i="20"/>
  <c r="I291" i="20"/>
  <c r="J291" i="20"/>
  <c r="K291" i="20"/>
  <c r="W291" i="20" s="1"/>
  <c r="L291" i="20"/>
  <c r="X291" i="20" s="1"/>
  <c r="M291" i="20"/>
  <c r="N291" i="20"/>
  <c r="O294" i="20"/>
  <c r="U294" i="20"/>
  <c r="V294" i="20"/>
  <c r="W294" i="20"/>
  <c r="X294" i="20"/>
  <c r="Y294" i="20"/>
  <c r="O296" i="20"/>
  <c r="U296" i="20"/>
  <c r="V296" i="20"/>
  <c r="W296" i="20"/>
  <c r="X296" i="20"/>
  <c r="O299" i="20"/>
  <c r="U299" i="20"/>
  <c r="V299" i="20"/>
  <c r="W299" i="20"/>
  <c r="X299" i="20"/>
  <c r="O300" i="20"/>
  <c r="U300" i="20"/>
  <c r="V300" i="20"/>
  <c r="W300" i="20"/>
  <c r="Y300" i="20" s="1"/>
  <c r="X300" i="20"/>
  <c r="O301" i="20"/>
  <c r="U301" i="20"/>
  <c r="V301" i="20"/>
  <c r="W301" i="20"/>
  <c r="X301" i="20"/>
  <c r="O302" i="20"/>
  <c r="U302" i="20"/>
  <c r="V302" i="20"/>
  <c r="W302" i="20"/>
  <c r="X302" i="20"/>
  <c r="O303" i="20"/>
  <c r="U303" i="20"/>
  <c r="V303" i="20"/>
  <c r="W303" i="20"/>
  <c r="X303" i="20"/>
  <c r="Y303" i="20"/>
  <c r="O304" i="20"/>
  <c r="U304" i="20"/>
  <c r="V304" i="20"/>
  <c r="W304" i="20"/>
  <c r="X304" i="20"/>
  <c r="Y304" i="20"/>
  <c r="O305" i="20"/>
  <c r="U305" i="20"/>
  <c r="Y305" i="20" s="1"/>
  <c r="V305" i="20"/>
  <c r="W305" i="20"/>
  <c r="X305" i="20"/>
  <c r="C306" i="20"/>
  <c r="D306" i="20"/>
  <c r="E306" i="20"/>
  <c r="F306" i="20"/>
  <c r="G306" i="20"/>
  <c r="G309" i="20" s="1"/>
  <c r="H306" i="20"/>
  <c r="I306" i="20"/>
  <c r="J306" i="20"/>
  <c r="J309" i="20" s="1"/>
  <c r="K306" i="20"/>
  <c r="K309" i="20" s="1"/>
  <c r="L306" i="20"/>
  <c r="M306" i="20"/>
  <c r="N306" i="20"/>
  <c r="N309" i="20" s="1"/>
  <c r="N315" i="20" s="1"/>
  <c r="N317" i="20" s="1"/>
  <c r="W306" i="20"/>
  <c r="O307" i="20"/>
  <c r="U307" i="20"/>
  <c r="Y307" i="20" s="1"/>
  <c r="V307" i="20"/>
  <c r="W307" i="20"/>
  <c r="X307" i="20"/>
  <c r="O308" i="20"/>
  <c r="U308" i="20"/>
  <c r="V308" i="20"/>
  <c r="W308" i="20"/>
  <c r="X308" i="20"/>
  <c r="E309" i="20"/>
  <c r="H309" i="20"/>
  <c r="H315" i="20" s="1"/>
  <c r="I309" i="20"/>
  <c r="I315" i="20" s="1"/>
  <c r="M309" i="20"/>
  <c r="C311" i="20"/>
  <c r="D311" i="20"/>
  <c r="E311" i="20"/>
  <c r="E255" i="20" s="1"/>
  <c r="F311" i="20"/>
  <c r="G311" i="20"/>
  <c r="G255" i="20" s="1"/>
  <c r="G256" i="20" s="1"/>
  <c r="H311" i="20"/>
  <c r="H255" i="20" s="1"/>
  <c r="H256" i="20" s="1"/>
  <c r="I311" i="20"/>
  <c r="J311" i="20"/>
  <c r="K311" i="20"/>
  <c r="K255" i="20" s="1"/>
  <c r="L311" i="20"/>
  <c r="M311" i="20"/>
  <c r="M255" i="20" s="1"/>
  <c r="N311" i="20"/>
  <c r="W311" i="20"/>
  <c r="O313" i="20"/>
  <c r="U313" i="20"/>
  <c r="Y313" i="20" s="1"/>
  <c r="V313" i="20"/>
  <c r="W313" i="20"/>
  <c r="X313" i="20"/>
  <c r="J315" i="20"/>
  <c r="K315" i="20"/>
  <c r="K317" i="20" s="1"/>
  <c r="M315" i="20"/>
  <c r="H317" i="20"/>
  <c r="I317" i="20"/>
  <c r="J317" i="20"/>
  <c r="M317" i="20"/>
  <c r="O321" i="20"/>
  <c r="U321" i="20"/>
  <c r="V321" i="20"/>
  <c r="W321" i="20"/>
  <c r="Y321" i="20" s="1"/>
  <c r="X321" i="20"/>
  <c r="X324" i="20" s="1"/>
  <c r="X330" i="20" s="1"/>
  <c r="O322" i="20"/>
  <c r="O324" i="20" s="1"/>
  <c r="U322" i="20"/>
  <c r="V322" i="20"/>
  <c r="W322" i="20"/>
  <c r="X322" i="20"/>
  <c r="O323" i="20"/>
  <c r="U323" i="20"/>
  <c r="V323" i="20"/>
  <c r="W323" i="20"/>
  <c r="X323" i="20"/>
  <c r="C324" i="20"/>
  <c r="D324" i="20"/>
  <c r="D330" i="20" s="1"/>
  <c r="E324" i="20"/>
  <c r="E330" i="20" s="1"/>
  <c r="F324" i="20"/>
  <c r="G324" i="20"/>
  <c r="H324" i="20"/>
  <c r="I324" i="20"/>
  <c r="I330" i="20" s="1"/>
  <c r="J324" i="20"/>
  <c r="K324" i="20"/>
  <c r="L324" i="20"/>
  <c r="L330" i="20" s="1"/>
  <c r="M324" i="20"/>
  <c r="M330" i="20" s="1"/>
  <c r="N324" i="20"/>
  <c r="V324" i="20"/>
  <c r="V330" i="20" s="1"/>
  <c r="O326" i="20"/>
  <c r="U326" i="20"/>
  <c r="Y326" i="20" s="1"/>
  <c r="V326" i="20"/>
  <c r="W326" i="20"/>
  <c r="X326" i="20"/>
  <c r="O328" i="20"/>
  <c r="U328" i="20"/>
  <c r="V328" i="20"/>
  <c r="W328" i="20"/>
  <c r="X328" i="20"/>
  <c r="C330" i="20"/>
  <c r="F330" i="20"/>
  <c r="G330" i="20"/>
  <c r="H330" i="20"/>
  <c r="J330" i="20"/>
  <c r="K330" i="20"/>
  <c r="N330" i="20"/>
  <c r="O335" i="20"/>
  <c r="U335" i="20"/>
  <c r="V335" i="20"/>
  <c r="W335" i="20"/>
  <c r="W338" i="20" s="1"/>
  <c r="W344" i="20" s="1"/>
  <c r="X335" i="20"/>
  <c r="O336" i="20"/>
  <c r="O338" i="20" s="1"/>
  <c r="O344" i="20" s="1"/>
  <c r="U336" i="20"/>
  <c r="V336" i="20"/>
  <c r="W336" i="20"/>
  <c r="Y336" i="20" s="1"/>
  <c r="X336" i="20"/>
  <c r="O337" i="20"/>
  <c r="U337" i="20"/>
  <c r="V337" i="20"/>
  <c r="W337" i="20"/>
  <c r="X337" i="20"/>
  <c r="Y337" i="20"/>
  <c r="C338" i="20"/>
  <c r="C344" i="20" s="1"/>
  <c r="D338" i="20"/>
  <c r="E338" i="20"/>
  <c r="F338" i="20"/>
  <c r="F344" i="20" s="1"/>
  <c r="G338" i="20"/>
  <c r="H338" i="20"/>
  <c r="I338" i="20"/>
  <c r="J338" i="20"/>
  <c r="J344" i="20" s="1"/>
  <c r="K338" i="20"/>
  <c r="K344" i="20" s="1"/>
  <c r="L338" i="20"/>
  <c r="M338" i="20"/>
  <c r="N338" i="20"/>
  <c r="X338" i="20"/>
  <c r="X344" i="20" s="1"/>
  <c r="O340" i="20"/>
  <c r="U340" i="20"/>
  <c r="Y340" i="20" s="1"/>
  <c r="V340" i="20"/>
  <c r="W340" i="20"/>
  <c r="X340" i="20"/>
  <c r="O342" i="20"/>
  <c r="U342" i="20"/>
  <c r="Y342" i="20" s="1"/>
  <c r="V342" i="20"/>
  <c r="W342" i="20"/>
  <c r="X342" i="20"/>
  <c r="D344" i="20"/>
  <c r="E344" i="20"/>
  <c r="G344" i="20"/>
  <c r="H344" i="20"/>
  <c r="I344" i="20"/>
  <c r="L344" i="20"/>
  <c r="M344" i="20"/>
  <c r="N344" i="20"/>
  <c r="O348" i="20"/>
  <c r="U348" i="20"/>
  <c r="V348" i="20"/>
  <c r="V355" i="20" s="1"/>
  <c r="W348" i="20"/>
  <c r="Y348" i="20" s="1"/>
  <c r="X348" i="20"/>
  <c r="O349" i="20"/>
  <c r="U349" i="20"/>
  <c r="V349" i="20"/>
  <c r="W349" i="20"/>
  <c r="X349" i="20"/>
  <c r="Y349" i="20"/>
  <c r="O350" i="20"/>
  <c r="U350" i="20"/>
  <c r="Y350" i="20" s="1"/>
  <c r="V350" i="20"/>
  <c r="W350" i="20"/>
  <c r="X350" i="20"/>
  <c r="O351" i="20"/>
  <c r="U351" i="20"/>
  <c r="U355" i="20" s="1"/>
  <c r="U361" i="20" s="1"/>
  <c r="V351" i="20"/>
  <c r="W351" i="20"/>
  <c r="X351" i="20"/>
  <c r="X355" i="20" s="1"/>
  <c r="Y351" i="20"/>
  <c r="O352" i="20"/>
  <c r="U352" i="20"/>
  <c r="V352" i="20"/>
  <c r="W352" i="20"/>
  <c r="Y352" i="20" s="1"/>
  <c r="X352" i="20"/>
  <c r="O353" i="20"/>
  <c r="U353" i="20"/>
  <c r="Y353" i="20" s="1"/>
  <c r="V353" i="20"/>
  <c r="W353" i="20"/>
  <c r="X353" i="20"/>
  <c r="O354" i="20"/>
  <c r="U354" i="20"/>
  <c r="V354" i="20"/>
  <c r="W354" i="20"/>
  <c r="X354" i="20"/>
  <c r="C355" i="20"/>
  <c r="C361" i="20" s="1"/>
  <c r="D355" i="20"/>
  <c r="D361" i="20" s="1"/>
  <c r="E355" i="20"/>
  <c r="F355" i="20"/>
  <c r="G355" i="20"/>
  <c r="G361" i="20" s="1"/>
  <c r="H355" i="20"/>
  <c r="I355" i="20"/>
  <c r="J355" i="20"/>
  <c r="K355" i="20"/>
  <c r="K361" i="20" s="1"/>
  <c r="L355" i="20"/>
  <c r="L361" i="20" s="1"/>
  <c r="M355" i="20"/>
  <c r="N355" i="20"/>
  <c r="O355" i="20"/>
  <c r="O361" i="20" s="1"/>
  <c r="O357" i="20"/>
  <c r="U357" i="20"/>
  <c r="Y357" i="20" s="1"/>
  <c r="V357" i="20"/>
  <c r="V361" i="20" s="1"/>
  <c r="W357" i="20"/>
  <c r="X357" i="20"/>
  <c r="O359" i="20"/>
  <c r="U359" i="20"/>
  <c r="V359" i="20"/>
  <c r="W359" i="20"/>
  <c r="X359" i="20"/>
  <c r="Y359" i="20" s="1"/>
  <c r="E361" i="20"/>
  <c r="F361" i="20"/>
  <c r="H361" i="20"/>
  <c r="I361" i="20"/>
  <c r="J361" i="20"/>
  <c r="M361" i="20"/>
  <c r="N361" i="20"/>
  <c r="O366" i="20"/>
  <c r="U366" i="20"/>
  <c r="Y366" i="20" s="1"/>
  <c r="V366" i="20"/>
  <c r="W366" i="20"/>
  <c r="X366" i="20"/>
  <c r="O367" i="20"/>
  <c r="U367" i="20"/>
  <c r="V367" i="20"/>
  <c r="W367" i="20"/>
  <c r="X367" i="20"/>
  <c r="Y367" i="20" s="1"/>
  <c r="O368" i="20"/>
  <c r="U368" i="20"/>
  <c r="V368" i="20"/>
  <c r="Y368" i="20" s="1"/>
  <c r="W368" i="20"/>
  <c r="X368" i="20"/>
  <c r="O369" i="20"/>
  <c r="U369" i="20"/>
  <c r="Y369" i="20" s="1"/>
  <c r="V369" i="20"/>
  <c r="W369" i="20"/>
  <c r="X369" i="20"/>
  <c r="O370" i="20"/>
  <c r="U370" i="20"/>
  <c r="V370" i="20"/>
  <c r="W370" i="20"/>
  <c r="X370" i="20"/>
  <c r="O371" i="20"/>
  <c r="U371" i="20"/>
  <c r="V371" i="20"/>
  <c r="W371" i="20"/>
  <c r="X371" i="20"/>
  <c r="Y371" i="20"/>
  <c r="O372" i="20"/>
  <c r="U372" i="20"/>
  <c r="V372" i="20"/>
  <c r="W372" i="20"/>
  <c r="X372" i="20"/>
  <c r="Y372" i="20"/>
  <c r="C383" i="20"/>
  <c r="D383" i="20"/>
  <c r="E383" i="20"/>
  <c r="F383" i="20"/>
  <c r="G383" i="20"/>
  <c r="H383" i="20"/>
  <c r="I383" i="20"/>
  <c r="J383" i="20"/>
  <c r="W383" i="20" s="1"/>
  <c r="K383" i="20"/>
  <c r="L383" i="20"/>
  <c r="M383" i="20"/>
  <c r="N383" i="20"/>
  <c r="U383" i="20"/>
  <c r="X383" i="20"/>
  <c r="C385" i="20"/>
  <c r="D385" i="20"/>
  <c r="E385" i="20"/>
  <c r="F385" i="20"/>
  <c r="G385" i="20"/>
  <c r="H385" i="20"/>
  <c r="I385" i="20"/>
  <c r="J385" i="20"/>
  <c r="K385" i="20"/>
  <c r="W385" i="20" s="1"/>
  <c r="L385" i="20"/>
  <c r="M385" i="20"/>
  <c r="N385" i="20"/>
  <c r="O385" i="20"/>
  <c r="U385" i="20"/>
  <c r="X385" i="20"/>
  <c r="C386" i="20"/>
  <c r="D386" i="20"/>
  <c r="E386" i="20"/>
  <c r="U386" i="20" s="1"/>
  <c r="F386" i="20"/>
  <c r="G386" i="20"/>
  <c r="H386" i="20"/>
  <c r="I386" i="20"/>
  <c r="J386" i="20"/>
  <c r="L386" i="20"/>
  <c r="M386" i="20"/>
  <c r="N386" i="20"/>
  <c r="V386" i="20"/>
  <c r="C387" i="20"/>
  <c r="D387" i="20"/>
  <c r="E387" i="20"/>
  <c r="U387" i="20" s="1"/>
  <c r="F387" i="20"/>
  <c r="G387" i="20"/>
  <c r="H387" i="20"/>
  <c r="I387" i="20"/>
  <c r="J387" i="20"/>
  <c r="K387" i="20"/>
  <c r="L387" i="20"/>
  <c r="M387" i="20"/>
  <c r="X387" i="20" s="1"/>
  <c r="N387" i="20"/>
  <c r="O387" i="20"/>
  <c r="W387" i="20"/>
  <c r="C390" i="20"/>
  <c r="D390" i="20"/>
  <c r="E390" i="20"/>
  <c r="F390" i="20"/>
  <c r="V390" i="20" s="1"/>
  <c r="G390" i="20"/>
  <c r="H390" i="20"/>
  <c r="I390" i="20"/>
  <c r="W390" i="20" s="1"/>
  <c r="J390" i="20"/>
  <c r="K390" i="20"/>
  <c r="L390" i="20"/>
  <c r="M390" i="20"/>
  <c r="N390" i="20"/>
  <c r="F392" i="20"/>
  <c r="V392" i="20" s="1"/>
  <c r="G392" i="20"/>
  <c r="H392" i="20"/>
  <c r="I392" i="20"/>
  <c r="J392" i="20"/>
  <c r="K392" i="20"/>
  <c r="L392" i="20"/>
  <c r="M392" i="20"/>
  <c r="N392" i="20"/>
  <c r="W392" i="20"/>
  <c r="C393" i="20"/>
  <c r="D393" i="20"/>
  <c r="E393" i="20"/>
  <c r="F393" i="20"/>
  <c r="V393" i="20" s="1"/>
  <c r="G393" i="20"/>
  <c r="H393" i="20"/>
  <c r="I393" i="20"/>
  <c r="J393" i="20"/>
  <c r="W393" i="20" s="1"/>
  <c r="K393" i="20"/>
  <c r="L393" i="20"/>
  <c r="X393" i="20" s="1"/>
  <c r="M393" i="20"/>
  <c r="N393" i="20"/>
  <c r="C394" i="20"/>
  <c r="D394" i="20"/>
  <c r="E394" i="20"/>
  <c r="F394" i="20"/>
  <c r="V394" i="20" s="1"/>
  <c r="G394" i="20"/>
  <c r="H394" i="20"/>
  <c r="I394" i="20"/>
  <c r="J394" i="20"/>
  <c r="K394" i="20"/>
  <c r="L394" i="20"/>
  <c r="X394" i="20" s="1"/>
  <c r="M394" i="20"/>
  <c r="N394" i="20"/>
  <c r="W394" i="20"/>
  <c r="C395" i="20"/>
  <c r="D395" i="20"/>
  <c r="E395" i="20"/>
  <c r="F395" i="20"/>
  <c r="G395" i="20"/>
  <c r="H395" i="20"/>
  <c r="I395" i="20"/>
  <c r="J395" i="20"/>
  <c r="K395" i="20"/>
  <c r="L395" i="20"/>
  <c r="M395" i="20"/>
  <c r="N395" i="20"/>
  <c r="U395" i="20"/>
  <c r="W395" i="20"/>
  <c r="X395" i="20"/>
  <c r="O407" i="20"/>
  <c r="U407" i="20"/>
  <c r="V407" i="20"/>
  <c r="W407" i="20"/>
  <c r="X407" i="20"/>
  <c r="Y407" i="20"/>
  <c r="C418" i="20"/>
  <c r="D418" i="20"/>
  <c r="E418" i="20"/>
  <c r="F418" i="20"/>
  <c r="V418" i="20" s="1"/>
  <c r="G418" i="20"/>
  <c r="G431" i="20" s="1"/>
  <c r="H418" i="20"/>
  <c r="I418" i="20"/>
  <c r="J418" i="20"/>
  <c r="K418" i="20"/>
  <c r="L418" i="20"/>
  <c r="M418" i="20"/>
  <c r="N418" i="20"/>
  <c r="U418" i="20"/>
  <c r="X418" i="20"/>
  <c r="C419" i="20"/>
  <c r="D419" i="20"/>
  <c r="E419" i="20"/>
  <c r="F419" i="20"/>
  <c r="G419" i="20"/>
  <c r="H419" i="20"/>
  <c r="I419" i="20"/>
  <c r="W419" i="20" s="1"/>
  <c r="J419" i="20"/>
  <c r="K419" i="20"/>
  <c r="L419" i="20"/>
  <c r="M419" i="20"/>
  <c r="N419" i="20"/>
  <c r="U419" i="20"/>
  <c r="V419" i="20"/>
  <c r="C420" i="20"/>
  <c r="D420" i="20"/>
  <c r="U420" i="20" s="1"/>
  <c r="E420" i="20"/>
  <c r="F420" i="20"/>
  <c r="G420" i="20"/>
  <c r="H420" i="20"/>
  <c r="I420" i="20"/>
  <c r="W420" i="20" s="1"/>
  <c r="J420" i="20"/>
  <c r="K420" i="20"/>
  <c r="L420" i="20"/>
  <c r="X420" i="20" s="1"/>
  <c r="M420" i="20"/>
  <c r="N420" i="20"/>
  <c r="O420" i="20"/>
  <c r="C421" i="20"/>
  <c r="D421" i="20"/>
  <c r="E421" i="20"/>
  <c r="F421" i="20"/>
  <c r="V421" i="20" s="1"/>
  <c r="G421" i="20"/>
  <c r="H421" i="20"/>
  <c r="I421" i="20"/>
  <c r="J421" i="20"/>
  <c r="K421" i="20"/>
  <c r="L421" i="20"/>
  <c r="M421" i="20"/>
  <c r="N421" i="20"/>
  <c r="C422" i="20"/>
  <c r="D422" i="20"/>
  <c r="E422" i="20"/>
  <c r="F422" i="20"/>
  <c r="V422" i="20" s="1"/>
  <c r="G422" i="20"/>
  <c r="H422" i="20"/>
  <c r="J422" i="20"/>
  <c r="K422" i="20"/>
  <c r="L422" i="20"/>
  <c r="N422" i="20"/>
  <c r="U422" i="20"/>
  <c r="C423" i="20"/>
  <c r="D423" i="20"/>
  <c r="E423" i="20"/>
  <c r="F423" i="20"/>
  <c r="G423" i="20"/>
  <c r="H423" i="20"/>
  <c r="I423" i="20"/>
  <c r="W423" i="20" s="1"/>
  <c r="J423" i="20"/>
  <c r="K423" i="20"/>
  <c r="L423" i="20"/>
  <c r="M423" i="20"/>
  <c r="N423" i="20"/>
  <c r="X423" i="20" s="1"/>
  <c r="U423" i="20"/>
  <c r="V423" i="20"/>
  <c r="F424" i="20"/>
  <c r="G424" i="20"/>
  <c r="H424" i="20"/>
  <c r="I424" i="20"/>
  <c r="K424" i="20"/>
  <c r="L424" i="20"/>
  <c r="C425" i="20"/>
  <c r="D425" i="20"/>
  <c r="E425" i="20"/>
  <c r="F425" i="20"/>
  <c r="V425" i="20" s="1"/>
  <c r="G425" i="20"/>
  <c r="H425" i="20"/>
  <c r="I425" i="20"/>
  <c r="J425" i="20"/>
  <c r="K425" i="20"/>
  <c r="L425" i="20"/>
  <c r="M425" i="20"/>
  <c r="N425" i="20"/>
  <c r="W425" i="20"/>
  <c r="C426" i="20"/>
  <c r="D426" i="20"/>
  <c r="E426" i="20"/>
  <c r="F426" i="20"/>
  <c r="G426" i="20"/>
  <c r="H426" i="20"/>
  <c r="I426" i="20"/>
  <c r="J426" i="20"/>
  <c r="K426" i="20"/>
  <c r="L426" i="20"/>
  <c r="M426" i="20"/>
  <c r="N426" i="20"/>
  <c r="W426" i="20"/>
  <c r="X426" i="20"/>
  <c r="C427" i="20"/>
  <c r="D427" i="20"/>
  <c r="E427" i="20"/>
  <c r="F427" i="20"/>
  <c r="V427" i="20" s="1"/>
  <c r="G427" i="20"/>
  <c r="H427" i="20"/>
  <c r="I427" i="20"/>
  <c r="W427" i="20" s="1"/>
  <c r="J427" i="20"/>
  <c r="K427" i="20"/>
  <c r="L427" i="20"/>
  <c r="M427" i="20"/>
  <c r="N427" i="20"/>
  <c r="X427" i="20" s="1"/>
  <c r="U427" i="20"/>
  <c r="C428" i="20"/>
  <c r="D428" i="20"/>
  <c r="E428" i="20"/>
  <c r="F428" i="20"/>
  <c r="V428" i="20" s="1"/>
  <c r="G428" i="20"/>
  <c r="H428" i="20"/>
  <c r="I428" i="20"/>
  <c r="W428" i="20" s="1"/>
  <c r="J428" i="20"/>
  <c r="K428" i="20"/>
  <c r="L428" i="20"/>
  <c r="X428" i="20" s="1"/>
  <c r="M428" i="20"/>
  <c r="N428" i="20"/>
  <c r="C429" i="20"/>
  <c r="D429" i="20"/>
  <c r="E429" i="20"/>
  <c r="F429" i="20"/>
  <c r="V429" i="20" s="1"/>
  <c r="G429" i="20"/>
  <c r="H429" i="20"/>
  <c r="I429" i="20"/>
  <c r="J429" i="20"/>
  <c r="K429" i="20"/>
  <c r="L429" i="20"/>
  <c r="M429" i="20"/>
  <c r="N429" i="20"/>
  <c r="W429" i="20"/>
  <c r="C430" i="20"/>
  <c r="D430" i="20"/>
  <c r="E430" i="20"/>
  <c r="F430" i="20"/>
  <c r="G430" i="20"/>
  <c r="H430" i="20"/>
  <c r="I430" i="20"/>
  <c r="J430" i="20"/>
  <c r="K430" i="20"/>
  <c r="L430" i="20"/>
  <c r="M430" i="20"/>
  <c r="N430" i="20"/>
  <c r="U430" i="20"/>
  <c r="W430" i="20"/>
  <c r="X430" i="20"/>
  <c r="C434" i="20"/>
  <c r="D434" i="20"/>
  <c r="E434" i="20"/>
  <c r="F434" i="20"/>
  <c r="G434" i="20"/>
  <c r="G438" i="20" s="1"/>
  <c r="H434" i="20"/>
  <c r="I434" i="20"/>
  <c r="W434" i="20" s="1"/>
  <c r="J434" i="20"/>
  <c r="K434" i="20"/>
  <c r="L434" i="20"/>
  <c r="X434" i="20" s="1"/>
  <c r="M434" i="20"/>
  <c r="N434" i="20"/>
  <c r="O434" i="20"/>
  <c r="U434" i="20"/>
  <c r="C435" i="20"/>
  <c r="D435" i="20"/>
  <c r="E435" i="20"/>
  <c r="E438" i="20" s="1"/>
  <c r="F435" i="20"/>
  <c r="V435" i="20" s="1"/>
  <c r="G435" i="20"/>
  <c r="H435" i="20"/>
  <c r="I435" i="20"/>
  <c r="J435" i="20"/>
  <c r="K435" i="20"/>
  <c r="L435" i="20"/>
  <c r="M435" i="20"/>
  <c r="M438" i="20" s="1"/>
  <c r="N435" i="20"/>
  <c r="C436" i="20"/>
  <c r="D436" i="20"/>
  <c r="D438" i="20" s="1"/>
  <c r="E436" i="20"/>
  <c r="F436" i="20"/>
  <c r="V436" i="20" s="1"/>
  <c r="G436" i="20"/>
  <c r="H436" i="20"/>
  <c r="I436" i="20"/>
  <c r="J436" i="20"/>
  <c r="W436" i="20" s="1"/>
  <c r="K436" i="20"/>
  <c r="K438" i="20" s="1"/>
  <c r="L436" i="20"/>
  <c r="X436" i="20" s="1"/>
  <c r="M436" i="20"/>
  <c r="N436" i="20"/>
  <c r="C437" i="20"/>
  <c r="O437" i="20" s="1"/>
  <c r="D437" i="20"/>
  <c r="E437" i="20"/>
  <c r="F437" i="20"/>
  <c r="V437" i="20" s="1"/>
  <c r="G437" i="20"/>
  <c r="H437" i="20"/>
  <c r="I437" i="20"/>
  <c r="I438" i="20" s="1"/>
  <c r="J437" i="20"/>
  <c r="W437" i="20" s="1"/>
  <c r="K437" i="20"/>
  <c r="L437" i="20"/>
  <c r="M437" i="20"/>
  <c r="N437" i="20"/>
  <c r="X437" i="20" s="1"/>
  <c r="U437" i="20"/>
  <c r="F438" i="20"/>
  <c r="H438" i="20"/>
  <c r="N438" i="20"/>
  <c r="C441" i="20"/>
  <c r="D441" i="20"/>
  <c r="E441" i="20"/>
  <c r="F441" i="20"/>
  <c r="V441" i="20" s="1"/>
  <c r="G441" i="20"/>
  <c r="H441" i="20"/>
  <c r="I441" i="20"/>
  <c r="J441" i="20"/>
  <c r="W441" i="20" s="1"/>
  <c r="W445" i="20" s="1"/>
  <c r="K441" i="20"/>
  <c r="L441" i="20"/>
  <c r="X441" i="20" s="1"/>
  <c r="M441" i="20"/>
  <c r="N441" i="20"/>
  <c r="C442" i="20"/>
  <c r="D442" i="20"/>
  <c r="E442" i="20"/>
  <c r="F442" i="20"/>
  <c r="V442" i="20" s="1"/>
  <c r="G442" i="20"/>
  <c r="H442" i="20"/>
  <c r="I442" i="20"/>
  <c r="J442" i="20"/>
  <c r="K442" i="20"/>
  <c r="K445" i="20" s="1"/>
  <c r="L442" i="20"/>
  <c r="M442" i="20"/>
  <c r="N442" i="20"/>
  <c r="W442" i="20"/>
  <c r="C443" i="20"/>
  <c r="D443" i="20"/>
  <c r="E443" i="20"/>
  <c r="F443" i="20"/>
  <c r="G443" i="20"/>
  <c r="H443" i="20"/>
  <c r="I443" i="20"/>
  <c r="I445" i="20" s="1"/>
  <c r="J443" i="20"/>
  <c r="K443" i="20"/>
  <c r="L443" i="20"/>
  <c r="M443" i="20"/>
  <c r="N443" i="20"/>
  <c r="U443" i="20"/>
  <c r="W443" i="20"/>
  <c r="C444" i="20"/>
  <c r="D444" i="20"/>
  <c r="E444" i="20"/>
  <c r="F444" i="20"/>
  <c r="G444" i="20"/>
  <c r="G445" i="20" s="1"/>
  <c r="H444" i="20"/>
  <c r="I444" i="20"/>
  <c r="W444" i="20" s="1"/>
  <c r="J444" i="20"/>
  <c r="K444" i="20"/>
  <c r="L444" i="20"/>
  <c r="M444" i="20"/>
  <c r="N444" i="20"/>
  <c r="U444" i="20"/>
  <c r="J445" i="20"/>
  <c r="L445" i="20"/>
  <c r="M445" i="20"/>
  <c r="C448" i="20"/>
  <c r="D448" i="20"/>
  <c r="E448" i="20"/>
  <c r="G448" i="20"/>
  <c r="H448" i="20"/>
  <c r="I448" i="20"/>
  <c r="J448" i="20"/>
  <c r="K448" i="20"/>
  <c r="L448" i="20"/>
  <c r="M448" i="20"/>
  <c r="U448" i="20"/>
  <c r="W448" i="20"/>
  <c r="C449" i="20"/>
  <c r="D449" i="20"/>
  <c r="E449" i="20"/>
  <c r="F449" i="20"/>
  <c r="G449" i="20"/>
  <c r="H449" i="20"/>
  <c r="I449" i="20"/>
  <c r="J449" i="20"/>
  <c r="K449" i="20"/>
  <c r="L449" i="20"/>
  <c r="M449" i="20"/>
  <c r="N449" i="20"/>
  <c r="X449" i="20" s="1"/>
  <c r="U449" i="20"/>
  <c r="V449" i="20"/>
  <c r="W449" i="20"/>
  <c r="G450" i="20"/>
  <c r="H450" i="20"/>
  <c r="J450" i="20"/>
  <c r="C451" i="20"/>
  <c r="D451" i="20"/>
  <c r="E451" i="20"/>
  <c r="F451" i="20"/>
  <c r="G451" i="20"/>
  <c r="H451" i="20"/>
  <c r="I451" i="20"/>
  <c r="J451" i="20"/>
  <c r="K451" i="20"/>
  <c r="L451" i="20"/>
  <c r="M451" i="20"/>
  <c r="N451" i="20"/>
  <c r="O451" i="20"/>
  <c r="W451" i="20"/>
  <c r="C452" i="20"/>
  <c r="D452" i="20"/>
  <c r="E452" i="20"/>
  <c r="F452" i="20"/>
  <c r="V452" i="20" s="1"/>
  <c r="G452" i="20"/>
  <c r="H452" i="20"/>
  <c r="I452" i="20"/>
  <c r="J452" i="20"/>
  <c r="K452" i="20"/>
  <c r="L452" i="20"/>
  <c r="M452" i="20"/>
  <c r="N452" i="20"/>
  <c r="U452" i="20"/>
  <c r="W452" i="20"/>
  <c r="X452" i="20"/>
  <c r="C453" i="20"/>
  <c r="D453" i="20"/>
  <c r="E453" i="20"/>
  <c r="F453" i="20"/>
  <c r="V453" i="20" s="1"/>
  <c r="G453" i="20"/>
  <c r="H453" i="20"/>
  <c r="I453" i="20"/>
  <c r="J453" i="20"/>
  <c r="K453" i="20"/>
  <c r="L453" i="20"/>
  <c r="M453" i="20"/>
  <c r="N453" i="20"/>
  <c r="X453" i="20" s="1"/>
  <c r="U453" i="20"/>
  <c r="W453" i="20"/>
  <c r="C454" i="20"/>
  <c r="D454" i="20"/>
  <c r="E454" i="20"/>
  <c r="F454" i="20"/>
  <c r="G454" i="20"/>
  <c r="H454" i="20"/>
  <c r="I454" i="20"/>
  <c r="W454" i="20" s="1"/>
  <c r="J454" i="20"/>
  <c r="K454" i="20"/>
  <c r="L454" i="20"/>
  <c r="M454" i="20"/>
  <c r="N454" i="20"/>
  <c r="U454" i="20"/>
  <c r="C455" i="20"/>
  <c r="D455" i="20"/>
  <c r="E455" i="20"/>
  <c r="F455" i="20"/>
  <c r="V455" i="20" s="1"/>
  <c r="G455" i="20"/>
  <c r="H455" i="20"/>
  <c r="I455" i="20"/>
  <c r="J455" i="20"/>
  <c r="K455" i="20"/>
  <c r="L455" i="20"/>
  <c r="M455" i="20"/>
  <c r="N455" i="20"/>
  <c r="W455" i="20"/>
  <c r="C460" i="20"/>
  <c r="D460" i="20"/>
  <c r="E460" i="20"/>
  <c r="F460" i="20"/>
  <c r="G460" i="20"/>
  <c r="V460" i="20" s="1"/>
  <c r="H460" i="20"/>
  <c r="H464" i="20" s="1"/>
  <c r="I460" i="20"/>
  <c r="J460" i="20"/>
  <c r="J464" i="20" s="1"/>
  <c r="K460" i="20"/>
  <c r="L460" i="20"/>
  <c r="X460" i="20" s="1"/>
  <c r="M460" i="20"/>
  <c r="N460" i="20"/>
  <c r="O460" i="20"/>
  <c r="U460" i="20"/>
  <c r="G461" i="20"/>
  <c r="H461" i="20"/>
  <c r="I461" i="20"/>
  <c r="W461" i="20" s="1"/>
  <c r="J461" i="20"/>
  <c r="K461" i="20"/>
  <c r="M461" i="20"/>
  <c r="N461" i="20"/>
  <c r="N464" i="20" s="1"/>
  <c r="C462" i="20"/>
  <c r="E462" i="20"/>
  <c r="F462" i="20"/>
  <c r="V462" i="20" s="1"/>
  <c r="G462" i="20"/>
  <c r="H462" i="20"/>
  <c r="I462" i="20"/>
  <c r="J462" i="20"/>
  <c r="W462" i="20" s="1"/>
  <c r="K462" i="20"/>
  <c r="M462" i="20"/>
  <c r="N462" i="20"/>
  <c r="C463" i="20"/>
  <c r="D463" i="20"/>
  <c r="U463" i="20" s="1"/>
  <c r="E463" i="20"/>
  <c r="F463" i="20"/>
  <c r="V463" i="20" s="1"/>
  <c r="G463" i="20"/>
  <c r="H463" i="20"/>
  <c r="I463" i="20"/>
  <c r="J463" i="20"/>
  <c r="K463" i="20"/>
  <c r="L463" i="20"/>
  <c r="M463" i="20"/>
  <c r="N463" i="20"/>
  <c r="W463" i="20"/>
  <c r="K464" i="20"/>
  <c r="C467" i="20"/>
  <c r="D467" i="20"/>
  <c r="E467" i="20"/>
  <c r="F467" i="20"/>
  <c r="G467" i="20"/>
  <c r="G470" i="20" s="1"/>
  <c r="H467" i="20"/>
  <c r="H470" i="20" s="1"/>
  <c r="I467" i="20"/>
  <c r="J467" i="20"/>
  <c r="K467" i="20"/>
  <c r="L467" i="20"/>
  <c r="X467" i="20" s="1"/>
  <c r="M467" i="20"/>
  <c r="N467" i="20"/>
  <c r="N470" i="20" s="1"/>
  <c r="W467" i="20"/>
  <c r="C468" i="20"/>
  <c r="D468" i="20"/>
  <c r="E468" i="20"/>
  <c r="F468" i="20"/>
  <c r="G468" i="20"/>
  <c r="H468" i="20"/>
  <c r="I468" i="20"/>
  <c r="J468" i="20"/>
  <c r="K468" i="20"/>
  <c r="L468" i="20"/>
  <c r="X468" i="20" s="1"/>
  <c r="X470" i="20" s="1"/>
  <c r="M468" i="20"/>
  <c r="N468" i="20"/>
  <c r="C469" i="20"/>
  <c r="D469" i="20"/>
  <c r="E469" i="20"/>
  <c r="F469" i="20"/>
  <c r="V469" i="20" s="1"/>
  <c r="G469" i="20"/>
  <c r="H469" i="20"/>
  <c r="I469" i="20"/>
  <c r="J469" i="20"/>
  <c r="K469" i="20"/>
  <c r="W469" i="20" s="1"/>
  <c r="L469" i="20"/>
  <c r="M469" i="20"/>
  <c r="N469" i="20"/>
  <c r="X469" i="20"/>
  <c r="I470" i="20"/>
  <c r="J470" i="20"/>
  <c r="K470" i="20"/>
  <c r="C473" i="20"/>
  <c r="D473" i="20"/>
  <c r="E473" i="20"/>
  <c r="E476" i="20" s="1"/>
  <c r="F473" i="20"/>
  <c r="G473" i="20"/>
  <c r="H473" i="20"/>
  <c r="H476" i="20" s="1"/>
  <c r="I473" i="20"/>
  <c r="I476" i="20" s="1"/>
  <c r="J473" i="20"/>
  <c r="K473" i="20"/>
  <c r="L473" i="20"/>
  <c r="L476" i="20" s="1"/>
  <c r="M473" i="20"/>
  <c r="M476" i="20" s="1"/>
  <c r="N473" i="20"/>
  <c r="U473" i="20"/>
  <c r="V473" i="20"/>
  <c r="W473" i="20"/>
  <c r="W476" i="20" s="1"/>
  <c r="C474" i="20"/>
  <c r="C476" i="20" s="1"/>
  <c r="D474" i="20"/>
  <c r="D476" i="20" s="1"/>
  <c r="E474" i="20"/>
  <c r="F474" i="20"/>
  <c r="G474" i="20"/>
  <c r="G476" i="20" s="1"/>
  <c r="H474" i="20"/>
  <c r="I474" i="20"/>
  <c r="J474" i="20"/>
  <c r="K474" i="20"/>
  <c r="L474" i="20"/>
  <c r="M474" i="20"/>
  <c r="N474" i="20"/>
  <c r="O474" i="20"/>
  <c r="U474" i="20"/>
  <c r="W474" i="20"/>
  <c r="X474" i="20"/>
  <c r="C475" i="20"/>
  <c r="D475" i="20"/>
  <c r="E475" i="20"/>
  <c r="F475" i="20"/>
  <c r="F476" i="20" s="1"/>
  <c r="G475" i="20"/>
  <c r="H475" i="20"/>
  <c r="I475" i="20"/>
  <c r="J475" i="20"/>
  <c r="K475" i="20"/>
  <c r="L475" i="20"/>
  <c r="M475" i="20"/>
  <c r="N475" i="20"/>
  <c r="U475" i="20"/>
  <c r="W475" i="20"/>
  <c r="K476" i="20"/>
  <c r="U476" i="20"/>
  <c r="C479" i="20"/>
  <c r="D479" i="20"/>
  <c r="E479" i="20"/>
  <c r="F479" i="20"/>
  <c r="G479" i="20"/>
  <c r="H479" i="20"/>
  <c r="H482" i="20" s="1"/>
  <c r="I479" i="20"/>
  <c r="I482" i="20" s="1"/>
  <c r="J479" i="20"/>
  <c r="J482" i="20" s="1"/>
  <c r="K479" i="20"/>
  <c r="L479" i="20"/>
  <c r="M479" i="20"/>
  <c r="N479" i="20"/>
  <c r="N482" i="20" s="1"/>
  <c r="U479" i="20"/>
  <c r="W479" i="20"/>
  <c r="C480" i="20"/>
  <c r="D480" i="20"/>
  <c r="E480" i="20"/>
  <c r="F480" i="20"/>
  <c r="G480" i="20"/>
  <c r="H480" i="20"/>
  <c r="I480" i="20"/>
  <c r="J480" i="20"/>
  <c r="K480" i="20"/>
  <c r="L480" i="20"/>
  <c r="M480" i="20"/>
  <c r="N480" i="20"/>
  <c r="O480" i="20"/>
  <c r="W480" i="20"/>
  <c r="C481" i="20"/>
  <c r="D481" i="20"/>
  <c r="E481" i="20"/>
  <c r="F481" i="20"/>
  <c r="V481" i="20" s="1"/>
  <c r="G481" i="20"/>
  <c r="H481" i="20"/>
  <c r="I481" i="20"/>
  <c r="J481" i="20"/>
  <c r="K481" i="20"/>
  <c r="K482" i="20" s="1"/>
  <c r="L481" i="20"/>
  <c r="X481" i="20" s="1"/>
  <c r="M481" i="20"/>
  <c r="N481" i="20"/>
  <c r="D482" i="20"/>
  <c r="L482" i="20"/>
  <c r="C487" i="20"/>
  <c r="D487" i="20"/>
  <c r="E487" i="20"/>
  <c r="E491" i="20" s="1"/>
  <c r="F487" i="20"/>
  <c r="G487" i="20"/>
  <c r="H487" i="20"/>
  <c r="I487" i="20"/>
  <c r="J487" i="20"/>
  <c r="K487" i="20"/>
  <c r="L487" i="20"/>
  <c r="M487" i="20"/>
  <c r="M491" i="20" s="1"/>
  <c r="N487" i="20"/>
  <c r="N491" i="20" s="1"/>
  <c r="C488" i="20"/>
  <c r="D488" i="20"/>
  <c r="E488" i="20"/>
  <c r="F488" i="20"/>
  <c r="V488" i="20" s="1"/>
  <c r="G488" i="20"/>
  <c r="H488" i="20"/>
  <c r="I488" i="20"/>
  <c r="J488" i="20"/>
  <c r="K488" i="20"/>
  <c r="L488" i="20"/>
  <c r="X488" i="20" s="1"/>
  <c r="M488" i="20"/>
  <c r="N488" i="20"/>
  <c r="C489" i="20"/>
  <c r="D489" i="20"/>
  <c r="E489" i="20"/>
  <c r="F489" i="20"/>
  <c r="G489" i="20"/>
  <c r="H489" i="20"/>
  <c r="I489" i="20"/>
  <c r="J489" i="20"/>
  <c r="K489" i="20"/>
  <c r="L489" i="20"/>
  <c r="X489" i="20" s="1"/>
  <c r="M489" i="20"/>
  <c r="N489" i="20"/>
  <c r="V489" i="20"/>
  <c r="G491" i="20"/>
  <c r="H491" i="20"/>
  <c r="I491" i="20"/>
  <c r="I495" i="20"/>
  <c r="K495" i="20"/>
  <c r="O504" i="20"/>
  <c r="U504" i="20"/>
  <c r="V504" i="20"/>
  <c r="V513" i="20" s="1"/>
  <c r="W504" i="20"/>
  <c r="X504" i="20"/>
  <c r="O505" i="20"/>
  <c r="U505" i="20"/>
  <c r="Y505" i="20" s="1"/>
  <c r="V505" i="20"/>
  <c r="W505" i="20"/>
  <c r="X505" i="20"/>
  <c r="O506" i="20"/>
  <c r="U506" i="20"/>
  <c r="V506" i="20"/>
  <c r="W506" i="20"/>
  <c r="X506" i="20"/>
  <c r="Y506" i="20" s="1"/>
  <c r="O507" i="20"/>
  <c r="U507" i="20"/>
  <c r="V507" i="20"/>
  <c r="W507" i="20"/>
  <c r="X507" i="20"/>
  <c r="Y507" i="20"/>
  <c r="O508" i="20"/>
  <c r="U508" i="20"/>
  <c r="Y508" i="20" s="1"/>
  <c r="V508" i="20"/>
  <c r="W508" i="20"/>
  <c r="X508" i="20"/>
  <c r="O509" i="20"/>
  <c r="U509" i="20"/>
  <c r="V509" i="20"/>
  <c r="W509" i="20"/>
  <c r="X509" i="20"/>
  <c r="O510" i="20"/>
  <c r="U510" i="20"/>
  <c r="V510" i="20"/>
  <c r="W510" i="20"/>
  <c r="Y510" i="20" s="1"/>
  <c r="X510" i="20"/>
  <c r="O511" i="20"/>
  <c r="U511" i="20"/>
  <c r="V511" i="20"/>
  <c r="W511" i="20"/>
  <c r="X511" i="20"/>
  <c r="Y511" i="20"/>
  <c r="O512" i="20"/>
  <c r="U512" i="20"/>
  <c r="Y512" i="20" s="1"/>
  <c r="V512" i="20"/>
  <c r="W512" i="20"/>
  <c r="X512" i="20"/>
  <c r="C513" i="20"/>
  <c r="D513" i="20"/>
  <c r="D529" i="20" s="1"/>
  <c r="E513" i="20"/>
  <c r="E529" i="20" s="1"/>
  <c r="F513" i="20"/>
  <c r="F529" i="20" s="1"/>
  <c r="G513" i="20"/>
  <c r="H513" i="20"/>
  <c r="I513" i="20"/>
  <c r="J513" i="20"/>
  <c r="K513" i="20"/>
  <c r="L513" i="20"/>
  <c r="L529" i="20" s="1"/>
  <c r="M513" i="20"/>
  <c r="M529" i="20" s="1"/>
  <c r="N513" i="20"/>
  <c r="N529" i="20" s="1"/>
  <c r="O516" i="20"/>
  <c r="O527" i="20" s="1"/>
  <c r="U516" i="20"/>
  <c r="V516" i="20"/>
  <c r="W516" i="20"/>
  <c r="X516" i="20"/>
  <c r="O517" i="20"/>
  <c r="U517" i="20"/>
  <c r="U527" i="20" s="1"/>
  <c r="V517" i="20"/>
  <c r="W517" i="20"/>
  <c r="X517" i="20"/>
  <c r="O518" i="20"/>
  <c r="U518" i="20"/>
  <c r="V518" i="20"/>
  <c r="W518" i="20"/>
  <c r="Y518" i="20" s="1"/>
  <c r="X518" i="20"/>
  <c r="O519" i="20"/>
  <c r="U519" i="20"/>
  <c r="V519" i="20"/>
  <c r="W519" i="20"/>
  <c r="X519" i="20"/>
  <c r="Y519" i="20"/>
  <c r="O520" i="20"/>
  <c r="U520" i="20"/>
  <c r="V520" i="20"/>
  <c r="W520" i="20"/>
  <c r="X520" i="20"/>
  <c r="H521" i="20"/>
  <c r="O521" i="20"/>
  <c r="U521" i="20"/>
  <c r="Y521" i="20" s="1"/>
  <c r="V521" i="20"/>
  <c r="W521" i="20"/>
  <c r="X521" i="20"/>
  <c r="O522" i="20"/>
  <c r="U522" i="20"/>
  <c r="V522" i="20"/>
  <c r="Y522" i="20" s="1"/>
  <c r="W522" i="20"/>
  <c r="X522" i="20"/>
  <c r="O523" i="20"/>
  <c r="U523" i="20"/>
  <c r="V523" i="20"/>
  <c r="W523" i="20"/>
  <c r="X523" i="20"/>
  <c r="Y523" i="20"/>
  <c r="O524" i="20"/>
  <c r="U524" i="20"/>
  <c r="Y524" i="20" s="1"/>
  <c r="V524" i="20"/>
  <c r="W524" i="20"/>
  <c r="X524" i="20"/>
  <c r="O525" i="20"/>
  <c r="U525" i="20"/>
  <c r="V525" i="20"/>
  <c r="W525" i="20"/>
  <c r="X525" i="20"/>
  <c r="O526" i="20"/>
  <c r="U526" i="20"/>
  <c r="V526" i="20"/>
  <c r="W526" i="20"/>
  <c r="Y526" i="20" s="1"/>
  <c r="X526" i="20"/>
  <c r="C527" i="20"/>
  <c r="C529" i="20" s="1"/>
  <c r="D527" i="20"/>
  <c r="E527" i="20"/>
  <c r="F527" i="20"/>
  <c r="G527" i="20"/>
  <c r="H527" i="20"/>
  <c r="H529" i="20" s="1"/>
  <c r="I527" i="20"/>
  <c r="I529" i="20" s="1"/>
  <c r="J527" i="20"/>
  <c r="K527" i="20"/>
  <c r="K529" i="20" s="1"/>
  <c r="L527" i="20"/>
  <c r="M527" i="20"/>
  <c r="N527" i="20"/>
  <c r="X527" i="20"/>
  <c r="G529" i="20"/>
  <c r="J529" i="20"/>
  <c r="O532" i="20"/>
  <c r="U532" i="20"/>
  <c r="V532" i="20"/>
  <c r="W532" i="20"/>
  <c r="X532" i="20"/>
  <c r="Y532" i="20"/>
  <c r="O533" i="20"/>
  <c r="O534" i="20" s="1"/>
  <c r="O536" i="20" s="1"/>
  <c r="U533" i="20"/>
  <c r="V533" i="20"/>
  <c r="V534" i="20" s="1"/>
  <c r="V536" i="20" s="1"/>
  <c r="W533" i="20"/>
  <c r="W534" i="20" s="1"/>
  <c r="W536" i="20" s="1"/>
  <c r="X533" i="20"/>
  <c r="C534" i="20"/>
  <c r="C536" i="20" s="1"/>
  <c r="D534" i="20"/>
  <c r="E534" i="20"/>
  <c r="E536" i="20" s="1"/>
  <c r="F534" i="20"/>
  <c r="G534" i="20"/>
  <c r="G536" i="20" s="1"/>
  <c r="H534" i="20"/>
  <c r="H536" i="20" s="1"/>
  <c r="I534" i="20"/>
  <c r="J534" i="20"/>
  <c r="K534" i="20"/>
  <c r="L534" i="20"/>
  <c r="M534" i="20"/>
  <c r="M536" i="20" s="1"/>
  <c r="N534" i="20"/>
  <c r="N536" i="20" s="1"/>
  <c r="U534" i="20"/>
  <c r="U536" i="20" s="1"/>
  <c r="X534" i="20"/>
  <c r="D536" i="20"/>
  <c r="F536" i="20"/>
  <c r="I536" i="20"/>
  <c r="J536" i="20"/>
  <c r="K536" i="20"/>
  <c r="L536" i="20"/>
  <c r="X536" i="20"/>
  <c r="O539" i="20"/>
  <c r="U539" i="20"/>
  <c r="V539" i="20"/>
  <c r="W539" i="20"/>
  <c r="X539" i="20"/>
  <c r="Y539" i="20" s="1"/>
  <c r="O540" i="20"/>
  <c r="O541" i="20" s="1"/>
  <c r="U540" i="20"/>
  <c r="V540" i="20"/>
  <c r="V541" i="20" s="1"/>
  <c r="W540" i="20"/>
  <c r="W541" i="20" s="1"/>
  <c r="X540" i="20"/>
  <c r="C541" i="20"/>
  <c r="D541" i="20"/>
  <c r="E541" i="20"/>
  <c r="F541" i="20"/>
  <c r="F547" i="20" s="1"/>
  <c r="G541" i="20"/>
  <c r="H541" i="20"/>
  <c r="I541" i="20"/>
  <c r="J541" i="20"/>
  <c r="K541" i="20"/>
  <c r="K547" i="20" s="1"/>
  <c r="L541" i="20"/>
  <c r="M541" i="20"/>
  <c r="N541" i="20"/>
  <c r="N547" i="20" s="1"/>
  <c r="O543" i="20"/>
  <c r="U543" i="20"/>
  <c r="V543" i="20"/>
  <c r="W543" i="20"/>
  <c r="X543" i="20"/>
  <c r="O544" i="20"/>
  <c r="U544" i="20"/>
  <c r="V544" i="20"/>
  <c r="V545" i="20" s="1"/>
  <c r="W544" i="20"/>
  <c r="W545" i="20" s="1"/>
  <c r="X544" i="20"/>
  <c r="X545" i="20" s="1"/>
  <c r="C545" i="20"/>
  <c r="D545" i="20"/>
  <c r="E545" i="20"/>
  <c r="F545" i="20"/>
  <c r="G545" i="20"/>
  <c r="G547" i="20" s="1"/>
  <c r="H545" i="20"/>
  <c r="H547" i="20" s="1"/>
  <c r="I545" i="20"/>
  <c r="I547" i="20" s="1"/>
  <c r="J545" i="20"/>
  <c r="J547" i="20" s="1"/>
  <c r="K545" i="20"/>
  <c r="L545" i="20"/>
  <c r="M545" i="20"/>
  <c r="N545" i="20"/>
  <c r="U545" i="20"/>
  <c r="C547" i="20"/>
  <c r="D547" i="20"/>
  <c r="E547" i="20"/>
  <c r="L547" i="20"/>
  <c r="M547" i="20"/>
  <c r="O550" i="20"/>
  <c r="U550" i="20"/>
  <c r="V550" i="20"/>
  <c r="W550" i="20"/>
  <c r="W553" i="20" s="1"/>
  <c r="W555" i="20" s="1"/>
  <c r="X550" i="20"/>
  <c r="O551" i="20"/>
  <c r="O553" i="20" s="1"/>
  <c r="O555" i="20" s="1"/>
  <c r="U551" i="20"/>
  <c r="Y551" i="20" s="1"/>
  <c r="V551" i="20"/>
  <c r="W551" i="20"/>
  <c r="X551" i="20"/>
  <c r="X553" i="20" s="1"/>
  <c r="X555" i="20" s="1"/>
  <c r="O552" i="20"/>
  <c r="U552" i="20"/>
  <c r="V552" i="20"/>
  <c r="W552" i="20"/>
  <c r="X552" i="20"/>
  <c r="C553" i="20"/>
  <c r="C555" i="20" s="1"/>
  <c r="D553" i="20"/>
  <c r="D555" i="20" s="1"/>
  <c r="E553" i="20"/>
  <c r="F553" i="20"/>
  <c r="G553" i="20"/>
  <c r="H553" i="20"/>
  <c r="I553" i="20"/>
  <c r="J553" i="20"/>
  <c r="K553" i="20"/>
  <c r="K555" i="20" s="1"/>
  <c r="L553" i="20"/>
  <c r="L555" i="20" s="1"/>
  <c r="M553" i="20"/>
  <c r="N553" i="20"/>
  <c r="E555" i="20"/>
  <c r="F555" i="20"/>
  <c r="G555" i="20"/>
  <c r="H555" i="20"/>
  <c r="I555" i="20"/>
  <c r="J555" i="20"/>
  <c r="M555" i="20"/>
  <c r="N555" i="20"/>
  <c r="O558" i="20"/>
  <c r="U558" i="20"/>
  <c r="V558" i="20"/>
  <c r="W558" i="20"/>
  <c r="X558" i="20"/>
  <c r="Y558" i="20"/>
  <c r="O559" i="20"/>
  <c r="U559" i="20"/>
  <c r="V559" i="20"/>
  <c r="W559" i="20"/>
  <c r="X559" i="20"/>
  <c r="Y559" i="20"/>
  <c r="C560" i="20"/>
  <c r="C562" i="20" s="1"/>
  <c r="D560" i="20"/>
  <c r="D562" i="20" s="1"/>
  <c r="E560" i="20"/>
  <c r="F560" i="20"/>
  <c r="F562" i="20" s="1"/>
  <c r="G560" i="20"/>
  <c r="H560" i="20"/>
  <c r="H562" i="20" s="1"/>
  <c r="I560" i="20"/>
  <c r="J560" i="20"/>
  <c r="J562" i="20" s="1"/>
  <c r="K560" i="20"/>
  <c r="K562" i="20" s="1"/>
  <c r="L560" i="20"/>
  <c r="L562" i="20" s="1"/>
  <c r="M560" i="20"/>
  <c r="N560" i="20"/>
  <c r="O560" i="20"/>
  <c r="U560" i="20"/>
  <c r="V560" i="20"/>
  <c r="W560" i="20"/>
  <c r="W562" i="20" s="1"/>
  <c r="X560" i="20"/>
  <c r="X562" i="20" s="1"/>
  <c r="Y560" i="20"/>
  <c r="Y562" i="20" s="1"/>
  <c r="E562" i="20"/>
  <c r="G562" i="20"/>
  <c r="I562" i="20"/>
  <c r="M562" i="20"/>
  <c r="N562" i="20"/>
  <c r="O562" i="20"/>
  <c r="U562" i="20"/>
  <c r="V562" i="20"/>
  <c r="O565" i="20"/>
  <c r="U565" i="20"/>
  <c r="Y565" i="20" s="1"/>
  <c r="V565" i="20"/>
  <c r="W565" i="20"/>
  <c r="X565" i="20"/>
  <c r="X567" i="20" s="1"/>
  <c r="X569" i="20" s="1"/>
  <c r="O566" i="20"/>
  <c r="U566" i="20"/>
  <c r="V566" i="20"/>
  <c r="V567" i="20" s="1"/>
  <c r="V569" i="20" s="1"/>
  <c r="W566" i="20"/>
  <c r="W567" i="20" s="1"/>
  <c r="W569" i="20" s="1"/>
  <c r="X566" i="20"/>
  <c r="C567" i="20"/>
  <c r="C569" i="20" s="1"/>
  <c r="D567" i="20"/>
  <c r="E567" i="20"/>
  <c r="F567" i="20"/>
  <c r="F569" i="20" s="1"/>
  <c r="G567" i="20"/>
  <c r="G569" i="20" s="1"/>
  <c r="H567" i="20"/>
  <c r="H569" i="20" s="1"/>
  <c r="I567" i="20"/>
  <c r="I569" i="20" s="1"/>
  <c r="J567" i="20"/>
  <c r="K567" i="20"/>
  <c r="K569" i="20" s="1"/>
  <c r="L567" i="20"/>
  <c r="M567" i="20"/>
  <c r="N567" i="20"/>
  <c r="N569" i="20" s="1"/>
  <c r="O567" i="20"/>
  <c r="O569" i="20" s="1"/>
  <c r="D569" i="20"/>
  <c r="E569" i="20"/>
  <c r="J569" i="20"/>
  <c r="L569" i="20"/>
  <c r="M569" i="20"/>
  <c r="C571" i="20"/>
  <c r="D571" i="20"/>
  <c r="E571" i="20"/>
  <c r="F571" i="20"/>
  <c r="G571" i="20"/>
  <c r="H571" i="20"/>
  <c r="I571" i="20"/>
  <c r="J571" i="20"/>
  <c r="K571" i="20"/>
  <c r="L571" i="20"/>
  <c r="M571" i="20"/>
  <c r="N571" i="20"/>
  <c r="O574" i="20"/>
  <c r="U574" i="20"/>
  <c r="Y574" i="20" s="1"/>
  <c r="V574" i="20"/>
  <c r="W574" i="20"/>
  <c r="X574" i="20"/>
  <c r="O575" i="20"/>
  <c r="U575" i="20"/>
  <c r="V575" i="20"/>
  <c r="W575" i="20"/>
  <c r="W576" i="20" s="1"/>
  <c r="X575" i="20"/>
  <c r="X576" i="20" s="1"/>
  <c r="C576" i="20"/>
  <c r="D576" i="20"/>
  <c r="E576" i="20"/>
  <c r="E582" i="20" s="1"/>
  <c r="F576" i="20"/>
  <c r="G576" i="20"/>
  <c r="H576" i="20"/>
  <c r="H582" i="20" s="1"/>
  <c r="I576" i="20"/>
  <c r="J576" i="20"/>
  <c r="K576" i="20"/>
  <c r="L576" i="20"/>
  <c r="M576" i="20"/>
  <c r="M582" i="20" s="1"/>
  <c r="N576" i="20"/>
  <c r="O576" i="20"/>
  <c r="O582" i="20" s="1"/>
  <c r="U576" i="20"/>
  <c r="U582" i="20" s="1"/>
  <c r="O578" i="20"/>
  <c r="U578" i="20"/>
  <c r="V578" i="20"/>
  <c r="W578" i="20"/>
  <c r="X578" i="20"/>
  <c r="Y578" i="20" s="1"/>
  <c r="Y580" i="20" s="1"/>
  <c r="O579" i="20"/>
  <c r="U579" i="20"/>
  <c r="V579" i="20"/>
  <c r="W579" i="20"/>
  <c r="X579" i="20"/>
  <c r="Y579" i="20"/>
  <c r="C580" i="20"/>
  <c r="C582" i="20" s="1"/>
  <c r="D580" i="20"/>
  <c r="D582" i="20" s="1"/>
  <c r="E580" i="20"/>
  <c r="F580" i="20"/>
  <c r="F582" i="20" s="1"/>
  <c r="G580" i="20"/>
  <c r="H580" i="20"/>
  <c r="I580" i="20"/>
  <c r="J580" i="20"/>
  <c r="K580" i="20"/>
  <c r="K582" i="20" s="1"/>
  <c r="L580" i="20"/>
  <c r="L582" i="20" s="1"/>
  <c r="M580" i="20"/>
  <c r="N580" i="20"/>
  <c r="O580" i="20"/>
  <c r="U580" i="20"/>
  <c r="V580" i="20"/>
  <c r="W580" i="20"/>
  <c r="X580" i="20"/>
  <c r="G582" i="20"/>
  <c r="I582" i="20"/>
  <c r="J582" i="20"/>
  <c r="N582" i="20"/>
  <c r="W582" i="20"/>
  <c r="A1" i="14"/>
  <c r="E1" i="14"/>
  <c r="U1" i="14" s="1"/>
  <c r="E2" i="14"/>
  <c r="U2" i="14"/>
  <c r="AN2" i="14"/>
  <c r="C3" i="14"/>
  <c r="O3" i="14"/>
  <c r="U3" i="14"/>
  <c r="AN3" i="14"/>
  <c r="C4" i="14"/>
  <c r="E4" i="14"/>
  <c r="O4" i="14"/>
  <c r="U4" i="14"/>
  <c r="AJ4" i="14"/>
  <c r="AN4" i="14"/>
  <c r="AJ5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M8" i="14"/>
  <c r="N8" i="14"/>
  <c r="Q8" i="14"/>
  <c r="AD8" i="14"/>
  <c r="AE8" i="14"/>
  <c r="AF8" i="14"/>
  <c r="AI8" i="14"/>
  <c r="AJ8" i="14"/>
  <c r="H9" i="14"/>
  <c r="J9" i="14" s="1"/>
  <c r="M9" i="14"/>
  <c r="N9" i="14"/>
  <c r="Q9" i="14"/>
  <c r="AD9" i="14"/>
  <c r="AM9" i="14" s="1"/>
  <c r="AE9" i="14"/>
  <c r="AI9" i="14"/>
  <c r="AJ9" i="14"/>
  <c r="AP9" i="14"/>
  <c r="AQ9" i="14"/>
  <c r="AV9" i="14"/>
  <c r="AW9" i="14"/>
  <c r="H10" i="14"/>
  <c r="J10" i="14" s="1"/>
  <c r="M10" i="14"/>
  <c r="AI10" i="14" s="1"/>
  <c r="N10" i="14"/>
  <c r="Q10" i="14"/>
  <c r="AD10" i="14"/>
  <c r="AF10" i="14" s="1"/>
  <c r="AE10" i="14"/>
  <c r="AJ10" i="14"/>
  <c r="AM10" i="14"/>
  <c r="AV10" i="14"/>
  <c r="AW10" i="14"/>
  <c r="H11" i="14"/>
  <c r="M11" i="14"/>
  <c r="AI11" i="14" s="1"/>
  <c r="N11" i="14"/>
  <c r="P11" i="14"/>
  <c r="Q11" i="14"/>
  <c r="AJ11" i="14"/>
  <c r="AV11" i="14"/>
  <c r="AW11" i="14"/>
  <c r="H12" i="14"/>
  <c r="J12" i="14"/>
  <c r="M12" i="14"/>
  <c r="AI12" i="14" s="1"/>
  <c r="N12" i="14"/>
  <c r="Q12" i="14"/>
  <c r="AD12" i="14"/>
  <c r="AE12" i="14"/>
  <c r="AJ12" i="14"/>
  <c r="AM12" i="14"/>
  <c r="AV12" i="14"/>
  <c r="AW12" i="14"/>
  <c r="H13" i="14"/>
  <c r="J13" i="14" s="1"/>
  <c r="M13" i="14"/>
  <c r="N13" i="14"/>
  <c r="Q13" i="14"/>
  <c r="AD13" i="14"/>
  <c r="AE13" i="14"/>
  <c r="AI13" i="14"/>
  <c r="AJ13" i="14"/>
  <c r="AV13" i="14"/>
  <c r="AW13" i="14"/>
  <c r="H14" i="14"/>
  <c r="J14" i="14" s="1"/>
  <c r="M14" i="14"/>
  <c r="N14" i="14"/>
  <c r="Q14" i="14"/>
  <c r="AD14" i="14"/>
  <c r="AE14" i="14"/>
  <c r="AF14" i="14"/>
  <c r="AI14" i="14"/>
  <c r="AJ14" i="14"/>
  <c r="AM14" i="14"/>
  <c r="AP14" i="14" s="1"/>
  <c r="AQ14" i="14"/>
  <c r="AV14" i="14"/>
  <c r="AW14" i="14"/>
  <c r="H15" i="14"/>
  <c r="J15" i="14"/>
  <c r="M15" i="14"/>
  <c r="N15" i="14"/>
  <c r="Q15" i="14"/>
  <c r="AD15" i="14"/>
  <c r="AM15" i="14" s="1"/>
  <c r="AE15" i="14"/>
  <c r="AF15" i="14"/>
  <c r="AI15" i="14"/>
  <c r="AJ15" i="14"/>
  <c r="AV15" i="14"/>
  <c r="AW15" i="14"/>
  <c r="H16" i="14"/>
  <c r="J16" i="14" s="1"/>
  <c r="M16" i="14"/>
  <c r="AI16" i="14" s="1"/>
  <c r="N16" i="14"/>
  <c r="Q16" i="14"/>
  <c r="AJ16" i="14"/>
  <c r="AV16" i="14"/>
  <c r="AW16" i="14"/>
  <c r="H17" i="14"/>
  <c r="J17" i="14" s="1"/>
  <c r="M17" i="14"/>
  <c r="N17" i="14"/>
  <c r="P17" i="14"/>
  <c r="Q17" i="14"/>
  <c r="AI17" i="14"/>
  <c r="AJ17" i="14"/>
  <c r="AV17" i="14"/>
  <c r="AW17" i="14"/>
  <c r="H18" i="14"/>
  <c r="J18" i="14"/>
  <c r="M18" i="14"/>
  <c r="AI18" i="14" s="1"/>
  <c r="N18" i="14"/>
  <c r="Q18" i="14"/>
  <c r="AJ18" i="14"/>
  <c r="AV18" i="14"/>
  <c r="AW18" i="14"/>
  <c r="H19" i="14"/>
  <c r="J19" i="14" s="1"/>
  <c r="M19" i="14"/>
  <c r="AI19" i="14" s="1"/>
  <c r="N19" i="14"/>
  <c r="P19" i="14"/>
  <c r="Q19" i="14"/>
  <c r="AJ19" i="14"/>
  <c r="AV19" i="14"/>
  <c r="AW19" i="14"/>
  <c r="H20" i="14"/>
  <c r="J20" i="14" s="1"/>
  <c r="M20" i="14"/>
  <c r="AI20" i="14" s="1"/>
  <c r="N20" i="14"/>
  <c r="Q20" i="14"/>
  <c r="AD20" i="14"/>
  <c r="AF20" i="14" s="1"/>
  <c r="AE20" i="14"/>
  <c r="AJ20" i="14"/>
  <c r="AM20" i="14"/>
  <c r="AQ20" i="14" s="1"/>
  <c r="AV20" i="14"/>
  <c r="AW20" i="14"/>
  <c r="H21" i="14"/>
  <c r="J21" i="14"/>
  <c r="M21" i="14"/>
  <c r="N21" i="14"/>
  <c r="P21" i="14"/>
  <c r="Q21" i="14"/>
  <c r="AI21" i="14"/>
  <c r="AJ21" i="14"/>
  <c r="AV21" i="14"/>
  <c r="AW21" i="14"/>
  <c r="H22" i="14"/>
  <c r="J22" i="14"/>
  <c r="M22" i="14"/>
  <c r="N22" i="14"/>
  <c r="Q22" i="14"/>
  <c r="AD22" i="14"/>
  <c r="AE22" i="14"/>
  <c r="AF22" i="14"/>
  <c r="AI22" i="14"/>
  <c r="AJ22" i="14"/>
  <c r="AM22" i="14"/>
  <c r="AV22" i="14"/>
  <c r="AW22" i="14"/>
  <c r="H23" i="14"/>
  <c r="J23" i="14"/>
  <c r="M23" i="14"/>
  <c r="AI23" i="14" s="1"/>
  <c r="N23" i="14"/>
  <c r="P23" i="14"/>
  <c r="Q23" i="14"/>
  <c r="AJ23" i="14"/>
  <c r="AV23" i="14"/>
  <c r="AW23" i="14"/>
  <c r="H24" i="14"/>
  <c r="J24" i="14" s="1"/>
  <c r="M24" i="14"/>
  <c r="N24" i="14"/>
  <c r="Q24" i="14"/>
  <c r="AD24" i="14"/>
  <c r="AE24" i="14"/>
  <c r="AI24" i="14"/>
  <c r="AJ24" i="14"/>
  <c r="AV24" i="14"/>
  <c r="AW24" i="14"/>
  <c r="H25" i="14"/>
  <c r="J25" i="14" s="1"/>
  <c r="M25" i="14"/>
  <c r="N25" i="14"/>
  <c r="P25" i="14"/>
  <c r="Q25" i="14"/>
  <c r="AI25" i="14"/>
  <c r="AJ25" i="14"/>
  <c r="AV25" i="14"/>
  <c r="AW25" i="14"/>
  <c r="H26" i="14"/>
  <c r="J26" i="14"/>
  <c r="M26" i="14"/>
  <c r="AI26" i="14" s="1"/>
  <c r="N26" i="14"/>
  <c r="Q26" i="14"/>
  <c r="AD26" i="14"/>
  <c r="AE26" i="14"/>
  <c r="AF26" i="14"/>
  <c r="AJ26" i="14"/>
  <c r="AM26" i="14"/>
  <c r="AV26" i="14"/>
  <c r="AW26" i="14"/>
  <c r="H27" i="14"/>
  <c r="J27" i="14" s="1"/>
  <c r="M27" i="14"/>
  <c r="AI27" i="14" s="1"/>
  <c r="N27" i="14"/>
  <c r="Q27" i="14"/>
  <c r="AD27" i="14"/>
  <c r="AF27" i="14" s="1"/>
  <c r="AE27" i="14"/>
  <c r="AJ27" i="14"/>
  <c r="AV27" i="14"/>
  <c r="AW27" i="14"/>
  <c r="H28" i="14"/>
  <c r="J28" i="14"/>
  <c r="M28" i="14"/>
  <c r="N28" i="14"/>
  <c r="P28" i="14"/>
  <c r="Q28" i="14"/>
  <c r="AI28" i="14"/>
  <c r="AJ28" i="14"/>
  <c r="AV28" i="14"/>
  <c r="AW28" i="14"/>
  <c r="H29" i="14"/>
  <c r="J29" i="14" s="1"/>
  <c r="M29" i="14"/>
  <c r="N29" i="14"/>
  <c r="P29" i="14"/>
  <c r="Q29" i="14"/>
  <c r="AI29" i="14"/>
  <c r="AJ29" i="14"/>
  <c r="AV29" i="14"/>
  <c r="AW29" i="14"/>
  <c r="H30" i="14"/>
  <c r="J30" i="14"/>
  <c r="M30" i="14"/>
  <c r="N30" i="14"/>
  <c r="P30" i="14"/>
  <c r="Q30" i="14"/>
  <c r="AI30" i="14"/>
  <c r="AJ30" i="14"/>
  <c r="AV30" i="14"/>
  <c r="AW30" i="14"/>
  <c r="H31" i="14"/>
  <c r="J31" i="14" s="1"/>
  <c r="M31" i="14"/>
  <c r="N31" i="14"/>
  <c r="P31" i="14"/>
  <c r="Q31" i="14"/>
  <c r="AI31" i="14"/>
  <c r="AJ31" i="14"/>
  <c r="AV31" i="14"/>
  <c r="AW31" i="14"/>
  <c r="H32" i="14"/>
  <c r="J32" i="14"/>
  <c r="M32" i="14"/>
  <c r="AI32" i="14" s="1"/>
  <c r="N32" i="14"/>
  <c r="Q32" i="14"/>
  <c r="AD32" i="14"/>
  <c r="AE32" i="14"/>
  <c r="AJ32" i="14"/>
  <c r="AV32" i="14"/>
  <c r="AW32" i="14"/>
  <c r="H33" i="14"/>
  <c r="J33" i="14" s="1"/>
  <c r="M33" i="14"/>
  <c r="N33" i="14"/>
  <c r="P33" i="14"/>
  <c r="Q33" i="14"/>
  <c r="AI33" i="14"/>
  <c r="AJ33" i="14"/>
  <c r="AV33" i="14"/>
  <c r="AW33" i="14"/>
  <c r="H34" i="14"/>
  <c r="J34" i="14"/>
  <c r="M34" i="14"/>
  <c r="AI34" i="14" s="1"/>
  <c r="N34" i="14"/>
  <c r="P34" i="14"/>
  <c r="Q34" i="14"/>
  <c r="AJ34" i="14"/>
  <c r="AV34" i="14"/>
  <c r="AW34" i="14"/>
  <c r="H35" i="14"/>
  <c r="J35" i="14" s="1"/>
  <c r="M35" i="14"/>
  <c r="N35" i="14"/>
  <c r="P35" i="14"/>
  <c r="Q35" i="14"/>
  <c r="AI35" i="14"/>
  <c r="AJ35" i="14"/>
  <c r="AV35" i="14"/>
  <c r="AW35" i="14"/>
  <c r="H36" i="14"/>
  <c r="J36" i="14"/>
  <c r="M36" i="14"/>
  <c r="AI36" i="14" s="1"/>
  <c r="N36" i="14"/>
  <c r="P36" i="14"/>
  <c r="Q36" i="14"/>
  <c r="AJ36" i="14"/>
  <c r="AV36" i="14"/>
  <c r="AW36" i="14"/>
  <c r="H37" i="14"/>
  <c r="J37" i="14" s="1"/>
  <c r="M37" i="14"/>
  <c r="N37" i="14"/>
  <c r="P37" i="14"/>
  <c r="Q37" i="14"/>
  <c r="AI37" i="14"/>
  <c r="AJ37" i="14"/>
  <c r="AV37" i="14"/>
  <c r="AW37" i="14"/>
  <c r="H38" i="14"/>
  <c r="J38" i="14"/>
  <c r="M38" i="14"/>
  <c r="AI38" i="14" s="1"/>
  <c r="N38" i="14"/>
  <c r="Q38" i="14"/>
  <c r="AD38" i="14"/>
  <c r="AE38" i="14"/>
  <c r="AF38" i="14"/>
  <c r="AJ38" i="14"/>
  <c r="AM38" i="14"/>
  <c r="AQ38" i="14" s="1"/>
  <c r="AV38" i="14"/>
  <c r="AW38" i="14"/>
  <c r="H39" i="14"/>
  <c r="J39" i="14" s="1"/>
  <c r="M39" i="14"/>
  <c r="AI39" i="14" s="1"/>
  <c r="N39" i="14"/>
  <c r="P39" i="14"/>
  <c r="Q39" i="14"/>
  <c r="AJ39" i="14"/>
  <c r="AV39" i="14"/>
  <c r="AW39" i="14"/>
  <c r="H40" i="14"/>
  <c r="J40" i="14" s="1"/>
  <c r="M40" i="14"/>
  <c r="AI40" i="14" s="1"/>
  <c r="N40" i="14"/>
  <c r="P40" i="14"/>
  <c r="Q40" i="14"/>
  <c r="AJ40" i="14"/>
  <c r="AV40" i="14"/>
  <c r="AW40" i="14"/>
  <c r="H41" i="14"/>
  <c r="J41" i="14" s="1"/>
  <c r="M41" i="14"/>
  <c r="AI41" i="14" s="1"/>
  <c r="N41" i="14"/>
  <c r="P41" i="14"/>
  <c r="Q41" i="14"/>
  <c r="AJ41" i="14"/>
  <c r="AV41" i="14"/>
  <c r="AW41" i="14"/>
  <c r="H42" i="14"/>
  <c r="J42" i="14" s="1"/>
  <c r="M42" i="14"/>
  <c r="AI42" i="14" s="1"/>
  <c r="N42" i="14"/>
  <c r="P42" i="14"/>
  <c r="Q42" i="14"/>
  <c r="AJ42" i="14"/>
  <c r="AV42" i="14"/>
  <c r="AW42" i="14"/>
  <c r="H43" i="14"/>
  <c r="J43" i="14" s="1"/>
  <c r="M43" i="14"/>
  <c r="AI43" i="14" s="1"/>
  <c r="N43" i="14"/>
  <c r="P43" i="14"/>
  <c r="Q43" i="14"/>
  <c r="AJ43" i="14"/>
  <c r="AV43" i="14"/>
  <c r="AW43" i="14"/>
  <c r="H44" i="14"/>
  <c r="J44" i="14" s="1"/>
  <c r="M44" i="14"/>
  <c r="N44" i="14"/>
  <c r="Q44" i="14"/>
  <c r="R44" i="14"/>
  <c r="S44" i="14"/>
  <c r="T44" i="14"/>
  <c r="U44" i="14"/>
  <c r="AI44" i="14"/>
  <c r="AJ44" i="14"/>
  <c r="AV44" i="14"/>
  <c r="AW44" i="14"/>
  <c r="H45" i="14"/>
  <c r="J45" i="14"/>
  <c r="M45" i="14"/>
  <c r="N45" i="14"/>
  <c r="Q45" i="14"/>
  <c r="S45" i="14"/>
  <c r="AI45" i="14"/>
  <c r="AJ45" i="14"/>
  <c r="AV45" i="14"/>
  <c r="AW45" i="14"/>
  <c r="H46" i="14"/>
  <c r="J46" i="14"/>
  <c r="M46" i="14"/>
  <c r="N46" i="14"/>
  <c r="Q46" i="14"/>
  <c r="S46" i="14"/>
  <c r="AI46" i="14"/>
  <c r="AJ46" i="14"/>
  <c r="AV46" i="14"/>
  <c r="AW46" i="14"/>
  <c r="H47" i="14"/>
  <c r="J47" i="14"/>
  <c r="M47" i="14"/>
  <c r="N47" i="14"/>
  <c r="P47" i="14"/>
  <c r="Q47" i="14"/>
  <c r="AI47" i="14"/>
  <c r="AJ47" i="14"/>
  <c r="AV47" i="14"/>
  <c r="AW47" i="14"/>
  <c r="H48" i="14"/>
  <c r="J48" i="14" s="1"/>
  <c r="M48" i="14"/>
  <c r="N48" i="14"/>
  <c r="P48" i="14"/>
  <c r="Q48" i="14"/>
  <c r="AI48" i="14"/>
  <c r="AJ48" i="14"/>
  <c r="AV48" i="14"/>
  <c r="AW48" i="14"/>
  <c r="H49" i="14"/>
  <c r="J49" i="14"/>
  <c r="M49" i="14"/>
  <c r="AI49" i="14" s="1"/>
  <c r="N49" i="14"/>
  <c r="Q49" i="14"/>
  <c r="AD49" i="14"/>
  <c r="AM49" i="14" s="1"/>
  <c r="AP49" i="14" s="1"/>
  <c r="AE49" i="14"/>
  <c r="AJ49" i="14"/>
  <c r="AQ49" i="14"/>
  <c r="AV49" i="14"/>
  <c r="AW49" i="14"/>
  <c r="H50" i="14"/>
  <c r="J50" i="14" s="1"/>
  <c r="M50" i="14"/>
  <c r="N50" i="14"/>
  <c r="P50" i="14"/>
  <c r="Q50" i="14"/>
  <c r="AI50" i="14"/>
  <c r="AJ50" i="14"/>
  <c r="AV50" i="14"/>
  <c r="AW50" i="14"/>
  <c r="H51" i="14"/>
  <c r="J51" i="14" s="1"/>
  <c r="M51" i="14"/>
  <c r="AI51" i="14" s="1"/>
  <c r="N51" i="14"/>
  <c r="P51" i="14"/>
  <c r="Q51" i="14"/>
  <c r="AJ51" i="14"/>
  <c r="AV51" i="14"/>
  <c r="AW51" i="14"/>
  <c r="H52" i="14"/>
  <c r="J52" i="14" s="1"/>
  <c r="M52" i="14"/>
  <c r="AI52" i="14" s="1"/>
  <c r="N52" i="14"/>
  <c r="Q52" i="14"/>
  <c r="AD52" i="14"/>
  <c r="AE52" i="14"/>
  <c r="AF52" i="14"/>
  <c r="AJ52" i="14"/>
  <c r="AM52" i="14"/>
  <c r="AQ52" i="14" s="1"/>
  <c r="AP52" i="14"/>
  <c r="AV52" i="14"/>
  <c r="AW52" i="14"/>
  <c r="H53" i="14"/>
  <c r="J53" i="14" s="1"/>
  <c r="M53" i="14"/>
  <c r="AI53" i="14" s="1"/>
  <c r="N53" i="14"/>
  <c r="P53" i="14"/>
  <c r="Q53" i="14"/>
  <c r="T53" i="14"/>
  <c r="AJ53" i="14"/>
  <c r="AV53" i="14"/>
  <c r="AW53" i="14"/>
  <c r="H54" i="14"/>
  <c r="J54" i="14" s="1"/>
  <c r="M54" i="14"/>
  <c r="N54" i="14"/>
  <c r="P54" i="14"/>
  <c r="Q54" i="14"/>
  <c r="AD54" i="14"/>
  <c r="AM54" i="14" s="1"/>
  <c r="AQ54" i="14" s="1"/>
  <c r="AE54" i="14"/>
  <c r="AI54" i="14"/>
  <c r="AJ54" i="14"/>
  <c r="AV54" i="14"/>
  <c r="AV59" i="14" s="1"/>
  <c r="AW54" i="14"/>
  <c r="H55" i="14"/>
  <c r="J55" i="14" s="1"/>
  <c r="M55" i="14"/>
  <c r="AI55" i="14" s="1"/>
  <c r="N55" i="14"/>
  <c r="P55" i="14"/>
  <c r="Q55" i="14"/>
  <c r="R55" i="14"/>
  <c r="S55" i="14"/>
  <c r="T55" i="14"/>
  <c r="X55" i="14"/>
  <c r="Z55" i="14"/>
  <c r="AB55" i="14"/>
  <c r="AJ55" i="14"/>
  <c r="AV55" i="14"/>
  <c r="AW55" i="14"/>
  <c r="H56" i="14"/>
  <c r="J56" i="14" s="1"/>
  <c r="M56" i="14"/>
  <c r="AI56" i="14" s="1"/>
  <c r="N56" i="14"/>
  <c r="P56" i="14"/>
  <c r="Q56" i="14"/>
  <c r="AJ56" i="14"/>
  <c r="AV56" i="14"/>
  <c r="AW56" i="14"/>
  <c r="F58" i="14"/>
  <c r="G58" i="14"/>
  <c r="H58" i="14"/>
  <c r="I58" i="14"/>
  <c r="J58" i="14"/>
  <c r="N58" i="14"/>
  <c r="R58" i="14"/>
  <c r="S58" i="14"/>
  <c r="T58" i="14"/>
  <c r="T63" i="14" s="1"/>
  <c r="U58" i="14"/>
  <c r="V58" i="14"/>
  <c r="W58" i="14"/>
  <c r="X58" i="14"/>
  <c r="X63" i="14" s="1"/>
  <c r="X82" i="14" s="1"/>
  <c r="Y58" i="14"/>
  <c r="Z58" i="14"/>
  <c r="AA58" i="14"/>
  <c r="AB58" i="14"/>
  <c r="AC58" i="14"/>
  <c r="AD58" i="14"/>
  <c r="AE58" i="14"/>
  <c r="AJ58" i="14"/>
  <c r="AM58" i="14"/>
  <c r="AN58" i="14"/>
  <c r="AO58" i="14"/>
  <c r="AS58" i="14"/>
  <c r="AT58" i="14"/>
  <c r="AT61" i="14" s="1"/>
  <c r="AU58" i="14"/>
  <c r="AV58" i="14"/>
  <c r="AV61" i="14" s="1"/>
  <c r="AW58" i="14"/>
  <c r="F59" i="14"/>
  <c r="G59" i="14"/>
  <c r="I59" i="14"/>
  <c r="N59" i="14"/>
  <c r="AJ59" i="14"/>
  <c r="AN59" i="14"/>
  <c r="AO59" i="14"/>
  <c r="AS59" i="14"/>
  <c r="AT59" i="14"/>
  <c r="AU59" i="14"/>
  <c r="F61" i="14"/>
  <c r="G61" i="14"/>
  <c r="I61" i="14"/>
  <c r="N61" i="14"/>
  <c r="AJ61" i="14"/>
  <c r="AN61" i="14"/>
  <c r="AO61" i="14"/>
  <c r="AS61" i="14"/>
  <c r="AU61" i="14"/>
  <c r="F63" i="14"/>
  <c r="G63" i="14"/>
  <c r="I63" i="14"/>
  <c r="N63" i="14"/>
  <c r="R63" i="14"/>
  <c r="S63" i="14"/>
  <c r="S82" i="14" s="1"/>
  <c r="U63" i="14"/>
  <c r="V63" i="14"/>
  <c r="W63" i="14"/>
  <c r="Y63" i="14"/>
  <c r="Z63" i="14"/>
  <c r="Z82" i="14" s="1"/>
  <c r="AA63" i="14"/>
  <c r="AA82" i="14" s="1"/>
  <c r="AC63" i="14"/>
  <c r="AJ63" i="14"/>
  <c r="AN63" i="14"/>
  <c r="AN82" i="14" s="1"/>
  <c r="AO63" i="14"/>
  <c r="AO82" i="14" s="1"/>
  <c r="AS63" i="14"/>
  <c r="AU63" i="14"/>
  <c r="AW63" i="14"/>
  <c r="F64" i="14"/>
  <c r="G64" i="14"/>
  <c r="I64" i="14"/>
  <c r="N64" i="14"/>
  <c r="AJ64" i="14"/>
  <c r="AN64" i="14"/>
  <c r="AO64" i="14"/>
  <c r="AO83" i="14" s="1"/>
  <c r="AS64" i="14"/>
  <c r="AT64" i="14"/>
  <c r="AV64" i="14" s="1"/>
  <c r="AV83" i="14" s="1"/>
  <c r="AU64" i="14"/>
  <c r="AW64" i="14"/>
  <c r="F66" i="14"/>
  <c r="F80" i="14" s="1"/>
  <c r="G66" i="14"/>
  <c r="I66" i="14"/>
  <c r="N66" i="14"/>
  <c r="AJ66" i="14"/>
  <c r="AO66" i="14"/>
  <c r="AO80" i="14" s="1"/>
  <c r="AS66" i="14"/>
  <c r="AU66" i="14"/>
  <c r="N68" i="14"/>
  <c r="AJ68" i="14"/>
  <c r="H69" i="14"/>
  <c r="J69" i="14" s="1"/>
  <c r="M69" i="14"/>
  <c r="AI69" i="14" s="1"/>
  <c r="N69" i="14"/>
  <c r="AD69" i="14"/>
  <c r="AM69" i="14" s="1"/>
  <c r="AQ69" i="14" s="1"/>
  <c r="AE69" i="14"/>
  <c r="AF69" i="14"/>
  <c r="AJ69" i="14"/>
  <c r="AP69" i="14"/>
  <c r="AV69" i="14"/>
  <c r="AW69" i="14"/>
  <c r="H70" i="14"/>
  <c r="J70" i="14" s="1"/>
  <c r="M70" i="14"/>
  <c r="N70" i="14"/>
  <c r="AD70" i="14"/>
  <c r="AM70" i="14" s="1"/>
  <c r="AE70" i="14"/>
  <c r="AF70" i="14"/>
  <c r="AI70" i="14"/>
  <c r="AJ70" i="14"/>
  <c r="AV70" i="14"/>
  <c r="AW70" i="14"/>
  <c r="H71" i="14"/>
  <c r="J71" i="14"/>
  <c r="M71" i="14"/>
  <c r="AI71" i="14" s="1"/>
  <c r="N71" i="14"/>
  <c r="AD71" i="14"/>
  <c r="AE71" i="14"/>
  <c r="AF71" i="14"/>
  <c r="AJ71" i="14"/>
  <c r="AM71" i="14"/>
  <c r="AQ71" i="14" s="1"/>
  <c r="AP71" i="14"/>
  <c r="AV71" i="14"/>
  <c r="AW71" i="14"/>
  <c r="H72" i="14"/>
  <c r="J72" i="14" s="1"/>
  <c r="M72" i="14"/>
  <c r="AI72" i="14" s="1"/>
  <c r="N72" i="14"/>
  <c r="AJ72" i="14"/>
  <c r="AV72" i="14"/>
  <c r="AW72" i="14"/>
  <c r="H73" i="14"/>
  <c r="J73" i="14"/>
  <c r="M73" i="14"/>
  <c r="AI73" i="14" s="1"/>
  <c r="N73" i="14"/>
  <c r="P73" i="14"/>
  <c r="AD73" i="14"/>
  <c r="AF73" i="14" s="1"/>
  <c r="AE73" i="14"/>
  <c r="AJ73" i="14"/>
  <c r="AM73" i="14"/>
  <c r="AV73" i="14"/>
  <c r="AW73" i="14"/>
  <c r="H74" i="14"/>
  <c r="J74" i="14"/>
  <c r="M74" i="14"/>
  <c r="AI74" i="14" s="1"/>
  <c r="N74" i="14"/>
  <c r="P74" i="14"/>
  <c r="AD74" i="14"/>
  <c r="AE74" i="14"/>
  <c r="AF74" i="14"/>
  <c r="AJ74" i="14"/>
  <c r="AM74" i="14"/>
  <c r="AQ74" i="14" s="1"/>
  <c r="AV74" i="14"/>
  <c r="AW74" i="14"/>
  <c r="H75" i="14"/>
  <c r="J75" i="14" s="1"/>
  <c r="M75" i="14"/>
  <c r="AI75" i="14" s="1"/>
  <c r="N75" i="14"/>
  <c r="P75" i="14"/>
  <c r="AD75" i="14"/>
  <c r="AF75" i="14" s="1"/>
  <c r="AE75" i="14"/>
  <c r="AJ75" i="14"/>
  <c r="AM75" i="14"/>
  <c r="AP75" i="14"/>
  <c r="AQ75" i="14"/>
  <c r="AV75" i="14"/>
  <c r="AW75" i="14"/>
  <c r="H76" i="14"/>
  <c r="J76" i="14"/>
  <c r="M76" i="14"/>
  <c r="N76" i="14"/>
  <c r="P76" i="14"/>
  <c r="R76" i="14"/>
  <c r="S76" i="14"/>
  <c r="T76" i="14"/>
  <c r="U76" i="14"/>
  <c r="V76" i="14"/>
  <c r="W76" i="14"/>
  <c r="X76" i="14"/>
  <c r="Y76" i="14"/>
  <c r="Z76" i="14"/>
  <c r="AA76" i="14"/>
  <c r="AB76" i="14"/>
  <c r="AC76" i="14"/>
  <c r="AI76" i="14"/>
  <c r="AJ76" i="14"/>
  <c r="AV76" i="14"/>
  <c r="AW76" i="14"/>
  <c r="H77" i="14"/>
  <c r="J77" i="14" s="1"/>
  <c r="M77" i="14"/>
  <c r="N77" i="14"/>
  <c r="P77" i="14"/>
  <c r="AD77" i="14"/>
  <c r="AE77" i="14"/>
  <c r="AF77" i="14" s="1"/>
  <c r="AI77" i="14"/>
  <c r="AJ77" i="14"/>
  <c r="AM77" i="14"/>
  <c r="AV77" i="14"/>
  <c r="AW77" i="14"/>
  <c r="H78" i="14"/>
  <c r="J78" i="14"/>
  <c r="M78" i="14"/>
  <c r="AI78" i="14" s="1"/>
  <c r="N78" i="14"/>
  <c r="AD78" i="14"/>
  <c r="AF78" i="14" s="1"/>
  <c r="AE78" i="14"/>
  <c r="AJ78" i="14"/>
  <c r="AM78" i="14"/>
  <c r="AP78" i="14"/>
  <c r="AQ78" i="14"/>
  <c r="AV78" i="14"/>
  <c r="AW78" i="14"/>
  <c r="G80" i="14"/>
  <c r="I80" i="14"/>
  <c r="N80" i="14"/>
  <c r="AJ80" i="14"/>
  <c r="AS80" i="14"/>
  <c r="AU80" i="14"/>
  <c r="G82" i="14"/>
  <c r="I82" i="14"/>
  <c r="N82" i="14"/>
  <c r="U82" i="14"/>
  <c r="V82" i="14"/>
  <c r="W82" i="14"/>
  <c r="Y82" i="14"/>
  <c r="AC82" i="14"/>
  <c r="AJ82" i="14"/>
  <c r="AS82" i="14"/>
  <c r="AU82" i="14"/>
  <c r="G83" i="14"/>
  <c r="I83" i="14"/>
  <c r="N83" i="14"/>
  <c r="AJ83" i="14"/>
  <c r="AS83" i="14"/>
  <c r="AT83" i="14"/>
  <c r="AU83" i="14"/>
  <c r="R86" i="14"/>
  <c r="S86" i="14"/>
  <c r="T86" i="14"/>
  <c r="U86" i="14"/>
  <c r="V86" i="14"/>
  <c r="W86" i="14"/>
  <c r="X86" i="14"/>
  <c r="Y86" i="14"/>
  <c r="Z86" i="14"/>
  <c r="AA86" i="14"/>
  <c r="AB86" i="14"/>
  <c r="AC86" i="14"/>
  <c r="AD86" i="14"/>
  <c r="AE86" i="14"/>
  <c r="AF86" i="14"/>
  <c r="R87" i="14"/>
  <c r="S87" i="14"/>
  <c r="T87" i="14"/>
  <c r="U87" i="14"/>
  <c r="V87" i="14"/>
  <c r="W87" i="14"/>
  <c r="X87" i="14"/>
  <c r="Y87" i="14"/>
  <c r="Z87" i="14"/>
  <c r="AA87" i="14"/>
  <c r="AB87" i="14"/>
  <c r="AC87" i="14"/>
  <c r="AD87" i="14"/>
  <c r="AE87" i="14"/>
  <c r="AF87" i="14"/>
  <c r="AD90" i="14"/>
  <c r="AD94" i="14"/>
  <c r="AD98" i="14"/>
  <c r="AD102" i="14"/>
  <c r="AD106" i="14"/>
  <c r="R109" i="14"/>
  <c r="S109" i="14"/>
  <c r="T109" i="14"/>
  <c r="U109" i="14"/>
  <c r="V109" i="14"/>
  <c r="V111" i="14" s="1"/>
  <c r="V35" i="14" s="1"/>
  <c r="W109" i="14"/>
  <c r="X109" i="14"/>
  <c r="Y109" i="14"/>
  <c r="Y111" i="14" s="1"/>
  <c r="Y35" i="14" s="1"/>
  <c r="Z109" i="14"/>
  <c r="Z111" i="14" s="1"/>
  <c r="Z35" i="14" s="1"/>
  <c r="AA109" i="14"/>
  <c r="AB109" i="14"/>
  <c r="AC109" i="14"/>
  <c r="AD110" i="14"/>
  <c r="S111" i="14"/>
  <c r="S35" i="14" s="1"/>
  <c r="T111" i="14"/>
  <c r="T35" i="14" s="1"/>
  <c r="U111" i="14"/>
  <c r="U35" i="14" s="1"/>
  <c r="W111" i="14"/>
  <c r="W35" i="14" s="1"/>
  <c r="X111" i="14"/>
  <c r="X35" i="14" s="1"/>
  <c r="AA111" i="14"/>
  <c r="AA35" i="14" s="1"/>
  <c r="AB111" i="14"/>
  <c r="AB35" i="14" s="1"/>
  <c r="AC111" i="14"/>
  <c r="AC35" i="14" s="1"/>
  <c r="AD114" i="14"/>
  <c r="AD118" i="14"/>
  <c r="AD122" i="14"/>
  <c r="AD126" i="14"/>
  <c r="AD130" i="14"/>
  <c r="AD140" i="14"/>
  <c r="R146" i="14"/>
  <c r="S146" i="14"/>
  <c r="T146" i="14"/>
  <c r="U146" i="14"/>
  <c r="U55" i="14" s="1"/>
  <c r="V146" i="14"/>
  <c r="V55" i="14" s="1"/>
  <c r="W146" i="14"/>
  <c r="X146" i="14"/>
  <c r="Y146" i="14"/>
  <c r="Y55" i="14" s="1"/>
  <c r="Z146" i="14"/>
  <c r="AA146" i="14"/>
  <c r="AA55" i="14" s="1"/>
  <c r="AB146" i="14"/>
  <c r="AC146" i="14"/>
  <c r="AC55" i="14" s="1"/>
  <c r="V154" i="14"/>
  <c r="V53" i="14" s="1"/>
  <c r="W154" i="14"/>
  <c r="W53" i="14" s="1"/>
  <c r="AA154" i="14"/>
  <c r="AA53" i="14" s="1"/>
  <c r="AC154" i="14"/>
  <c r="AC53" i="14" s="1"/>
  <c r="AD160" i="14"/>
  <c r="A1" i="10"/>
  <c r="A3" i="10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B4" i="10"/>
  <c r="O4" i="10"/>
  <c r="P4" i="10"/>
  <c r="Q4" i="10"/>
  <c r="C7" i="10"/>
  <c r="D7" i="10"/>
  <c r="E7" i="10"/>
  <c r="F7" i="10"/>
  <c r="G7" i="10"/>
  <c r="H7" i="10"/>
  <c r="I7" i="10"/>
  <c r="I13" i="10" s="1"/>
  <c r="I22" i="13" s="1"/>
  <c r="J7" i="10"/>
  <c r="K7" i="10"/>
  <c r="K13" i="10" s="1"/>
  <c r="L7" i="10"/>
  <c r="M7" i="10"/>
  <c r="N7" i="10"/>
  <c r="C8" i="10"/>
  <c r="D8" i="10"/>
  <c r="E8" i="10"/>
  <c r="E13" i="10" s="1"/>
  <c r="E22" i="13" s="1"/>
  <c r="F8" i="10"/>
  <c r="F13" i="10" s="1"/>
  <c r="F22" i="13" s="1"/>
  <c r="G8" i="10"/>
  <c r="H8" i="10"/>
  <c r="I8" i="10"/>
  <c r="J8" i="10"/>
  <c r="K8" i="10"/>
  <c r="L8" i="10"/>
  <c r="M8" i="10"/>
  <c r="N8" i="10"/>
  <c r="N13" i="10" s="1"/>
  <c r="N22" i="13" s="1"/>
  <c r="C9" i="10"/>
  <c r="P9" i="10" s="1"/>
  <c r="D9" i="10"/>
  <c r="E9" i="10"/>
  <c r="F9" i="10"/>
  <c r="G9" i="10"/>
  <c r="G13" i="10" s="1"/>
  <c r="H9" i="10"/>
  <c r="I9" i="10"/>
  <c r="J9" i="10"/>
  <c r="K9" i="10"/>
  <c r="L9" i="10"/>
  <c r="M9" i="10"/>
  <c r="N9" i="10"/>
  <c r="O9" i="10"/>
  <c r="Q9" i="10" s="1"/>
  <c r="C10" i="10"/>
  <c r="D10" i="10"/>
  <c r="E10" i="10"/>
  <c r="F10" i="10"/>
  <c r="G10" i="10"/>
  <c r="H10" i="10"/>
  <c r="H13" i="10" s="1"/>
  <c r="I10" i="10"/>
  <c r="J10" i="10"/>
  <c r="K10" i="10"/>
  <c r="L10" i="10"/>
  <c r="M10" i="10"/>
  <c r="N10" i="10"/>
  <c r="O11" i="10"/>
  <c r="P11" i="10"/>
  <c r="Q11" i="10"/>
  <c r="J13" i="10"/>
  <c r="C16" i="10"/>
  <c r="D16" i="10"/>
  <c r="E16" i="10"/>
  <c r="F16" i="10"/>
  <c r="G16" i="10"/>
  <c r="H16" i="10"/>
  <c r="I16" i="10"/>
  <c r="J16" i="10"/>
  <c r="K16" i="10"/>
  <c r="K28" i="10" s="1"/>
  <c r="L16" i="10"/>
  <c r="M16" i="10"/>
  <c r="N16" i="10"/>
  <c r="C17" i="10"/>
  <c r="D17" i="10"/>
  <c r="E17" i="10"/>
  <c r="F17" i="10"/>
  <c r="F28" i="10" s="1"/>
  <c r="G17" i="10"/>
  <c r="G28" i="10" s="1"/>
  <c r="H17" i="10"/>
  <c r="I17" i="10"/>
  <c r="J17" i="10"/>
  <c r="K17" i="10"/>
  <c r="L17" i="10"/>
  <c r="M17" i="10"/>
  <c r="N17" i="10"/>
  <c r="N28" i="10" s="1"/>
  <c r="O17" i="10"/>
  <c r="Q17" i="10" s="1"/>
  <c r="P17" i="10"/>
  <c r="C18" i="10"/>
  <c r="D18" i="10"/>
  <c r="E18" i="10"/>
  <c r="F18" i="10"/>
  <c r="G18" i="10"/>
  <c r="H18" i="10"/>
  <c r="I18" i="10"/>
  <c r="I28" i="10" s="1"/>
  <c r="J18" i="10"/>
  <c r="K18" i="10"/>
  <c r="L18" i="10"/>
  <c r="M18" i="10"/>
  <c r="N18" i="10"/>
  <c r="P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P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P21" i="10"/>
  <c r="C22" i="10"/>
  <c r="D22" i="10"/>
  <c r="E22" i="10"/>
  <c r="F22" i="10"/>
  <c r="G22" i="10"/>
  <c r="H22" i="10"/>
  <c r="I22" i="10"/>
  <c r="O22" i="10" s="1"/>
  <c r="J22" i="10"/>
  <c r="K22" i="10"/>
  <c r="L22" i="10"/>
  <c r="M22" i="10"/>
  <c r="N22" i="10"/>
  <c r="C23" i="10"/>
  <c r="D23" i="10"/>
  <c r="S154" i="14" s="1"/>
  <c r="S53" i="14" s="1"/>
  <c r="E23" i="10"/>
  <c r="T154" i="14" s="1"/>
  <c r="F23" i="10"/>
  <c r="U154" i="14" s="1"/>
  <c r="U53" i="14" s="1"/>
  <c r="G23" i="10"/>
  <c r="H23" i="10"/>
  <c r="I23" i="10"/>
  <c r="X154" i="14" s="1"/>
  <c r="X53" i="14" s="1"/>
  <c r="J23" i="10"/>
  <c r="Y154" i="14" s="1"/>
  <c r="Y53" i="14" s="1"/>
  <c r="K23" i="10"/>
  <c r="Z154" i="14" s="1"/>
  <c r="Z53" i="14" s="1"/>
  <c r="L23" i="10"/>
  <c r="L28" i="10" s="1"/>
  <c r="AA11" i="14" s="1"/>
  <c r="M23" i="10"/>
  <c r="AB154" i="14" s="1"/>
  <c r="AB53" i="14" s="1"/>
  <c r="N23" i="10"/>
  <c r="C24" i="10"/>
  <c r="P24" i="10" s="1"/>
  <c r="D24" i="10"/>
  <c r="E24" i="10"/>
  <c r="F24" i="10"/>
  <c r="G24" i="10"/>
  <c r="H24" i="10"/>
  <c r="I24" i="10"/>
  <c r="J24" i="10"/>
  <c r="K24" i="10"/>
  <c r="L24" i="10"/>
  <c r="M24" i="10"/>
  <c r="M28" i="10" s="1"/>
  <c r="N24" i="10"/>
  <c r="C25" i="10"/>
  <c r="D25" i="10"/>
  <c r="E25" i="10"/>
  <c r="F25" i="10"/>
  <c r="G25" i="10"/>
  <c r="H25" i="10"/>
  <c r="O25" i="10" s="1"/>
  <c r="Q25" i="10" s="1"/>
  <c r="I25" i="10"/>
  <c r="J25" i="10"/>
  <c r="K25" i="10"/>
  <c r="L25" i="10"/>
  <c r="M25" i="10"/>
  <c r="N25" i="10"/>
  <c r="P25" i="10"/>
  <c r="O26" i="10"/>
  <c r="Q26" i="10" s="1"/>
  <c r="P26" i="10"/>
  <c r="E31" i="10"/>
  <c r="F31" i="10"/>
  <c r="J31" i="10"/>
  <c r="M31" i="10"/>
  <c r="N31" i="10"/>
  <c r="C32" i="10"/>
  <c r="C31" i="10" s="1"/>
  <c r="D32" i="10"/>
  <c r="D31" i="10" s="1"/>
  <c r="E32" i="10"/>
  <c r="F32" i="10"/>
  <c r="G32" i="10"/>
  <c r="G31" i="10" s="1"/>
  <c r="G50" i="10" s="1"/>
  <c r="G25" i="13" s="1"/>
  <c r="H32" i="10"/>
  <c r="H31" i="10" s="1"/>
  <c r="H50" i="10" s="1"/>
  <c r="H25" i="13" s="1"/>
  <c r="I32" i="10"/>
  <c r="I31" i="10" s="1"/>
  <c r="J32" i="10"/>
  <c r="K32" i="10"/>
  <c r="K31" i="10" s="1"/>
  <c r="L32" i="10"/>
  <c r="L31" i="10" s="1"/>
  <c r="M32" i="10"/>
  <c r="N32" i="10"/>
  <c r="O32" i="10"/>
  <c r="Q32" i="10" s="1"/>
  <c r="P32" i="10"/>
  <c r="O33" i="10"/>
  <c r="Q33" i="10" s="1"/>
  <c r="P33" i="10"/>
  <c r="O34" i="10"/>
  <c r="P34" i="10"/>
  <c r="Q34" i="10"/>
  <c r="C36" i="10"/>
  <c r="D36" i="10"/>
  <c r="E36" i="10"/>
  <c r="F36" i="10"/>
  <c r="G36" i="10"/>
  <c r="H36" i="10"/>
  <c r="I36" i="10"/>
  <c r="I52" i="10" s="1"/>
  <c r="J36" i="10"/>
  <c r="K36" i="10"/>
  <c r="K52" i="10" s="1"/>
  <c r="L36" i="10"/>
  <c r="M36" i="10"/>
  <c r="N36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C38" i="10"/>
  <c r="O38" i="10" s="1"/>
  <c r="D38" i="10"/>
  <c r="E38" i="10"/>
  <c r="F38" i="10"/>
  <c r="G38" i="10"/>
  <c r="H38" i="10"/>
  <c r="I38" i="10"/>
  <c r="J38" i="10"/>
  <c r="K38" i="10"/>
  <c r="L38" i="10"/>
  <c r="M38" i="10"/>
  <c r="N38" i="10"/>
  <c r="C39" i="10"/>
  <c r="D39" i="10"/>
  <c r="P39" i="10" s="1"/>
  <c r="E39" i="10"/>
  <c r="F39" i="10"/>
  <c r="G39" i="10"/>
  <c r="H39" i="10"/>
  <c r="I39" i="10"/>
  <c r="J39" i="10"/>
  <c r="K39" i="10"/>
  <c r="L39" i="10"/>
  <c r="M39" i="10"/>
  <c r="M50" i="10" s="1"/>
  <c r="M25" i="13" s="1"/>
  <c r="N39" i="10"/>
  <c r="D40" i="10"/>
  <c r="E40" i="10"/>
  <c r="O40" i="10"/>
  <c r="P40" i="10"/>
  <c r="Q40" i="10" s="1"/>
  <c r="C41" i="10"/>
  <c r="D41" i="10"/>
  <c r="E41" i="10"/>
  <c r="F41" i="10"/>
  <c r="G41" i="10"/>
  <c r="H41" i="10"/>
  <c r="I41" i="10"/>
  <c r="J41" i="10"/>
  <c r="K41" i="10"/>
  <c r="L41" i="10"/>
  <c r="M41" i="10"/>
  <c r="N41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C44" i="10"/>
  <c r="O44" i="10" s="1"/>
  <c r="D44" i="10"/>
  <c r="E44" i="10"/>
  <c r="F44" i="10"/>
  <c r="G44" i="10"/>
  <c r="H44" i="10"/>
  <c r="I44" i="10"/>
  <c r="J44" i="10"/>
  <c r="K44" i="10"/>
  <c r="L44" i="10"/>
  <c r="M44" i="10"/>
  <c r="N44" i="10"/>
  <c r="C45" i="10"/>
  <c r="D45" i="10"/>
  <c r="P45" i="10" s="1"/>
  <c r="E45" i="10"/>
  <c r="F45" i="10"/>
  <c r="G45" i="10"/>
  <c r="H45" i="10"/>
  <c r="I45" i="10"/>
  <c r="J45" i="10"/>
  <c r="K45" i="10"/>
  <c r="L45" i="10"/>
  <c r="M45" i="10"/>
  <c r="N45" i="10"/>
  <c r="N52" i="10" s="1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Q46" i="10" s="1"/>
  <c r="P46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Q47" i="10" s="1"/>
  <c r="P47" i="10"/>
  <c r="O48" i="10"/>
  <c r="Q48" i="10" s="1"/>
  <c r="P48" i="10"/>
  <c r="E50" i="10"/>
  <c r="E25" i="13" s="1"/>
  <c r="F50" i="10"/>
  <c r="F25" i="13" s="1"/>
  <c r="G52" i="10"/>
  <c r="H52" i="10"/>
  <c r="O62" i="10"/>
  <c r="V1" i="13"/>
  <c r="AD1" i="13"/>
  <c r="AI1" i="13"/>
  <c r="V2" i="13"/>
  <c r="AI2" i="13"/>
  <c r="AI62" i="13" s="1"/>
  <c r="T3" i="13"/>
  <c r="V3" i="13"/>
  <c r="AD3" i="13"/>
  <c r="B4" i="13"/>
  <c r="U4" i="13"/>
  <c r="V4" i="13"/>
  <c r="AE4" i="13"/>
  <c r="AI4" i="13"/>
  <c r="B5" i="13"/>
  <c r="U5" i="13"/>
  <c r="AE5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AA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O7" i="13"/>
  <c r="AA7" i="13" s="1"/>
  <c r="W7" i="13"/>
  <c r="X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T8" i="13"/>
  <c r="AD8" i="13"/>
  <c r="T9" i="13"/>
  <c r="AD9" i="13"/>
  <c r="T10" i="13"/>
  <c r="AD10" i="13"/>
  <c r="T12" i="13"/>
  <c r="AD12" i="13"/>
  <c r="T14" i="13"/>
  <c r="AD14" i="13"/>
  <c r="T15" i="13"/>
  <c r="AD15" i="13"/>
  <c r="T17" i="13"/>
  <c r="AD17" i="13"/>
  <c r="T19" i="13"/>
  <c r="AD19" i="13"/>
  <c r="T20" i="13"/>
  <c r="AD20" i="13"/>
  <c r="T21" i="13"/>
  <c r="AD21" i="13"/>
  <c r="G22" i="13"/>
  <c r="H22" i="13"/>
  <c r="J22" i="13"/>
  <c r="K22" i="13"/>
  <c r="T22" i="13"/>
  <c r="AD22" i="13"/>
  <c r="T23" i="13"/>
  <c r="AD23" i="13"/>
  <c r="L24" i="13"/>
  <c r="T24" i="13"/>
  <c r="AD24" i="13"/>
  <c r="T25" i="13"/>
  <c r="AD25" i="13"/>
  <c r="T27" i="13"/>
  <c r="AD27" i="13"/>
  <c r="T29" i="13"/>
  <c r="AD29" i="13"/>
  <c r="T31" i="13"/>
  <c r="AD31" i="13"/>
  <c r="T32" i="13"/>
  <c r="AD32" i="13"/>
  <c r="T33" i="13"/>
  <c r="AD33" i="13"/>
  <c r="T34" i="13"/>
  <c r="AD34" i="13"/>
  <c r="T36" i="13"/>
  <c r="AD36" i="13"/>
  <c r="T38" i="13"/>
  <c r="AD38" i="13"/>
  <c r="T40" i="13"/>
  <c r="AD40" i="13"/>
  <c r="T41" i="13"/>
  <c r="AD41" i="13"/>
  <c r="F42" i="13"/>
  <c r="W42" i="13" s="1"/>
  <c r="G42" i="13"/>
  <c r="H42" i="13"/>
  <c r="I42" i="13"/>
  <c r="J42" i="13"/>
  <c r="K42" i="13"/>
  <c r="L42" i="13"/>
  <c r="Y42" i="13" s="1"/>
  <c r="M42" i="13"/>
  <c r="N42" i="13"/>
  <c r="T42" i="13"/>
  <c r="X42" i="13"/>
  <c r="AD42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T43" i="13"/>
  <c r="W43" i="13"/>
  <c r="AD43" i="13"/>
  <c r="C44" i="13"/>
  <c r="D44" i="13"/>
  <c r="E44" i="13"/>
  <c r="F44" i="13"/>
  <c r="G44" i="13"/>
  <c r="H44" i="13"/>
  <c r="I44" i="13"/>
  <c r="J44" i="13"/>
  <c r="K44" i="13"/>
  <c r="L44" i="13"/>
  <c r="Y44" i="13" s="1"/>
  <c r="M44" i="13"/>
  <c r="N44" i="13"/>
  <c r="T44" i="13"/>
  <c r="AD44" i="13"/>
  <c r="AF44" i="13"/>
  <c r="AG44" i="13" s="1"/>
  <c r="AH44" i="13" s="1"/>
  <c r="AI44" i="13" s="1"/>
  <c r="AJ44" i="13" s="1"/>
  <c r="C45" i="13"/>
  <c r="D45" i="13"/>
  <c r="E45" i="13"/>
  <c r="F45" i="13"/>
  <c r="G45" i="13"/>
  <c r="H45" i="13"/>
  <c r="I45" i="13"/>
  <c r="X45" i="13" s="1"/>
  <c r="J45" i="13"/>
  <c r="K45" i="13"/>
  <c r="L45" i="13"/>
  <c r="M45" i="13"/>
  <c r="N45" i="13"/>
  <c r="P45" i="13"/>
  <c r="T45" i="13"/>
  <c r="V45" i="13"/>
  <c r="Y45" i="13"/>
  <c r="AD45" i="13"/>
  <c r="AF45" i="13"/>
  <c r="AG45" i="13" s="1"/>
  <c r="AH45" i="13" s="1"/>
  <c r="T46" i="13"/>
  <c r="AD46" i="13"/>
  <c r="T48" i="13"/>
  <c r="AD48" i="13"/>
  <c r="T50" i="13"/>
  <c r="AD50" i="13"/>
  <c r="T52" i="13"/>
  <c r="AD52" i="13"/>
  <c r="T53" i="13"/>
  <c r="AD53" i="13"/>
  <c r="T55" i="13"/>
  <c r="AD55" i="13"/>
  <c r="T57" i="13"/>
  <c r="AD57" i="13"/>
  <c r="A61" i="13"/>
  <c r="T61" i="13" s="1"/>
  <c r="V61" i="13"/>
  <c r="AH61" i="13"/>
  <c r="G62" i="13"/>
  <c r="V62" i="13"/>
  <c r="A63" i="13"/>
  <c r="T63" i="13" s="1"/>
  <c r="G63" i="13"/>
  <c r="V63" i="13"/>
  <c r="AD63" i="13"/>
  <c r="AI63" i="13"/>
  <c r="B64" i="13"/>
  <c r="G64" i="13"/>
  <c r="U64" i="13"/>
  <c r="V64" i="13"/>
  <c r="AE64" i="13"/>
  <c r="AI64" i="13"/>
  <c r="B65" i="13"/>
  <c r="U65" i="13"/>
  <c r="AE65" i="13"/>
  <c r="C66" i="13"/>
  <c r="D66" i="13"/>
  <c r="E66" i="13"/>
  <c r="F66" i="13"/>
  <c r="G66" i="13"/>
  <c r="AJ66" i="13" s="1"/>
  <c r="H66" i="13"/>
  <c r="AK66" i="13" s="1"/>
  <c r="I66" i="13"/>
  <c r="AL66" i="13" s="1"/>
  <c r="J66" i="13"/>
  <c r="AM66" i="13" s="1"/>
  <c r="K66" i="13"/>
  <c r="L66" i="13"/>
  <c r="M66" i="13"/>
  <c r="N66" i="13"/>
  <c r="O66" i="13"/>
  <c r="AA66" i="13" s="1"/>
  <c r="P66" i="13"/>
  <c r="Q66" i="13"/>
  <c r="V66" i="13"/>
  <c r="W66" i="13"/>
  <c r="X66" i="13"/>
  <c r="Y66" i="13"/>
  <c r="AF66" i="13"/>
  <c r="AG66" i="13"/>
  <c r="AH66" i="13"/>
  <c r="AI66" i="13"/>
  <c r="AN66" i="13"/>
  <c r="AO66" i="13"/>
  <c r="AP66" i="13"/>
  <c r="AQ66" i="13"/>
  <c r="C67" i="13"/>
  <c r="D67" i="13"/>
  <c r="E67" i="13"/>
  <c r="F67" i="13"/>
  <c r="G67" i="13"/>
  <c r="AJ67" i="13" s="1"/>
  <c r="H67" i="13"/>
  <c r="AK67" i="13" s="1"/>
  <c r="I67" i="13"/>
  <c r="AL67" i="13" s="1"/>
  <c r="J67" i="13"/>
  <c r="AM67" i="13" s="1"/>
  <c r="K67" i="13"/>
  <c r="L67" i="13"/>
  <c r="M67" i="13"/>
  <c r="N67" i="13"/>
  <c r="O67" i="13"/>
  <c r="AA67" i="13" s="1"/>
  <c r="P67" i="13"/>
  <c r="Q67" i="13"/>
  <c r="V67" i="13"/>
  <c r="W67" i="13"/>
  <c r="X67" i="13"/>
  <c r="AF67" i="13"/>
  <c r="AG67" i="13"/>
  <c r="AH67" i="13"/>
  <c r="AI67" i="13"/>
  <c r="AN67" i="13"/>
  <c r="AO67" i="13"/>
  <c r="AP67" i="13"/>
  <c r="AQ67" i="13"/>
  <c r="T68" i="13"/>
  <c r="AD68" i="13"/>
  <c r="O69" i="13"/>
  <c r="P69" i="13"/>
  <c r="Q69" i="13"/>
  <c r="T69" i="13"/>
  <c r="V69" i="13"/>
  <c r="W69" i="13"/>
  <c r="X69" i="13"/>
  <c r="Y69" i="13"/>
  <c r="AD69" i="13"/>
  <c r="AF69" i="13"/>
  <c r="AG69" i="13" s="1"/>
  <c r="AH69" i="13" s="1"/>
  <c r="AI69" i="13" s="1"/>
  <c r="AJ69" i="13" s="1"/>
  <c r="AK69" i="13" s="1"/>
  <c r="AL69" i="13" s="1"/>
  <c r="AM69" i="13" s="1"/>
  <c r="AN69" i="13" s="1"/>
  <c r="AO69" i="13" s="1"/>
  <c r="AP69" i="13" s="1"/>
  <c r="AQ69" i="13" s="1"/>
  <c r="O70" i="13"/>
  <c r="Q70" i="13" s="1"/>
  <c r="Q72" i="13" s="1"/>
  <c r="Q77" i="13" s="1"/>
  <c r="P70" i="13"/>
  <c r="P72" i="13" s="1"/>
  <c r="T70" i="13"/>
  <c r="V70" i="13"/>
  <c r="W70" i="13"/>
  <c r="X70" i="13"/>
  <c r="X72" i="13" s="1"/>
  <c r="X77" i="13" s="1"/>
  <c r="Y70" i="13"/>
  <c r="AD70" i="13"/>
  <c r="AF70" i="13"/>
  <c r="AG70" i="13" s="1"/>
  <c r="AH70" i="13" s="1"/>
  <c r="AI70" i="13" s="1"/>
  <c r="AJ70" i="13" s="1"/>
  <c r="AK70" i="13"/>
  <c r="AL70" i="13" s="1"/>
  <c r="AM70" i="13" s="1"/>
  <c r="AN70" i="13" s="1"/>
  <c r="AO70" i="13" s="1"/>
  <c r="AP70" i="13" s="1"/>
  <c r="AQ70" i="13" s="1"/>
  <c r="C72" i="13"/>
  <c r="D72" i="13"/>
  <c r="E72" i="13"/>
  <c r="F72" i="13"/>
  <c r="G72" i="13"/>
  <c r="H72" i="13"/>
  <c r="I72" i="13"/>
  <c r="J72" i="13"/>
  <c r="K72" i="13"/>
  <c r="L72" i="13"/>
  <c r="L77" i="13" s="1"/>
  <c r="M72" i="13"/>
  <c r="N72" i="13"/>
  <c r="T72" i="13"/>
  <c r="V72" i="13"/>
  <c r="Y72" i="13"/>
  <c r="Y77" i="13" s="1"/>
  <c r="AD72" i="13"/>
  <c r="O74" i="13"/>
  <c r="Q74" i="13" s="1"/>
  <c r="P74" i="13"/>
  <c r="T74" i="13"/>
  <c r="V74" i="13"/>
  <c r="AA74" i="13" s="1"/>
  <c r="W74" i="13"/>
  <c r="X74" i="13"/>
  <c r="Y74" i="13"/>
  <c r="AD74" i="13"/>
  <c r="AF74" i="13"/>
  <c r="AG74" i="13" s="1"/>
  <c r="AH74" i="13" s="1"/>
  <c r="AI74" i="13" s="1"/>
  <c r="AJ74" i="13" s="1"/>
  <c r="AK74" i="13" s="1"/>
  <c r="AL74" i="13" s="1"/>
  <c r="AM74" i="13"/>
  <c r="AN74" i="13" s="1"/>
  <c r="AO74" i="13" s="1"/>
  <c r="AP74" i="13" s="1"/>
  <c r="AQ74" i="13" s="1"/>
  <c r="O75" i="13"/>
  <c r="Q75" i="13" s="1"/>
  <c r="P75" i="13"/>
  <c r="T75" i="13"/>
  <c r="V75" i="13"/>
  <c r="W75" i="13"/>
  <c r="X75" i="13"/>
  <c r="AA75" i="13" s="1"/>
  <c r="Y75" i="13"/>
  <c r="AD75" i="13"/>
  <c r="AF75" i="13"/>
  <c r="AG75" i="13"/>
  <c r="AH75" i="13" s="1"/>
  <c r="AI75" i="13" s="1"/>
  <c r="AJ75" i="13"/>
  <c r="AK75" i="13" s="1"/>
  <c r="AL75" i="13" s="1"/>
  <c r="AM75" i="13" s="1"/>
  <c r="AN75" i="13" s="1"/>
  <c r="AO75" i="13" s="1"/>
  <c r="AP75" i="13" s="1"/>
  <c r="AQ75" i="13" s="1"/>
  <c r="E77" i="13"/>
  <c r="F77" i="13"/>
  <c r="G77" i="13"/>
  <c r="H77" i="13"/>
  <c r="M77" i="13"/>
  <c r="N77" i="13"/>
  <c r="P77" i="13"/>
  <c r="T77" i="13"/>
  <c r="AD77" i="13"/>
  <c r="T79" i="13"/>
  <c r="AD79" i="13"/>
  <c r="O80" i="13"/>
  <c r="P80" i="13"/>
  <c r="T80" i="13"/>
  <c r="V80" i="13"/>
  <c r="AA80" i="13" s="1"/>
  <c r="W80" i="13"/>
  <c r="X80" i="13"/>
  <c r="Y80" i="13"/>
  <c r="AD80" i="13"/>
  <c r="AF80" i="13"/>
  <c r="AG80" i="13" s="1"/>
  <c r="AH80" i="13"/>
  <c r="AI80" i="13" s="1"/>
  <c r="AJ80" i="13" s="1"/>
  <c r="AK80" i="13" s="1"/>
  <c r="AL80" i="13" s="1"/>
  <c r="AM80" i="13" s="1"/>
  <c r="AN80" i="13" s="1"/>
  <c r="AO80" i="13" s="1"/>
  <c r="AP80" i="13" s="1"/>
  <c r="AQ80" i="13" s="1"/>
  <c r="O81" i="13"/>
  <c r="P81" i="13"/>
  <c r="T81" i="13"/>
  <c r="V81" i="13"/>
  <c r="W81" i="13"/>
  <c r="X81" i="13"/>
  <c r="Y81" i="13"/>
  <c r="AA81" i="13" s="1"/>
  <c r="AD81" i="13"/>
  <c r="AF81" i="13"/>
  <c r="AG81" i="13"/>
  <c r="AH81" i="13" s="1"/>
  <c r="AI81" i="13" s="1"/>
  <c r="AJ81" i="13"/>
  <c r="AK81" i="13" s="1"/>
  <c r="AL81" i="13" s="1"/>
  <c r="AM81" i="13" s="1"/>
  <c r="AN81" i="13" s="1"/>
  <c r="AO81" i="13" s="1"/>
  <c r="AP81" i="13" s="1"/>
  <c r="AQ81" i="13" s="1"/>
  <c r="O82" i="13"/>
  <c r="P82" i="13"/>
  <c r="T82" i="13"/>
  <c r="V82" i="13"/>
  <c r="W82" i="13"/>
  <c r="X82" i="13"/>
  <c r="Y82" i="13"/>
  <c r="AA82" i="13"/>
  <c r="AD82" i="13"/>
  <c r="AF82" i="13"/>
  <c r="AG82" i="13"/>
  <c r="AH82" i="13" s="1"/>
  <c r="AI82" i="13" s="1"/>
  <c r="AJ82" i="13" s="1"/>
  <c r="AK82" i="13" s="1"/>
  <c r="AL82" i="13" s="1"/>
  <c r="AM82" i="13" s="1"/>
  <c r="AN82" i="13" s="1"/>
  <c r="AO82" i="13"/>
  <c r="AP82" i="13" s="1"/>
  <c r="AQ82" i="13" s="1"/>
  <c r="O83" i="13"/>
  <c r="P83" i="13"/>
  <c r="Q83" i="13"/>
  <c r="T83" i="13"/>
  <c r="V83" i="13"/>
  <c r="W83" i="13"/>
  <c r="X83" i="13"/>
  <c r="Y83" i="13"/>
  <c r="AD83" i="13"/>
  <c r="AF83" i="13"/>
  <c r="AG83" i="13" s="1"/>
  <c r="AH83" i="13" s="1"/>
  <c r="AI83" i="13" s="1"/>
  <c r="AJ83" i="13" s="1"/>
  <c r="AK83" i="13" s="1"/>
  <c r="AL83" i="13" s="1"/>
  <c r="AM83" i="13" s="1"/>
  <c r="AN83" i="13" s="1"/>
  <c r="AO83" i="13" s="1"/>
  <c r="AP83" i="13" s="1"/>
  <c r="AQ83" i="13" s="1"/>
  <c r="C84" i="13"/>
  <c r="D84" i="13"/>
  <c r="V84" i="13" s="1"/>
  <c r="E84" i="13"/>
  <c r="F84" i="13"/>
  <c r="G84" i="13"/>
  <c r="H84" i="13"/>
  <c r="I84" i="13"/>
  <c r="J84" i="13"/>
  <c r="K84" i="13"/>
  <c r="L84" i="13"/>
  <c r="Y84" i="13" s="1"/>
  <c r="M84" i="13"/>
  <c r="N84" i="13"/>
  <c r="P84" i="13"/>
  <c r="T84" i="13"/>
  <c r="AD84" i="13"/>
  <c r="AF84" i="13"/>
  <c r="AG84" i="13"/>
  <c r="AH84" i="13" s="1"/>
  <c r="AI84" i="13" s="1"/>
  <c r="C85" i="13"/>
  <c r="D85" i="13"/>
  <c r="E85" i="13"/>
  <c r="F85" i="13"/>
  <c r="G85" i="13"/>
  <c r="H85" i="13"/>
  <c r="I85" i="13"/>
  <c r="J85" i="13"/>
  <c r="K85" i="13"/>
  <c r="L85" i="13"/>
  <c r="M85" i="13"/>
  <c r="N85" i="13"/>
  <c r="O85" i="13"/>
  <c r="P85" i="13"/>
  <c r="T85" i="13"/>
  <c r="X85" i="13"/>
  <c r="AD85" i="13"/>
  <c r="AF85" i="13"/>
  <c r="AG85" i="13"/>
  <c r="C87" i="13"/>
  <c r="AF87" i="13" s="1"/>
  <c r="D87" i="13"/>
  <c r="E87" i="13"/>
  <c r="F87" i="13"/>
  <c r="K87" i="13"/>
  <c r="L87" i="13"/>
  <c r="M87" i="13"/>
  <c r="N87" i="13"/>
  <c r="T87" i="13"/>
  <c r="AD87" i="13"/>
  <c r="T89" i="13"/>
  <c r="AD89" i="13"/>
  <c r="T91" i="13"/>
  <c r="AD91" i="13"/>
  <c r="T92" i="13"/>
  <c r="AD92" i="13"/>
  <c r="O93" i="13"/>
  <c r="P93" i="13"/>
  <c r="Q93" i="13"/>
  <c r="T93" i="13"/>
  <c r="V93" i="13"/>
  <c r="W93" i="13"/>
  <c r="X93" i="13"/>
  <c r="Y93" i="13"/>
  <c r="AD93" i="13"/>
  <c r="AF93" i="13"/>
  <c r="AG93" i="13" s="1"/>
  <c r="AH93" i="13" s="1"/>
  <c r="AI93" i="13" s="1"/>
  <c r="AJ93" i="13" s="1"/>
  <c r="AK93" i="13" s="1"/>
  <c r="AL93" i="13" s="1"/>
  <c r="AM93" i="13" s="1"/>
  <c r="AN93" i="13" s="1"/>
  <c r="AO93" i="13" s="1"/>
  <c r="AP93" i="13" s="1"/>
  <c r="AQ93" i="13" s="1"/>
  <c r="G94" i="13"/>
  <c r="T94" i="13"/>
  <c r="AD94" i="13"/>
  <c r="T96" i="13"/>
  <c r="AD96" i="13"/>
  <c r="T98" i="13"/>
  <c r="AD98" i="13"/>
  <c r="T100" i="13"/>
  <c r="AD100" i="13"/>
  <c r="O101" i="13"/>
  <c r="P101" i="13"/>
  <c r="Q101" i="13"/>
  <c r="T101" i="13"/>
  <c r="V101" i="13"/>
  <c r="W101" i="13"/>
  <c r="X101" i="13"/>
  <c r="Y101" i="13"/>
  <c r="Y108" i="13" s="1"/>
  <c r="AD101" i="13"/>
  <c r="AF101" i="13"/>
  <c r="AG101" i="13" s="1"/>
  <c r="AH101" i="13" s="1"/>
  <c r="AI101" i="13" s="1"/>
  <c r="AJ101" i="13" s="1"/>
  <c r="AK101" i="13" s="1"/>
  <c r="AL101" i="13" s="1"/>
  <c r="AM101" i="13" s="1"/>
  <c r="AN101" i="13" s="1"/>
  <c r="AO101" i="13" s="1"/>
  <c r="AP101" i="13" s="1"/>
  <c r="AQ101" i="13"/>
  <c r="O102" i="13"/>
  <c r="P102" i="13"/>
  <c r="T102" i="13"/>
  <c r="V102" i="13"/>
  <c r="W102" i="13"/>
  <c r="X102" i="13"/>
  <c r="Y102" i="13"/>
  <c r="AA102" i="13"/>
  <c r="AD102" i="13"/>
  <c r="AF102" i="13"/>
  <c r="AG102" i="13" s="1"/>
  <c r="AH102" i="13" s="1"/>
  <c r="AI102" i="13"/>
  <c r="AJ102" i="13" s="1"/>
  <c r="AK102" i="13" s="1"/>
  <c r="AL102" i="13" s="1"/>
  <c r="AM102" i="13" s="1"/>
  <c r="AN102" i="13" s="1"/>
  <c r="AO102" i="13" s="1"/>
  <c r="AP102" i="13" s="1"/>
  <c r="AQ102" i="13" s="1"/>
  <c r="O103" i="13"/>
  <c r="P103" i="13"/>
  <c r="Q103" i="13" s="1"/>
  <c r="T103" i="13"/>
  <c r="V103" i="13"/>
  <c r="W103" i="13"/>
  <c r="X103" i="13"/>
  <c r="Y103" i="13"/>
  <c r="AA103" i="13" s="1"/>
  <c r="AD103" i="13"/>
  <c r="AF103" i="13"/>
  <c r="AG103" i="13" s="1"/>
  <c r="AH103" i="13" s="1"/>
  <c r="AI103" i="13" s="1"/>
  <c r="AJ103" i="13" s="1"/>
  <c r="AK103" i="13" s="1"/>
  <c r="AL103" i="13" s="1"/>
  <c r="AM103" i="13" s="1"/>
  <c r="AN103" i="13" s="1"/>
  <c r="AO103" i="13" s="1"/>
  <c r="AP103" i="13" s="1"/>
  <c r="AQ103" i="13" s="1"/>
  <c r="O104" i="13"/>
  <c r="Q104" i="13" s="1"/>
  <c r="P104" i="13"/>
  <c r="T104" i="13"/>
  <c r="V104" i="13"/>
  <c r="W104" i="13"/>
  <c r="X104" i="13"/>
  <c r="Y104" i="13"/>
  <c r="AA104" i="13"/>
  <c r="AD104" i="13"/>
  <c r="AF104" i="13"/>
  <c r="AG104" i="13"/>
  <c r="AH104" i="13" s="1"/>
  <c r="AI104" i="13" s="1"/>
  <c r="AJ104" i="13" s="1"/>
  <c r="AK104" i="13" s="1"/>
  <c r="AL104" i="13" s="1"/>
  <c r="AM104" i="13"/>
  <c r="AN104" i="13" s="1"/>
  <c r="AO104" i="13" s="1"/>
  <c r="AP104" i="13" s="1"/>
  <c r="AQ104" i="13" s="1"/>
  <c r="O105" i="13"/>
  <c r="P105" i="13"/>
  <c r="Q105" i="13"/>
  <c r="T105" i="13"/>
  <c r="V105" i="13"/>
  <c r="AA105" i="13" s="1"/>
  <c r="W105" i="13"/>
  <c r="X105" i="13"/>
  <c r="Y105" i="13"/>
  <c r="AD105" i="13"/>
  <c r="AF105" i="13"/>
  <c r="AG105" i="13" s="1"/>
  <c r="AH105" i="13"/>
  <c r="AI105" i="13"/>
  <c r="AJ105" i="13"/>
  <c r="AK105" i="13" s="1"/>
  <c r="AL105" i="13" s="1"/>
  <c r="AM105" i="13" s="1"/>
  <c r="AN105" i="13"/>
  <c r="AO105" i="13" s="1"/>
  <c r="AP105" i="13" s="1"/>
  <c r="AQ105" i="13" s="1"/>
  <c r="O106" i="13"/>
  <c r="P106" i="13"/>
  <c r="T106" i="13"/>
  <c r="V106" i="13"/>
  <c r="W106" i="13"/>
  <c r="W108" i="13" s="1"/>
  <c r="X106" i="13"/>
  <c r="Y106" i="13"/>
  <c r="AD106" i="13"/>
  <c r="AF106" i="13"/>
  <c r="AG106" i="13" s="1"/>
  <c r="AH106" i="13"/>
  <c r="AI106" i="13" s="1"/>
  <c r="AJ106" i="13" s="1"/>
  <c r="AK106" i="13" s="1"/>
  <c r="AL106" i="13" s="1"/>
  <c r="AM106" i="13" s="1"/>
  <c r="AN106" i="13" s="1"/>
  <c r="AO106" i="13" s="1"/>
  <c r="AP106" i="13" s="1"/>
  <c r="AQ106" i="13" s="1"/>
  <c r="C108" i="13"/>
  <c r="AF108" i="13" s="1"/>
  <c r="D108" i="13"/>
  <c r="AG108" i="13" s="1"/>
  <c r="E108" i="13"/>
  <c r="F108" i="13"/>
  <c r="G108" i="13"/>
  <c r="H108" i="13"/>
  <c r="I108" i="13"/>
  <c r="J108" i="13"/>
  <c r="K108" i="13"/>
  <c r="L108" i="13"/>
  <c r="M108" i="13"/>
  <c r="N108" i="13"/>
  <c r="T108" i="13"/>
  <c r="X108" i="13"/>
  <c r="AD108" i="13"/>
  <c r="T110" i="13"/>
  <c r="AD110" i="13"/>
  <c r="T112" i="13"/>
  <c r="AD112" i="13"/>
  <c r="T113" i="13"/>
  <c r="AD113" i="13"/>
  <c r="T115" i="13"/>
  <c r="AD115" i="13"/>
  <c r="T117" i="13"/>
  <c r="AD117" i="13"/>
  <c r="A121" i="13"/>
  <c r="T121" i="13" s="1"/>
  <c r="V121" i="13"/>
  <c r="AH121" i="13"/>
  <c r="G122" i="13"/>
  <c r="V122" i="13"/>
  <c r="AI122" i="13"/>
  <c r="G123" i="13"/>
  <c r="V123" i="13"/>
  <c r="AI123" i="13"/>
  <c r="B124" i="13"/>
  <c r="G124" i="13"/>
  <c r="V124" i="13" s="1"/>
  <c r="U124" i="13"/>
  <c r="AE124" i="13"/>
  <c r="AI124" i="13"/>
  <c r="B125" i="13"/>
  <c r="U125" i="13"/>
  <c r="AE125" i="13"/>
  <c r="C126" i="13"/>
  <c r="D126" i="13"/>
  <c r="E126" i="13"/>
  <c r="F126" i="13"/>
  <c r="AI126" i="13" s="1"/>
  <c r="G126" i="13"/>
  <c r="AJ126" i="13" s="1"/>
  <c r="H126" i="13"/>
  <c r="AK126" i="13" s="1"/>
  <c r="I126" i="13"/>
  <c r="AL126" i="13" s="1"/>
  <c r="J126" i="13"/>
  <c r="K126" i="13"/>
  <c r="L126" i="13"/>
  <c r="AO126" i="13" s="1"/>
  <c r="M126" i="13"/>
  <c r="N126" i="13"/>
  <c r="AQ126" i="13" s="1"/>
  <c r="O126" i="13"/>
  <c r="P126" i="13"/>
  <c r="Q126" i="13"/>
  <c r="V126" i="13"/>
  <c r="W126" i="13"/>
  <c r="X126" i="13"/>
  <c r="Y126" i="13"/>
  <c r="AA126" i="13"/>
  <c r="AF126" i="13"/>
  <c r="AG126" i="13"/>
  <c r="AH126" i="13"/>
  <c r="AM126" i="13"/>
  <c r="AN126" i="13"/>
  <c r="AP126" i="13"/>
  <c r="C127" i="13"/>
  <c r="D127" i="13"/>
  <c r="E127" i="13"/>
  <c r="F127" i="13"/>
  <c r="AI127" i="13" s="1"/>
  <c r="G127" i="13"/>
  <c r="AJ127" i="13" s="1"/>
  <c r="H127" i="13"/>
  <c r="I127" i="13"/>
  <c r="AL127" i="13" s="1"/>
  <c r="J127" i="13"/>
  <c r="AM127" i="13" s="1"/>
  <c r="K127" i="13"/>
  <c r="AN127" i="13" s="1"/>
  <c r="L127" i="13"/>
  <c r="M127" i="13"/>
  <c r="N127" i="13"/>
  <c r="AQ127" i="13" s="1"/>
  <c r="O127" i="13"/>
  <c r="AA127" i="13" s="1"/>
  <c r="P127" i="13"/>
  <c r="Q127" i="13"/>
  <c r="V127" i="13"/>
  <c r="W127" i="13"/>
  <c r="X127" i="13"/>
  <c r="AF127" i="13"/>
  <c r="AG127" i="13"/>
  <c r="AH127" i="13"/>
  <c r="AK127" i="13"/>
  <c r="AO127" i="13"/>
  <c r="AP127" i="13"/>
  <c r="T128" i="13"/>
  <c r="AD128" i="13"/>
  <c r="T129" i="13"/>
  <c r="AD129" i="13"/>
  <c r="T130" i="13"/>
  <c r="AD130" i="13"/>
  <c r="T132" i="13"/>
  <c r="AD132" i="13"/>
  <c r="T134" i="13"/>
  <c r="AD134" i="13"/>
  <c r="T135" i="13"/>
  <c r="AD135" i="13"/>
  <c r="T137" i="13"/>
  <c r="AD137" i="13"/>
  <c r="T139" i="13"/>
  <c r="AD139" i="13"/>
  <c r="T140" i="13"/>
  <c r="AD140" i="13"/>
  <c r="T141" i="13"/>
  <c r="AD141" i="13"/>
  <c r="E142" i="13"/>
  <c r="G142" i="13"/>
  <c r="H142" i="13"/>
  <c r="J142" i="13"/>
  <c r="K142" i="13"/>
  <c r="T142" i="13"/>
  <c r="AD142" i="13"/>
  <c r="T143" i="13"/>
  <c r="AD143" i="13"/>
  <c r="L144" i="13"/>
  <c r="T144" i="13"/>
  <c r="AD144" i="13"/>
  <c r="E145" i="13"/>
  <c r="F145" i="13"/>
  <c r="G145" i="13"/>
  <c r="H145" i="13"/>
  <c r="M145" i="13"/>
  <c r="T145" i="13"/>
  <c r="AD145" i="13"/>
  <c r="T147" i="13"/>
  <c r="AD147" i="13"/>
  <c r="T149" i="13"/>
  <c r="AD149" i="13"/>
  <c r="T151" i="13"/>
  <c r="AD151" i="13"/>
  <c r="T152" i="13"/>
  <c r="AD152" i="13"/>
  <c r="T153" i="13"/>
  <c r="AD153" i="13"/>
  <c r="T154" i="13"/>
  <c r="AD154" i="13"/>
  <c r="T156" i="13"/>
  <c r="AD156" i="13"/>
  <c r="T158" i="13"/>
  <c r="AD158" i="13"/>
  <c r="T160" i="13"/>
  <c r="AD160" i="13"/>
  <c r="T161" i="13"/>
  <c r="AD161" i="13"/>
  <c r="F162" i="13"/>
  <c r="G162" i="13"/>
  <c r="H162" i="13"/>
  <c r="I162" i="13"/>
  <c r="J162" i="13"/>
  <c r="K162" i="13"/>
  <c r="L162" i="13"/>
  <c r="N162" i="13"/>
  <c r="T162" i="13"/>
  <c r="AD162" i="13"/>
  <c r="D163" i="13"/>
  <c r="E163" i="13"/>
  <c r="F163" i="13"/>
  <c r="G163" i="13"/>
  <c r="H163" i="13"/>
  <c r="I163" i="13"/>
  <c r="J163" i="13"/>
  <c r="L163" i="13"/>
  <c r="M163" i="13"/>
  <c r="N163" i="13"/>
  <c r="T163" i="13"/>
  <c r="W163" i="13"/>
  <c r="Y163" i="13"/>
  <c r="AD163" i="13"/>
  <c r="C164" i="13"/>
  <c r="D164" i="13"/>
  <c r="E164" i="13"/>
  <c r="F164" i="13"/>
  <c r="G164" i="13"/>
  <c r="H164" i="13"/>
  <c r="J164" i="13"/>
  <c r="K164" i="13"/>
  <c r="L164" i="13"/>
  <c r="M164" i="13"/>
  <c r="N164" i="13"/>
  <c r="T164" i="13"/>
  <c r="AD164" i="13"/>
  <c r="C165" i="13"/>
  <c r="D165" i="13"/>
  <c r="E165" i="13"/>
  <c r="F165" i="13"/>
  <c r="H165" i="13"/>
  <c r="I165" i="13"/>
  <c r="J165" i="13"/>
  <c r="K165" i="13"/>
  <c r="L165" i="13"/>
  <c r="M165" i="13"/>
  <c r="N165" i="13"/>
  <c r="T165" i="13"/>
  <c r="AD165" i="13"/>
  <c r="AF165" i="13"/>
  <c r="T166" i="13"/>
  <c r="AD166" i="13"/>
  <c r="T168" i="13"/>
  <c r="AD168" i="13"/>
  <c r="T170" i="13"/>
  <c r="AD170" i="13"/>
  <c r="T172" i="13"/>
  <c r="AD172" i="13"/>
  <c r="T173" i="13"/>
  <c r="AD173" i="13"/>
  <c r="T175" i="13"/>
  <c r="AD175" i="13"/>
  <c r="T177" i="13"/>
  <c r="AD177" i="13"/>
  <c r="T179" i="13"/>
  <c r="AD179" i="13"/>
  <c r="A182" i="13"/>
  <c r="F182" i="13"/>
  <c r="T182" i="13"/>
  <c r="V182" i="13"/>
  <c r="AD182" i="13"/>
  <c r="AI182" i="13"/>
  <c r="G183" i="13"/>
  <c r="V183" i="13"/>
  <c r="AI183" i="13"/>
  <c r="A184" i="13"/>
  <c r="AD184" i="13" s="1"/>
  <c r="V184" i="13"/>
  <c r="AI184" i="13"/>
  <c r="G185" i="13"/>
  <c r="V185" i="13"/>
  <c r="AI185" i="13"/>
  <c r="A186" i="13"/>
  <c r="B186" i="13"/>
  <c r="T186" i="13"/>
  <c r="U186" i="13"/>
  <c r="AD186" i="13"/>
  <c r="AE186" i="13"/>
  <c r="B187" i="13"/>
  <c r="U187" i="13"/>
  <c r="AE187" i="13"/>
  <c r="C188" i="13"/>
  <c r="D188" i="13"/>
  <c r="E188" i="13"/>
  <c r="F188" i="13"/>
  <c r="G188" i="13"/>
  <c r="H188" i="13"/>
  <c r="I188" i="13"/>
  <c r="J188" i="13"/>
  <c r="K188" i="13"/>
  <c r="L188" i="13"/>
  <c r="M188" i="13"/>
  <c r="N188" i="13"/>
  <c r="O188" i="13"/>
  <c r="P188" i="13"/>
  <c r="Q188" i="13"/>
  <c r="V188" i="13"/>
  <c r="W188" i="13"/>
  <c r="X188" i="13"/>
  <c r="Y188" i="13"/>
  <c r="AA188" i="13"/>
  <c r="AF188" i="13"/>
  <c r="AG188" i="13"/>
  <c r="AH188" i="13"/>
  <c r="AI188" i="13"/>
  <c r="AJ188" i="13"/>
  <c r="AK188" i="13"/>
  <c r="AL188" i="13"/>
  <c r="AM188" i="13"/>
  <c r="AN188" i="13"/>
  <c r="AO188" i="13"/>
  <c r="AP188" i="13"/>
  <c r="AQ188" i="13"/>
  <c r="C189" i="13"/>
  <c r="D189" i="13"/>
  <c r="E189" i="13"/>
  <c r="F189" i="13"/>
  <c r="G189" i="13"/>
  <c r="H189" i="13"/>
  <c r="I189" i="13"/>
  <c r="J189" i="13"/>
  <c r="K189" i="13"/>
  <c r="L189" i="13"/>
  <c r="M189" i="13"/>
  <c r="N189" i="13"/>
  <c r="O189" i="13"/>
  <c r="P189" i="13"/>
  <c r="Q189" i="13"/>
  <c r="V189" i="13"/>
  <c r="W189" i="13"/>
  <c r="X189" i="13"/>
  <c r="AA189" i="13"/>
  <c r="AF189" i="13"/>
  <c r="AG189" i="13"/>
  <c r="AH189" i="13"/>
  <c r="AI189" i="13"/>
  <c r="AJ189" i="13"/>
  <c r="AK189" i="13"/>
  <c r="AL189" i="13"/>
  <c r="AM189" i="13"/>
  <c r="AN189" i="13"/>
  <c r="AO189" i="13"/>
  <c r="AP189" i="13"/>
  <c r="AQ189" i="13"/>
  <c r="T191" i="13"/>
  <c r="AD191" i="13"/>
  <c r="D192" i="13"/>
  <c r="G192" i="13"/>
  <c r="H192" i="13"/>
  <c r="T192" i="13"/>
  <c r="AD192" i="13"/>
  <c r="T194" i="13"/>
  <c r="AD194" i="13"/>
  <c r="T195" i="13"/>
  <c r="AD195" i="13"/>
  <c r="AF195" i="13"/>
  <c r="AG195" i="13"/>
  <c r="AH195" i="13"/>
  <c r="AI195" i="13"/>
  <c r="AJ195" i="13"/>
  <c r="AK195" i="13"/>
  <c r="AL195" i="13"/>
  <c r="AM195" i="13"/>
  <c r="AN195" i="13"/>
  <c r="AO195" i="13"/>
  <c r="AP195" i="13"/>
  <c r="AQ195" i="13"/>
  <c r="T197" i="13"/>
  <c r="AD197" i="13"/>
  <c r="T199" i="13"/>
  <c r="AD199" i="13"/>
  <c r="O200" i="13"/>
  <c r="P200" i="13"/>
  <c r="T200" i="13"/>
  <c r="V200" i="13"/>
  <c r="W200" i="13"/>
  <c r="X200" i="13"/>
  <c r="Y200" i="13"/>
  <c r="AA200" i="13"/>
  <c r="AD200" i="13"/>
  <c r="AF200" i="13"/>
  <c r="AG200" i="13"/>
  <c r="AH200" i="13" s="1"/>
  <c r="AI200" i="13" s="1"/>
  <c r="AJ200" i="13" s="1"/>
  <c r="AK200" i="13" s="1"/>
  <c r="AL200" i="13"/>
  <c r="AM200" i="13" s="1"/>
  <c r="AN200" i="13" s="1"/>
  <c r="AO200" i="13" s="1"/>
  <c r="AP200" i="13" s="1"/>
  <c r="AQ200" i="13" s="1"/>
  <c r="C201" i="13"/>
  <c r="D201" i="13"/>
  <c r="E201" i="13"/>
  <c r="F201" i="13"/>
  <c r="G201" i="13"/>
  <c r="H201" i="13"/>
  <c r="I201" i="13"/>
  <c r="J201" i="13"/>
  <c r="J208" i="13" s="1"/>
  <c r="K201" i="13"/>
  <c r="K208" i="13" s="1"/>
  <c r="L201" i="13"/>
  <c r="M201" i="13"/>
  <c r="N201" i="13"/>
  <c r="P201" i="13"/>
  <c r="T201" i="13"/>
  <c r="X201" i="13"/>
  <c r="AD201" i="13"/>
  <c r="O202" i="13"/>
  <c r="Q202" i="13" s="1"/>
  <c r="P202" i="13"/>
  <c r="T202" i="13"/>
  <c r="V202" i="13"/>
  <c r="W202" i="13"/>
  <c r="X202" i="13"/>
  <c r="Y202" i="13"/>
  <c r="AA202" i="13"/>
  <c r="AD202" i="13"/>
  <c r="AF202" i="13"/>
  <c r="AG202" i="13"/>
  <c r="AH202" i="13" s="1"/>
  <c r="AI202" i="13" s="1"/>
  <c r="AJ202" i="13" s="1"/>
  <c r="AK202" i="13" s="1"/>
  <c r="AL202" i="13"/>
  <c r="AM202" i="13" s="1"/>
  <c r="AN202" i="13" s="1"/>
  <c r="AO202" i="13" s="1"/>
  <c r="AP202" i="13" s="1"/>
  <c r="AQ202" i="13" s="1"/>
  <c r="O203" i="13"/>
  <c r="P203" i="13"/>
  <c r="Q203" i="13"/>
  <c r="T203" i="13"/>
  <c r="V203" i="13"/>
  <c r="W203" i="13"/>
  <c r="AA203" i="13" s="1"/>
  <c r="X203" i="13"/>
  <c r="Y203" i="13"/>
  <c r="AD203" i="13"/>
  <c r="AF203" i="13"/>
  <c r="AG203" i="13" s="1"/>
  <c r="AH203" i="13" s="1"/>
  <c r="AI203" i="13" s="1"/>
  <c r="AJ203" i="13" s="1"/>
  <c r="AK203" i="13" s="1"/>
  <c r="AL203" i="13" s="1"/>
  <c r="AM203" i="13" s="1"/>
  <c r="AN203" i="13" s="1"/>
  <c r="AO203" i="13" s="1"/>
  <c r="AP203" i="13" s="1"/>
  <c r="AQ203" i="13" s="1"/>
  <c r="O204" i="13"/>
  <c r="P204" i="13"/>
  <c r="Q204" i="13" s="1"/>
  <c r="T204" i="13"/>
  <c r="V204" i="13"/>
  <c r="AA204" i="13" s="1"/>
  <c r="W204" i="13"/>
  <c r="X204" i="13"/>
  <c r="Y204" i="13"/>
  <c r="AD204" i="13"/>
  <c r="AF204" i="13"/>
  <c r="AG204" i="13" s="1"/>
  <c r="AH204" i="13"/>
  <c r="AI204" i="13" s="1"/>
  <c r="AJ204" i="13" s="1"/>
  <c r="AK204" i="13" s="1"/>
  <c r="AL204" i="13" s="1"/>
  <c r="AM204" i="13" s="1"/>
  <c r="AN204" i="13" s="1"/>
  <c r="AO204" i="13" s="1"/>
  <c r="AP204" i="13" s="1"/>
  <c r="AQ204" i="13" s="1"/>
  <c r="O205" i="13"/>
  <c r="Q205" i="13" s="1"/>
  <c r="P205" i="13"/>
  <c r="T205" i="13"/>
  <c r="V205" i="13"/>
  <c r="W205" i="13"/>
  <c r="X205" i="13"/>
  <c r="Y205" i="13"/>
  <c r="AD205" i="13"/>
  <c r="O206" i="13"/>
  <c r="P206" i="13"/>
  <c r="Q206" i="13" s="1"/>
  <c r="T206" i="13"/>
  <c r="V206" i="13"/>
  <c r="W206" i="13"/>
  <c r="X206" i="13"/>
  <c r="Y206" i="13"/>
  <c r="AD206" i="13"/>
  <c r="AF206" i="13"/>
  <c r="AG206" i="13" s="1"/>
  <c r="AH206" i="13" s="1"/>
  <c r="AI206" i="13" s="1"/>
  <c r="AJ206" i="13" s="1"/>
  <c r="AK206" i="13" s="1"/>
  <c r="AL206" i="13" s="1"/>
  <c r="AM206" i="13" s="1"/>
  <c r="AN206" i="13" s="1"/>
  <c r="AO206" i="13" s="1"/>
  <c r="AP206" i="13" s="1"/>
  <c r="AQ206" i="13" s="1"/>
  <c r="D208" i="13"/>
  <c r="F208" i="13"/>
  <c r="G208" i="13"/>
  <c r="I208" i="13"/>
  <c r="L208" i="13"/>
  <c r="N208" i="13"/>
  <c r="T208" i="13"/>
  <c r="AD208" i="13"/>
  <c r="T210" i="13"/>
  <c r="AD210" i="13"/>
  <c r="T212" i="13"/>
  <c r="AD212" i="13"/>
  <c r="O213" i="13"/>
  <c r="P213" i="13"/>
  <c r="T213" i="13"/>
  <c r="V213" i="13"/>
  <c r="W213" i="13"/>
  <c r="X213" i="13"/>
  <c r="Y213" i="13"/>
  <c r="AA213" i="13"/>
  <c r="AD213" i="13"/>
  <c r="AF213" i="13"/>
  <c r="AG213" i="13"/>
  <c r="AH213" i="13" s="1"/>
  <c r="AI213" i="13" s="1"/>
  <c r="AJ213" i="13" s="1"/>
  <c r="AK213" i="13" s="1"/>
  <c r="AL213" i="13" s="1"/>
  <c r="AM213" i="13" s="1"/>
  <c r="AN213" i="13" s="1"/>
  <c r="AO213" i="13" s="1"/>
  <c r="AP213" i="13" s="1"/>
  <c r="AQ213" i="13" s="1"/>
  <c r="O214" i="13"/>
  <c r="P214" i="13"/>
  <c r="Q214" i="13"/>
  <c r="T214" i="13"/>
  <c r="V214" i="13"/>
  <c r="W214" i="13"/>
  <c r="AA214" i="13" s="1"/>
  <c r="X214" i="13"/>
  <c r="Y214" i="13"/>
  <c r="AD214" i="13"/>
  <c r="AF214" i="13"/>
  <c r="AG214" i="13" s="1"/>
  <c r="AH214" i="13" s="1"/>
  <c r="AI214" i="13" s="1"/>
  <c r="AJ214" i="13" s="1"/>
  <c r="AK214" i="13" s="1"/>
  <c r="AL214" i="13" s="1"/>
  <c r="AM214" i="13" s="1"/>
  <c r="AN214" i="13" s="1"/>
  <c r="AO214" i="13" s="1"/>
  <c r="AP214" i="13" s="1"/>
  <c r="AQ214" i="13" s="1"/>
  <c r="O215" i="13"/>
  <c r="P215" i="13"/>
  <c r="Q215" i="13" s="1"/>
  <c r="T215" i="13"/>
  <c r="V215" i="13"/>
  <c r="W215" i="13"/>
  <c r="X215" i="13"/>
  <c r="Y215" i="13"/>
  <c r="AD215" i="13"/>
  <c r="AF215" i="13"/>
  <c r="AG215" i="13" s="1"/>
  <c r="AH215" i="13" s="1"/>
  <c r="AI215" i="13" s="1"/>
  <c r="AJ215" i="13" s="1"/>
  <c r="AK215" i="13" s="1"/>
  <c r="AL215" i="13" s="1"/>
  <c r="AM215" i="13" s="1"/>
  <c r="AN215" i="13" s="1"/>
  <c r="AO215" i="13" s="1"/>
  <c r="AP215" i="13" s="1"/>
  <c r="AQ215" i="13" s="1"/>
  <c r="O216" i="13"/>
  <c r="Q216" i="13" s="1"/>
  <c r="P216" i="13"/>
  <c r="P218" i="13" s="1"/>
  <c r="T216" i="13"/>
  <c r="V216" i="13"/>
  <c r="AA216" i="13" s="1"/>
  <c r="W216" i="13"/>
  <c r="X216" i="13"/>
  <c r="Y216" i="13"/>
  <c r="AD216" i="13"/>
  <c r="AF216" i="13"/>
  <c r="AG216" i="13"/>
  <c r="AH216" i="13" s="1"/>
  <c r="AI216" i="13" s="1"/>
  <c r="AJ216" i="13"/>
  <c r="AK216" i="13" s="1"/>
  <c r="AL216" i="13" s="1"/>
  <c r="AM216" i="13" s="1"/>
  <c r="AN216" i="13" s="1"/>
  <c r="AO216" i="13" s="1"/>
  <c r="AP216" i="13" s="1"/>
  <c r="AQ216" i="13" s="1"/>
  <c r="C218" i="13"/>
  <c r="V218" i="13" s="1"/>
  <c r="D218" i="13"/>
  <c r="E218" i="13"/>
  <c r="E192" i="13" s="1"/>
  <c r="F218" i="13"/>
  <c r="G218" i="13"/>
  <c r="H218" i="13"/>
  <c r="I218" i="13"/>
  <c r="X218" i="13" s="1"/>
  <c r="J218" i="13"/>
  <c r="J192" i="13" s="1"/>
  <c r="K218" i="13"/>
  <c r="L218" i="13"/>
  <c r="L192" i="13" s="1"/>
  <c r="M218" i="13"/>
  <c r="M192" i="13" s="1"/>
  <c r="N218" i="13"/>
  <c r="T218" i="13"/>
  <c r="Y218" i="13"/>
  <c r="AD218" i="13"/>
  <c r="A1" i="12"/>
  <c r="A3" i="12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B4" i="12"/>
  <c r="O4" i="12"/>
  <c r="P4" i="12"/>
  <c r="Q4" i="12"/>
  <c r="O14" i="12"/>
  <c r="P14" i="12"/>
  <c r="Q14" i="12"/>
  <c r="C15" i="12"/>
  <c r="C384" i="20" s="1"/>
  <c r="D15" i="12"/>
  <c r="D384" i="20" s="1"/>
  <c r="E15" i="12"/>
  <c r="E384" i="20" s="1"/>
  <c r="F15" i="12"/>
  <c r="F384" i="20" s="1"/>
  <c r="G15" i="12"/>
  <c r="G384" i="20" s="1"/>
  <c r="H15" i="12"/>
  <c r="H384" i="20" s="1"/>
  <c r="I15" i="12"/>
  <c r="I384" i="20" s="1"/>
  <c r="J15" i="12"/>
  <c r="K15" i="12"/>
  <c r="K384" i="20" s="1"/>
  <c r="L15" i="12"/>
  <c r="L384" i="20" s="1"/>
  <c r="X384" i="20" s="1"/>
  <c r="M15" i="12"/>
  <c r="M384" i="20" s="1"/>
  <c r="N15" i="12"/>
  <c r="N384" i="20" s="1"/>
  <c r="O16" i="12"/>
  <c r="Q16" i="12" s="1"/>
  <c r="P16" i="12"/>
  <c r="K17" i="12"/>
  <c r="K386" i="20" s="1"/>
  <c r="W386" i="20" s="1"/>
  <c r="P17" i="12"/>
  <c r="O18" i="12"/>
  <c r="Q18" i="12" s="1"/>
  <c r="P18" i="12"/>
  <c r="O19" i="12"/>
  <c r="Q19" i="12" s="1"/>
  <c r="P19" i="12"/>
  <c r="O24" i="12"/>
  <c r="P24" i="12"/>
  <c r="C25" i="12"/>
  <c r="D25" i="12"/>
  <c r="E25" i="12"/>
  <c r="O26" i="12"/>
  <c r="Q26" i="12" s="1"/>
  <c r="P26" i="12"/>
  <c r="O27" i="12"/>
  <c r="Q27" i="12" s="1"/>
  <c r="P27" i="12"/>
  <c r="O28" i="12"/>
  <c r="P28" i="12"/>
  <c r="Q28" i="12"/>
  <c r="O29" i="12"/>
  <c r="P29" i="12"/>
  <c r="Q29" i="12"/>
  <c r="O30" i="12"/>
  <c r="P30" i="12"/>
  <c r="Q30" i="12" s="1"/>
  <c r="E32" i="12"/>
  <c r="F32" i="12"/>
  <c r="G32" i="12"/>
  <c r="H32" i="12"/>
  <c r="I32" i="12"/>
  <c r="J32" i="12"/>
  <c r="K32" i="12"/>
  <c r="L32" i="12"/>
  <c r="M32" i="12"/>
  <c r="N32" i="12"/>
  <c r="C35" i="12"/>
  <c r="D35" i="12"/>
  <c r="D39" i="12" s="1"/>
  <c r="E35" i="12"/>
  <c r="F35" i="12"/>
  <c r="G35" i="12"/>
  <c r="H35" i="12"/>
  <c r="I35" i="12"/>
  <c r="J35" i="12"/>
  <c r="K35" i="12"/>
  <c r="L35" i="12"/>
  <c r="L39" i="12" s="1"/>
  <c r="M35" i="12"/>
  <c r="N35" i="12"/>
  <c r="P35" i="12"/>
  <c r="O36" i="12"/>
  <c r="Q36" i="12" s="1"/>
  <c r="P36" i="12"/>
  <c r="O37" i="12"/>
  <c r="Q37" i="12" s="1"/>
  <c r="P37" i="12"/>
  <c r="C39" i="12"/>
  <c r="F39" i="12"/>
  <c r="F397" i="20" s="1"/>
  <c r="H39" i="12"/>
  <c r="I39" i="12"/>
  <c r="K39" i="12"/>
  <c r="N39" i="12"/>
  <c r="P39" i="12"/>
  <c r="C42" i="12"/>
  <c r="R158" i="14" s="1"/>
  <c r="R161" i="14" s="1"/>
  <c r="R47" i="14" s="1"/>
  <c r="D42" i="12"/>
  <c r="E42" i="12"/>
  <c r="T158" i="14" s="1"/>
  <c r="F42" i="12"/>
  <c r="U158" i="14" s="1"/>
  <c r="U161" i="14" s="1"/>
  <c r="U47" i="14" s="1"/>
  <c r="G42" i="12"/>
  <c r="V158" i="14" s="1"/>
  <c r="V161" i="14" s="1"/>
  <c r="V47" i="14" s="1"/>
  <c r="H42" i="12"/>
  <c r="W158" i="14" s="1"/>
  <c r="I42" i="12"/>
  <c r="X158" i="14" s="1"/>
  <c r="X161" i="14" s="1"/>
  <c r="X47" i="14" s="1"/>
  <c r="J42" i="12"/>
  <c r="Y158" i="14" s="1"/>
  <c r="K42" i="12"/>
  <c r="Z158" i="14" s="1"/>
  <c r="Z161" i="14" s="1"/>
  <c r="Z47" i="14" s="1"/>
  <c r="L42" i="12"/>
  <c r="M42" i="12"/>
  <c r="AB158" i="14" s="1"/>
  <c r="N42" i="12"/>
  <c r="AC158" i="14" s="1"/>
  <c r="AC161" i="14" s="1"/>
  <c r="AC47" i="14" s="1"/>
  <c r="C43" i="12"/>
  <c r="R159" i="14" s="1"/>
  <c r="D43" i="12"/>
  <c r="S159" i="14" s="1"/>
  <c r="E43" i="12"/>
  <c r="F43" i="12"/>
  <c r="U159" i="14" s="1"/>
  <c r="G43" i="12"/>
  <c r="V159" i="14" s="1"/>
  <c r="H43" i="12"/>
  <c r="W159" i="14" s="1"/>
  <c r="I43" i="12"/>
  <c r="X159" i="14" s="1"/>
  <c r="J43" i="12"/>
  <c r="K43" i="12"/>
  <c r="Z159" i="14" s="1"/>
  <c r="L43" i="12"/>
  <c r="AA159" i="14" s="1"/>
  <c r="M43" i="12"/>
  <c r="N43" i="12"/>
  <c r="AC159" i="14" s="1"/>
  <c r="C44" i="12"/>
  <c r="D44" i="12"/>
  <c r="E44" i="12"/>
  <c r="F44" i="12"/>
  <c r="G44" i="12"/>
  <c r="H44" i="12"/>
  <c r="I44" i="12"/>
  <c r="J44" i="12"/>
  <c r="K44" i="12"/>
  <c r="L44" i="12"/>
  <c r="M44" i="12"/>
  <c r="N44" i="12"/>
  <c r="C45" i="12"/>
  <c r="R137" i="14" s="1"/>
  <c r="D45" i="12"/>
  <c r="S137" i="14" s="1"/>
  <c r="E45" i="12"/>
  <c r="T137" i="14" s="1"/>
  <c r="F45" i="12"/>
  <c r="U137" i="14" s="1"/>
  <c r="G45" i="12"/>
  <c r="V137" i="14" s="1"/>
  <c r="H45" i="12"/>
  <c r="W137" i="14" s="1"/>
  <c r="I45" i="12"/>
  <c r="X137" i="14" s="1"/>
  <c r="J45" i="12"/>
  <c r="Y137" i="14" s="1"/>
  <c r="K45" i="12"/>
  <c r="Z137" i="14" s="1"/>
  <c r="L45" i="12"/>
  <c r="AA137" i="14" s="1"/>
  <c r="M45" i="12"/>
  <c r="AB137" i="14" s="1"/>
  <c r="N45" i="12"/>
  <c r="AC137" i="14" s="1"/>
  <c r="O45" i="12"/>
  <c r="C46" i="12"/>
  <c r="D46" i="12"/>
  <c r="E46" i="12"/>
  <c r="F46" i="12"/>
  <c r="G46" i="12"/>
  <c r="V138" i="14" s="1"/>
  <c r="H46" i="12"/>
  <c r="W138" i="14" s="1"/>
  <c r="I46" i="12"/>
  <c r="J46" i="12"/>
  <c r="Y138" i="14" s="1"/>
  <c r="K46" i="12"/>
  <c r="L46" i="12"/>
  <c r="M46" i="12"/>
  <c r="AB138" i="14" s="1"/>
  <c r="N46" i="12"/>
  <c r="P46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C48" i="12"/>
  <c r="D48" i="12"/>
  <c r="P48" i="12" s="1"/>
  <c r="E48" i="12"/>
  <c r="F48" i="12"/>
  <c r="G48" i="12"/>
  <c r="H48" i="12"/>
  <c r="I48" i="12"/>
  <c r="J48" i="12"/>
  <c r="O48" i="12" s="1"/>
  <c r="Q48" i="12" s="1"/>
  <c r="K48" i="12"/>
  <c r="L48" i="12"/>
  <c r="M48" i="12"/>
  <c r="N48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C51" i="12"/>
  <c r="P51" i="12" s="1"/>
  <c r="D51" i="12"/>
  <c r="E51" i="12"/>
  <c r="F51" i="12"/>
  <c r="G51" i="12"/>
  <c r="H51" i="12"/>
  <c r="I51" i="12"/>
  <c r="J51" i="12"/>
  <c r="K51" i="12"/>
  <c r="L51" i="12"/>
  <c r="M51" i="12"/>
  <c r="N51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3" i="12"/>
  <c r="P53" i="12"/>
  <c r="Q53" i="12" s="1"/>
  <c r="I55" i="12"/>
  <c r="A1" i="6"/>
  <c r="A3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B4" i="6"/>
  <c r="O4" i="6"/>
  <c r="P4" i="6"/>
  <c r="Q4" i="6"/>
  <c r="C7" i="6"/>
  <c r="D7" i="6"/>
  <c r="E7" i="6"/>
  <c r="F7" i="6"/>
  <c r="G7" i="6"/>
  <c r="H7" i="6"/>
  <c r="I7" i="6"/>
  <c r="J7" i="6"/>
  <c r="U7" i="6" s="1"/>
  <c r="K7" i="6"/>
  <c r="L7" i="6"/>
  <c r="M7" i="6"/>
  <c r="N7" i="6"/>
  <c r="P7" i="6"/>
  <c r="V7" i="6"/>
  <c r="O8" i="6"/>
  <c r="P8" i="6"/>
  <c r="S8" i="6"/>
  <c r="X8" i="6" s="1"/>
  <c r="T8" i="6"/>
  <c r="U8" i="6"/>
  <c r="V8" i="6"/>
  <c r="C9" i="6"/>
  <c r="D9" i="6"/>
  <c r="E9" i="6"/>
  <c r="F9" i="6"/>
  <c r="G9" i="6"/>
  <c r="H9" i="6"/>
  <c r="I9" i="6"/>
  <c r="J9" i="6"/>
  <c r="K9" i="6"/>
  <c r="L9" i="6"/>
  <c r="V9" i="6" s="1"/>
  <c r="M9" i="6"/>
  <c r="N9" i="6"/>
  <c r="N29" i="6" s="1"/>
  <c r="O10" i="6"/>
  <c r="P10" i="6"/>
  <c r="Q10" i="6"/>
  <c r="S10" i="6"/>
  <c r="T10" i="6"/>
  <c r="U10" i="6"/>
  <c r="X10" i="6" s="1"/>
  <c r="V10" i="6"/>
  <c r="C11" i="6"/>
  <c r="D11" i="6"/>
  <c r="E11" i="6"/>
  <c r="F11" i="6"/>
  <c r="T11" i="6" s="1"/>
  <c r="G11" i="6"/>
  <c r="H11" i="6"/>
  <c r="I11" i="6"/>
  <c r="J11" i="6"/>
  <c r="U11" i="6" s="1"/>
  <c r="K11" i="6"/>
  <c r="L11" i="6"/>
  <c r="M11" i="6"/>
  <c r="N11" i="6"/>
  <c r="P11" i="6"/>
  <c r="V11" i="6"/>
  <c r="O12" i="6"/>
  <c r="P12" i="6"/>
  <c r="S12" i="6"/>
  <c r="X12" i="6" s="1"/>
  <c r="T12" i="6"/>
  <c r="U12" i="6"/>
  <c r="V12" i="6"/>
  <c r="O13" i="6"/>
  <c r="Q13" i="6" s="1"/>
  <c r="P13" i="6"/>
  <c r="S13" i="6"/>
  <c r="X13" i="6" s="1"/>
  <c r="T13" i="6"/>
  <c r="U13" i="6"/>
  <c r="V13" i="6"/>
  <c r="O14" i="6"/>
  <c r="P14" i="6"/>
  <c r="S14" i="6"/>
  <c r="T14" i="6"/>
  <c r="U14" i="6"/>
  <c r="V14" i="6"/>
  <c r="C15" i="6"/>
  <c r="D15" i="6"/>
  <c r="S15" i="6" s="1"/>
  <c r="E15" i="6"/>
  <c r="F15" i="6"/>
  <c r="T15" i="6" s="1"/>
  <c r="G15" i="6"/>
  <c r="H15" i="6"/>
  <c r="I15" i="6"/>
  <c r="U15" i="6" s="1"/>
  <c r="J15" i="6"/>
  <c r="K15" i="6"/>
  <c r="L15" i="6"/>
  <c r="V15" i="6" s="1"/>
  <c r="N15" i="6"/>
  <c r="O16" i="6"/>
  <c r="P16" i="6"/>
  <c r="Q16" i="6"/>
  <c r="S16" i="6"/>
  <c r="T16" i="6"/>
  <c r="U16" i="6"/>
  <c r="X16" i="6" s="1"/>
  <c r="V16" i="6"/>
  <c r="O17" i="6"/>
  <c r="P17" i="6"/>
  <c r="Q17" i="6"/>
  <c r="S17" i="6"/>
  <c r="T17" i="6"/>
  <c r="U17" i="6"/>
  <c r="X17" i="6" s="1"/>
  <c r="V17" i="6"/>
  <c r="O18" i="6"/>
  <c r="P18" i="6"/>
  <c r="Q18" i="6"/>
  <c r="S18" i="6"/>
  <c r="T18" i="6"/>
  <c r="U18" i="6"/>
  <c r="X18" i="6" s="1"/>
  <c r="V18" i="6"/>
  <c r="M19" i="6"/>
  <c r="M15" i="6" s="1"/>
  <c r="N19" i="6"/>
  <c r="O19" i="6"/>
  <c r="Q19" i="6" s="1"/>
  <c r="P19" i="6"/>
  <c r="S19" i="6"/>
  <c r="X19" i="6" s="1"/>
  <c r="T19" i="6"/>
  <c r="U19" i="6"/>
  <c r="V19" i="6"/>
  <c r="C20" i="6"/>
  <c r="D20" i="6"/>
  <c r="E20" i="6"/>
  <c r="F20" i="6"/>
  <c r="T20" i="6" s="1"/>
  <c r="G20" i="6"/>
  <c r="H20" i="6"/>
  <c r="I20" i="6"/>
  <c r="J20" i="6"/>
  <c r="K20" i="6"/>
  <c r="U20" i="6" s="1"/>
  <c r="L20" i="6"/>
  <c r="M20" i="6"/>
  <c r="N20" i="6"/>
  <c r="V20" i="6" s="1"/>
  <c r="P20" i="6"/>
  <c r="E21" i="6"/>
  <c r="G21" i="6"/>
  <c r="H21" i="6"/>
  <c r="I21" i="6"/>
  <c r="J21" i="6"/>
  <c r="K21" i="6"/>
  <c r="M21" i="6"/>
  <c r="N21" i="6"/>
  <c r="U21" i="6"/>
  <c r="O22" i="6"/>
  <c r="Q22" i="6" s="1"/>
  <c r="P22" i="6"/>
  <c r="S22" i="6"/>
  <c r="X22" i="6" s="1"/>
  <c r="T22" i="6"/>
  <c r="U22" i="6"/>
  <c r="V22" i="6"/>
  <c r="H24" i="6"/>
  <c r="I24" i="6"/>
  <c r="U24" i="6" s="1"/>
  <c r="J24" i="6"/>
  <c r="K24" i="6"/>
  <c r="L24" i="6"/>
  <c r="M24" i="6"/>
  <c r="N24" i="6"/>
  <c r="P24" i="6"/>
  <c r="S24" i="6"/>
  <c r="T24" i="6"/>
  <c r="V24" i="6"/>
  <c r="C25" i="6"/>
  <c r="D25" i="6"/>
  <c r="S25" i="6" s="1"/>
  <c r="E25" i="6"/>
  <c r="F25" i="6"/>
  <c r="G25" i="6"/>
  <c r="H25" i="6"/>
  <c r="I25" i="6"/>
  <c r="J25" i="6"/>
  <c r="K25" i="6"/>
  <c r="L25" i="6"/>
  <c r="V25" i="6" s="1"/>
  <c r="M25" i="6"/>
  <c r="N25" i="6"/>
  <c r="O26" i="6"/>
  <c r="Q26" i="6" s="1"/>
  <c r="P26" i="6"/>
  <c r="S26" i="6"/>
  <c r="T26" i="6"/>
  <c r="U26" i="6"/>
  <c r="X26" i="6" s="1"/>
  <c r="V26" i="6"/>
  <c r="O27" i="6"/>
  <c r="Q27" i="6" s="1"/>
  <c r="P27" i="6"/>
  <c r="S27" i="6"/>
  <c r="T27" i="6"/>
  <c r="U27" i="6"/>
  <c r="X27" i="6" s="1"/>
  <c r="V27" i="6"/>
  <c r="E29" i="6"/>
  <c r="H29" i="6"/>
  <c r="K29" i="6"/>
  <c r="M29" i="6"/>
  <c r="C32" i="6"/>
  <c r="D32" i="6"/>
  <c r="E32" i="6"/>
  <c r="F32" i="6"/>
  <c r="T32" i="6" s="1"/>
  <c r="G32" i="6"/>
  <c r="H32" i="6"/>
  <c r="I32" i="6"/>
  <c r="J32" i="6"/>
  <c r="K32" i="6"/>
  <c r="U32" i="6" s="1"/>
  <c r="L32" i="6"/>
  <c r="M32" i="6"/>
  <c r="N32" i="6"/>
  <c r="V32" i="6" s="1"/>
  <c r="P32" i="6"/>
  <c r="C33" i="6"/>
  <c r="D33" i="6"/>
  <c r="P33" i="6" s="1"/>
  <c r="E33" i="6"/>
  <c r="F33" i="6"/>
  <c r="T33" i="6" s="1"/>
  <c r="G33" i="6"/>
  <c r="H33" i="6"/>
  <c r="I33" i="6"/>
  <c r="I39" i="6" s="1"/>
  <c r="J33" i="6"/>
  <c r="J39" i="6" s="1"/>
  <c r="K33" i="6"/>
  <c r="L33" i="6"/>
  <c r="V33" i="6" s="1"/>
  <c r="M33" i="6"/>
  <c r="N33" i="6"/>
  <c r="O33" i="6"/>
  <c r="Q33" i="6" s="1"/>
  <c r="S33" i="6"/>
  <c r="C34" i="6"/>
  <c r="D34" i="6"/>
  <c r="E34" i="6"/>
  <c r="F34" i="6"/>
  <c r="T34" i="6" s="1"/>
  <c r="G34" i="6"/>
  <c r="H34" i="6"/>
  <c r="I34" i="6"/>
  <c r="J34" i="6"/>
  <c r="K34" i="6"/>
  <c r="L34" i="6"/>
  <c r="M34" i="6"/>
  <c r="N34" i="6"/>
  <c r="N39" i="6" s="1"/>
  <c r="P34" i="6"/>
  <c r="U34" i="6"/>
  <c r="C35" i="6"/>
  <c r="D35" i="6"/>
  <c r="P35" i="6" s="1"/>
  <c r="E35" i="6"/>
  <c r="F35" i="6"/>
  <c r="G35" i="6"/>
  <c r="H35" i="6"/>
  <c r="I35" i="6"/>
  <c r="J35" i="6"/>
  <c r="K35" i="6"/>
  <c r="L35" i="6"/>
  <c r="V35" i="6" s="1"/>
  <c r="M35" i="6"/>
  <c r="N35" i="6"/>
  <c r="O35" i="6"/>
  <c r="Q35" i="6" s="1"/>
  <c r="U35" i="6"/>
  <c r="C36" i="6"/>
  <c r="D36" i="6"/>
  <c r="E36" i="6"/>
  <c r="F36" i="6"/>
  <c r="T36" i="6" s="1"/>
  <c r="G36" i="6"/>
  <c r="H36" i="6"/>
  <c r="I36" i="6"/>
  <c r="J36" i="6"/>
  <c r="K36" i="6"/>
  <c r="L36" i="6"/>
  <c r="M36" i="6"/>
  <c r="N36" i="6"/>
  <c r="P36" i="6"/>
  <c r="U36" i="6"/>
  <c r="C37" i="6"/>
  <c r="D37" i="6"/>
  <c r="P37" i="6" s="1"/>
  <c r="E37" i="6"/>
  <c r="F37" i="6"/>
  <c r="G37" i="6"/>
  <c r="H37" i="6"/>
  <c r="I37" i="6"/>
  <c r="J37" i="6"/>
  <c r="K37" i="6"/>
  <c r="L37" i="6"/>
  <c r="V37" i="6" s="1"/>
  <c r="M37" i="6"/>
  <c r="N37" i="6"/>
  <c r="O37" i="6"/>
  <c r="Q37" i="6" s="1"/>
  <c r="U37" i="6"/>
  <c r="C39" i="6"/>
  <c r="D39" i="6"/>
  <c r="E39" i="6"/>
  <c r="F39" i="6"/>
  <c r="H39" i="6"/>
  <c r="K39" i="6"/>
  <c r="M39" i="6"/>
  <c r="D42" i="6"/>
  <c r="D46" i="6" s="1"/>
  <c r="D48" i="6" s="1"/>
  <c r="G42" i="6"/>
  <c r="G46" i="6" s="1"/>
  <c r="L42" i="6"/>
  <c r="C43" i="6"/>
  <c r="P43" i="6" s="1"/>
  <c r="D43" i="6"/>
  <c r="E43" i="6"/>
  <c r="E42" i="6" s="1"/>
  <c r="E46" i="6" s="1"/>
  <c r="E48" i="6" s="1"/>
  <c r="F43" i="6"/>
  <c r="F42" i="6" s="1"/>
  <c r="G43" i="6"/>
  <c r="H43" i="6"/>
  <c r="H42" i="6" s="1"/>
  <c r="H46" i="6" s="1"/>
  <c r="H48" i="6" s="1"/>
  <c r="H50" i="6" s="1"/>
  <c r="I43" i="6"/>
  <c r="J43" i="6"/>
  <c r="K43" i="6"/>
  <c r="K42" i="6" s="1"/>
  <c r="K46" i="6" s="1"/>
  <c r="K48" i="6" s="1"/>
  <c r="K50" i="6" s="1"/>
  <c r="L43" i="6"/>
  <c r="M43" i="6"/>
  <c r="M42" i="6" s="1"/>
  <c r="M46" i="6" s="1"/>
  <c r="M48" i="6" s="1"/>
  <c r="M50" i="6" s="1"/>
  <c r="N43" i="6"/>
  <c r="N42" i="6" s="1"/>
  <c r="T43" i="6"/>
  <c r="U43" i="6"/>
  <c r="C44" i="6"/>
  <c r="D44" i="6"/>
  <c r="E44" i="6"/>
  <c r="F44" i="6"/>
  <c r="G44" i="6"/>
  <c r="H44" i="6"/>
  <c r="O44" i="6" s="1"/>
  <c r="I44" i="6"/>
  <c r="I42" i="6" s="1"/>
  <c r="J44" i="6"/>
  <c r="J42" i="6" s="1"/>
  <c r="J46" i="6" s="1"/>
  <c r="K44" i="6"/>
  <c r="L44" i="6"/>
  <c r="V44" i="6" s="1"/>
  <c r="M44" i="6"/>
  <c r="N44" i="6"/>
  <c r="P44" i="6"/>
  <c r="S44" i="6"/>
  <c r="U44" i="6"/>
  <c r="L46" i="6"/>
  <c r="N46" i="6"/>
  <c r="J48" i="6"/>
  <c r="O52" i="6"/>
  <c r="Q52" i="6" s="1"/>
  <c r="P52" i="6"/>
  <c r="S52" i="6"/>
  <c r="T52" i="6"/>
  <c r="U52" i="6"/>
  <c r="V52" i="6"/>
  <c r="A1" i="11"/>
  <c r="A3" i="11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B4" i="11"/>
  <c r="O4" i="11"/>
  <c r="P4" i="11"/>
  <c r="Q4" i="11"/>
  <c r="C7" i="11"/>
  <c r="P7" i="11" s="1"/>
  <c r="P12" i="11" s="1"/>
  <c r="D7" i="11"/>
  <c r="E7" i="11"/>
  <c r="F7" i="11"/>
  <c r="G7" i="11"/>
  <c r="H7" i="11"/>
  <c r="I7" i="11"/>
  <c r="I12" i="11" s="1"/>
  <c r="J7" i="11"/>
  <c r="K7" i="11"/>
  <c r="L7" i="11"/>
  <c r="L12" i="11" s="1"/>
  <c r="M7" i="11"/>
  <c r="N7" i="11"/>
  <c r="O8" i="11"/>
  <c r="P8" i="11"/>
  <c r="Q8" i="11"/>
  <c r="O9" i="11"/>
  <c r="Q9" i="11" s="1"/>
  <c r="P9" i="11"/>
  <c r="O10" i="11"/>
  <c r="P10" i="11"/>
  <c r="Q10" i="11" s="1"/>
  <c r="C12" i="11"/>
  <c r="E12" i="11"/>
  <c r="F12" i="11"/>
  <c r="G12" i="11"/>
  <c r="H12" i="11"/>
  <c r="J12" i="11"/>
  <c r="K12" i="11"/>
  <c r="M12" i="11"/>
  <c r="N12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P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C21" i="11"/>
  <c r="P21" i="11" s="1"/>
  <c r="D21" i="11"/>
  <c r="E21" i="11"/>
  <c r="F21" i="11"/>
  <c r="G21" i="11"/>
  <c r="H21" i="11"/>
  <c r="I21" i="11"/>
  <c r="J21" i="11"/>
  <c r="K21" i="11"/>
  <c r="L21" i="11"/>
  <c r="M21" i="11"/>
  <c r="N21" i="11"/>
  <c r="O22" i="11"/>
  <c r="P22" i="11"/>
  <c r="Q22" i="11" s="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C29" i="11"/>
  <c r="P29" i="11" s="1"/>
  <c r="D29" i="11"/>
  <c r="E29" i="11"/>
  <c r="F29" i="11"/>
  <c r="G45" i="15" s="1"/>
  <c r="G29" i="11"/>
  <c r="H29" i="11"/>
  <c r="I29" i="11"/>
  <c r="J29" i="11"/>
  <c r="K29" i="11"/>
  <c r="L29" i="11"/>
  <c r="M29" i="11"/>
  <c r="N29" i="11"/>
  <c r="O45" i="15" s="1"/>
  <c r="C30" i="11"/>
  <c r="R18" i="14" s="1"/>
  <c r="D30" i="11"/>
  <c r="S18" i="14" s="1"/>
  <c r="E30" i="11"/>
  <c r="T18" i="14" s="1"/>
  <c r="F30" i="11"/>
  <c r="U18" i="14" s="1"/>
  <c r="G30" i="11"/>
  <c r="V18" i="14" s="1"/>
  <c r="H30" i="11"/>
  <c r="W18" i="14" s="1"/>
  <c r="I30" i="11"/>
  <c r="X18" i="14" s="1"/>
  <c r="J30" i="11"/>
  <c r="Y18" i="14" s="1"/>
  <c r="K30" i="11"/>
  <c r="Z18" i="14" s="1"/>
  <c r="L30" i="11"/>
  <c r="AA18" i="14" s="1"/>
  <c r="M30" i="11"/>
  <c r="AB18" i="14" s="1"/>
  <c r="N30" i="11"/>
  <c r="AC18" i="14" s="1"/>
  <c r="O30" i="11"/>
  <c r="Q30" i="11" s="1"/>
  <c r="P30" i="11"/>
  <c r="C31" i="11"/>
  <c r="D31" i="11"/>
  <c r="E31" i="11"/>
  <c r="F31" i="11"/>
  <c r="U43" i="14" s="1"/>
  <c r="G31" i="11"/>
  <c r="V43" i="14" s="1"/>
  <c r="H31" i="11"/>
  <c r="I31" i="11"/>
  <c r="J31" i="11"/>
  <c r="K31" i="11"/>
  <c r="L31" i="11"/>
  <c r="M31" i="11"/>
  <c r="N31" i="11"/>
  <c r="AC43" i="14" s="1"/>
  <c r="C32" i="11"/>
  <c r="D32" i="11"/>
  <c r="O32" i="11" s="1"/>
  <c r="E32" i="11"/>
  <c r="F32" i="11"/>
  <c r="G32" i="11"/>
  <c r="H32" i="11"/>
  <c r="I32" i="11"/>
  <c r="J32" i="11"/>
  <c r="K32" i="11"/>
  <c r="L32" i="11"/>
  <c r="M32" i="11"/>
  <c r="N32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C35" i="11"/>
  <c r="P35" i="11" s="1"/>
  <c r="D35" i="11"/>
  <c r="E35" i="11"/>
  <c r="F35" i="11"/>
  <c r="G35" i="11"/>
  <c r="H35" i="11"/>
  <c r="I35" i="11"/>
  <c r="J35" i="11"/>
  <c r="K35" i="11"/>
  <c r="L35" i="11"/>
  <c r="M35" i="11"/>
  <c r="N35" i="11"/>
  <c r="C36" i="11"/>
  <c r="D36" i="11"/>
  <c r="D49" i="11" s="1"/>
  <c r="E36" i="11"/>
  <c r="F36" i="11"/>
  <c r="G36" i="11"/>
  <c r="H36" i="11"/>
  <c r="I36" i="11"/>
  <c r="J36" i="11"/>
  <c r="K36" i="11"/>
  <c r="L36" i="11"/>
  <c r="L49" i="11" s="1"/>
  <c r="M36" i="11"/>
  <c r="N36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P38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C41" i="11"/>
  <c r="D41" i="11"/>
  <c r="E41" i="11"/>
  <c r="E49" i="11" s="1"/>
  <c r="F41" i="11"/>
  <c r="G41" i="11"/>
  <c r="H41" i="11"/>
  <c r="I41" i="11"/>
  <c r="J41" i="11"/>
  <c r="K41" i="11"/>
  <c r="L41" i="11"/>
  <c r="M41" i="11"/>
  <c r="N41" i="11"/>
  <c r="P41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C43" i="11"/>
  <c r="P43" i="11" s="1"/>
  <c r="D43" i="11"/>
  <c r="E43" i="11"/>
  <c r="F43" i="11"/>
  <c r="G43" i="11"/>
  <c r="H43" i="11"/>
  <c r="I43" i="11"/>
  <c r="J43" i="11"/>
  <c r="O43" i="11" s="1"/>
  <c r="Q43" i="11" s="1"/>
  <c r="K43" i="11"/>
  <c r="L43" i="11"/>
  <c r="M43" i="11"/>
  <c r="N43" i="11"/>
  <c r="C44" i="11"/>
  <c r="D44" i="11"/>
  <c r="E44" i="11"/>
  <c r="E94" i="13" s="1"/>
  <c r="F44" i="11"/>
  <c r="F94" i="13" s="1"/>
  <c r="G44" i="11"/>
  <c r="H44" i="11"/>
  <c r="H94" i="13" s="1"/>
  <c r="I44" i="11"/>
  <c r="I94" i="13" s="1"/>
  <c r="J44" i="11"/>
  <c r="J94" i="13" s="1"/>
  <c r="K44" i="11"/>
  <c r="K94" i="13" s="1"/>
  <c r="L44" i="11"/>
  <c r="L94" i="13" s="1"/>
  <c r="M44" i="11"/>
  <c r="M94" i="13" s="1"/>
  <c r="N44" i="11"/>
  <c r="N94" i="13" s="1"/>
  <c r="C45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O46" i="11"/>
  <c r="Q46" i="11" s="1"/>
  <c r="P46" i="11"/>
  <c r="O47" i="11"/>
  <c r="Q47" i="11" s="1"/>
  <c r="P47" i="11"/>
  <c r="A1" i="4"/>
  <c r="A32" i="4" s="1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B4" i="4"/>
  <c r="O4" i="4"/>
  <c r="P4" i="4"/>
  <c r="Q4" i="4"/>
  <c r="C7" i="4"/>
  <c r="D7" i="4"/>
  <c r="E7" i="4"/>
  <c r="F7" i="4"/>
  <c r="G7" i="4"/>
  <c r="H7" i="4"/>
  <c r="I7" i="4"/>
  <c r="I28" i="4" s="1"/>
  <c r="I15" i="13" s="1"/>
  <c r="J7" i="4"/>
  <c r="K7" i="4"/>
  <c r="L7" i="4"/>
  <c r="M7" i="4"/>
  <c r="N7" i="4"/>
  <c r="P7" i="4"/>
  <c r="C8" i="4"/>
  <c r="P8" i="4" s="1"/>
  <c r="D8" i="4"/>
  <c r="E8" i="4"/>
  <c r="F8" i="4"/>
  <c r="G8" i="4"/>
  <c r="H8" i="4"/>
  <c r="I8" i="4"/>
  <c r="J8" i="4"/>
  <c r="K8" i="4"/>
  <c r="L8" i="4"/>
  <c r="M8" i="4"/>
  <c r="N8" i="4"/>
  <c r="C9" i="4"/>
  <c r="D9" i="4"/>
  <c r="E9" i="4"/>
  <c r="F9" i="4"/>
  <c r="G9" i="4"/>
  <c r="H9" i="4"/>
  <c r="I9" i="4"/>
  <c r="J9" i="4"/>
  <c r="K9" i="4"/>
  <c r="L9" i="4"/>
  <c r="M9" i="4"/>
  <c r="N9" i="4"/>
  <c r="C10" i="4"/>
  <c r="O10" i="4" s="1"/>
  <c r="D10" i="4"/>
  <c r="E10" i="4"/>
  <c r="F10" i="4"/>
  <c r="G10" i="4"/>
  <c r="H10" i="4"/>
  <c r="I10" i="4"/>
  <c r="J10" i="4"/>
  <c r="K10" i="4"/>
  <c r="L10" i="4"/>
  <c r="M10" i="4"/>
  <c r="N10" i="4"/>
  <c r="C11" i="4"/>
  <c r="D11" i="4"/>
  <c r="P11" i="4" s="1"/>
  <c r="E11" i="4"/>
  <c r="F11" i="4"/>
  <c r="G11" i="4"/>
  <c r="H11" i="4"/>
  <c r="I11" i="4"/>
  <c r="J11" i="4"/>
  <c r="K11" i="4"/>
  <c r="L11" i="4"/>
  <c r="M11" i="4"/>
  <c r="N11" i="4"/>
  <c r="O11" i="4"/>
  <c r="Q11" i="4" s="1"/>
  <c r="C12" i="4"/>
  <c r="D12" i="4"/>
  <c r="E12" i="4"/>
  <c r="F12" i="4"/>
  <c r="G12" i="4"/>
  <c r="H12" i="4"/>
  <c r="I12" i="4"/>
  <c r="J12" i="4"/>
  <c r="K12" i="4"/>
  <c r="L12" i="4"/>
  <c r="M12" i="4"/>
  <c r="N12" i="4"/>
  <c r="P12" i="4"/>
  <c r="C13" i="4"/>
  <c r="P13" i="4" s="1"/>
  <c r="D13" i="4"/>
  <c r="E13" i="4"/>
  <c r="F13" i="4"/>
  <c r="G13" i="4"/>
  <c r="H13" i="4"/>
  <c r="I13" i="4"/>
  <c r="O13" i="4" s="1"/>
  <c r="Q13" i="4" s="1"/>
  <c r="J13" i="4"/>
  <c r="K13" i="4"/>
  <c r="L13" i="4"/>
  <c r="M13" i="4"/>
  <c r="N13" i="4"/>
  <c r="C14" i="4"/>
  <c r="D14" i="4"/>
  <c r="E14" i="4"/>
  <c r="F14" i="4"/>
  <c r="G14" i="4"/>
  <c r="H14" i="4"/>
  <c r="I14" i="4"/>
  <c r="J14" i="4"/>
  <c r="K14" i="4"/>
  <c r="L14" i="4"/>
  <c r="M14" i="4"/>
  <c r="N14" i="4"/>
  <c r="C15" i="4"/>
  <c r="D15" i="4"/>
  <c r="E15" i="4"/>
  <c r="F15" i="4"/>
  <c r="G15" i="4"/>
  <c r="H15" i="4"/>
  <c r="I15" i="4"/>
  <c r="J15" i="4"/>
  <c r="K15" i="4"/>
  <c r="L15" i="4"/>
  <c r="M15" i="4"/>
  <c r="N15" i="4"/>
  <c r="C16" i="4"/>
  <c r="D16" i="4"/>
  <c r="E16" i="4"/>
  <c r="F16" i="4"/>
  <c r="G16" i="4"/>
  <c r="H16" i="4"/>
  <c r="I16" i="4"/>
  <c r="J16" i="4"/>
  <c r="K16" i="4"/>
  <c r="L16" i="4"/>
  <c r="M16" i="4"/>
  <c r="N16" i="4"/>
  <c r="C18" i="4"/>
  <c r="O18" i="4" s="1"/>
  <c r="D18" i="4"/>
  <c r="E18" i="4"/>
  <c r="F18" i="4"/>
  <c r="G18" i="4"/>
  <c r="H18" i="4"/>
  <c r="I18" i="4"/>
  <c r="J18" i="4"/>
  <c r="K18" i="4"/>
  <c r="L18" i="4"/>
  <c r="M18" i="4"/>
  <c r="N18" i="4"/>
  <c r="C19" i="4"/>
  <c r="D19" i="4"/>
  <c r="P19" i="4" s="1"/>
  <c r="E19" i="4"/>
  <c r="F19" i="4"/>
  <c r="G19" i="4"/>
  <c r="H19" i="4"/>
  <c r="I19" i="4"/>
  <c r="J19" i="4"/>
  <c r="K19" i="4"/>
  <c r="L19" i="4"/>
  <c r="M19" i="4"/>
  <c r="N19" i="4"/>
  <c r="O19" i="4"/>
  <c r="Q19" i="4" s="1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Q20" i="4" s="1"/>
  <c r="P20" i="4"/>
  <c r="C21" i="4"/>
  <c r="D21" i="4"/>
  <c r="E21" i="4"/>
  <c r="F21" i="4"/>
  <c r="G21" i="4"/>
  <c r="H21" i="4"/>
  <c r="I21" i="4"/>
  <c r="J21" i="4"/>
  <c r="K21" i="4"/>
  <c r="L21" i="4"/>
  <c r="M21" i="4"/>
  <c r="N21" i="4"/>
  <c r="P21" i="4"/>
  <c r="C22" i="4"/>
  <c r="P22" i="4" s="1"/>
  <c r="D22" i="4"/>
  <c r="E22" i="4"/>
  <c r="F22" i="4"/>
  <c r="G22" i="4"/>
  <c r="H22" i="4"/>
  <c r="I22" i="4"/>
  <c r="J22" i="4"/>
  <c r="K22" i="4"/>
  <c r="L22" i="4"/>
  <c r="M22" i="4"/>
  <c r="N22" i="4"/>
  <c r="C23" i="4"/>
  <c r="D23" i="4"/>
  <c r="E23" i="4"/>
  <c r="F23" i="4"/>
  <c r="G23" i="4"/>
  <c r="H23" i="4"/>
  <c r="I23" i="4"/>
  <c r="J23" i="4"/>
  <c r="K23" i="4"/>
  <c r="L23" i="4"/>
  <c r="M23" i="4"/>
  <c r="N23" i="4"/>
  <c r="C24" i="4"/>
  <c r="D24" i="4"/>
  <c r="S139" i="14" s="1"/>
  <c r="E24" i="4"/>
  <c r="F24" i="4"/>
  <c r="G24" i="4"/>
  <c r="V139" i="14" s="1"/>
  <c r="H24" i="4"/>
  <c r="W139" i="14" s="1"/>
  <c r="I24" i="4"/>
  <c r="X139" i="14" s="1"/>
  <c r="J24" i="4"/>
  <c r="K24" i="4"/>
  <c r="Z139" i="14" s="1"/>
  <c r="L24" i="4"/>
  <c r="AA139" i="14" s="1"/>
  <c r="M24" i="4"/>
  <c r="N24" i="4"/>
  <c r="C25" i="4"/>
  <c r="D25" i="4"/>
  <c r="E25" i="4"/>
  <c r="F25" i="4"/>
  <c r="G25" i="4"/>
  <c r="H25" i="4"/>
  <c r="I25" i="4"/>
  <c r="J25" i="4"/>
  <c r="K25" i="4"/>
  <c r="L25" i="4"/>
  <c r="M25" i="4"/>
  <c r="N25" i="4"/>
  <c r="C26" i="4"/>
  <c r="D26" i="4"/>
  <c r="E26" i="4"/>
  <c r="F26" i="4"/>
  <c r="G26" i="4"/>
  <c r="H26" i="4"/>
  <c r="I26" i="4"/>
  <c r="J26" i="4"/>
  <c r="K26" i="4"/>
  <c r="L26" i="4"/>
  <c r="M26" i="4"/>
  <c r="N26" i="4"/>
  <c r="F28" i="4"/>
  <c r="F15" i="13" s="1"/>
  <c r="N28" i="4"/>
  <c r="N15" i="13" s="1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O38" i="4"/>
  <c r="O39" i="4"/>
  <c r="O40" i="4"/>
  <c r="C42" i="4"/>
  <c r="D42" i="4"/>
  <c r="D44" i="4" s="1"/>
  <c r="E42" i="4"/>
  <c r="F42" i="4"/>
  <c r="F44" i="4" s="1"/>
  <c r="G42" i="4"/>
  <c r="G44" i="4" s="1"/>
  <c r="H42" i="4"/>
  <c r="H44" i="4" s="1"/>
  <c r="I42" i="4"/>
  <c r="J42" i="4"/>
  <c r="K42" i="4"/>
  <c r="L42" i="4"/>
  <c r="L44" i="4" s="1"/>
  <c r="M42" i="4"/>
  <c r="N42" i="4"/>
  <c r="N44" i="4" s="1"/>
  <c r="O42" i="4"/>
  <c r="O44" i="4" s="1"/>
  <c r="C44" i="4"/>
  <c r="E44" i="4"/>
  <c r="I44" i="4"/>
  <c r="J44" i="4"/>
  <c r="K44" i="4"/>
  <c r="M44" i="4"/>
  <c r="C48" i="4"/>
  <c r="D48" i="4"/>
  <c r="E48" i="4"/>
  <c r="F48" i="4"/>
  <c r="G48" i="4"/>
  <c r="H48" i="4"/>
  <c r="O48" i="4" s="1"/>
  <c r="I48" i="4"/>
  <c r="J48" i="4"/>
  <c r="K48" i="4"/>
  <c r="L48" i="4"/>
  <c r="M48" i="4"/>
  <c r="N48" i="4"/>
  <c r="C51" i="4"/>
  <c r="D51" i="4"/>
  <c r="E51" i="4"/>
  <c r="F51" i="4"/>
  <c r="F63" i="8" s="1"/>
  <c r="G51" i="4"/>
  <c r="H51" i="4"/>
  <c r="I51" i="4"/>
  <c r="J51" i="4"/>
  <c r="K51" i="4"/>
  <c r="L51" i="4"/>
  <c r="M51" i="4"/>
  <c r="N51" i="4"/>
  <c r="N63" i="8" s="1"/>
  <c r="O52" i="4"/>
  <c r="O53" i="4"/>
  <c r="C63" i="4"/>
  <c r="O65" i="4"/>
  <c r="O69" i="4"/>
  <c r="C76" i="4"/>
  <c r="C78" i="4" s="1"/>
  <c r="D76" i="4"/>
  <c r="E76" i="4"/>
  <c r="F76" i="4"/>
  <c r="G76" i="4"/>
  <c r="H76" i="4"/>
  <c r="I76" i="4"/>
  <c r="J76" i="4"/>
  <c r="K76" i="4"/>
  <c r="L76" i="4"/>
  <c r="M76" i="4"/>
  <c r="N76" i="4"/>
  <c r="A1" i="9"/>
  <c r="A3" i="9"/>
  <c r="B3" i="9"/>
  <c r="C3" i="9"/>
  <c r="D3" i="9"/>
  <c r="E3" i="9"/>
  <c r="E29" i="9" s="1"/>
  <c r="F3" i="9"/>
  <c r="F29" i="9" s="1"/>
  <c r="G3" i="9"/>
  <c r="H3" i="9"/>
  <c r="H29" i="9" s="1"/>
  <c r="I3" i="9"/>
  <c r="I29" i="9" s="1"/>
  <c r="J3" i="9"/>
  <c r="K3" i="9"/>
  <c r="L3" i="9"/>
  <c r="M3" i="9"/>
  <c r="M29" i="9" s="1"/>
  <c r="N3" i="9"/>
  <c r="N29" i="9" s="1"/>
  <c r="O3" i="9"/>
  <c r="P3" i="9"/>
  <c r="P29" i="9" s="1"/>
  <c r="Q3" i="9"/>
  <c r="Q29" i="9" s="1"/>
  <c r="B4" i="9"/>
  <c r="O4" i="9"/>
  <c r="P4" i="9"/>
  <c r="Q4" i="9"/>
  <c r="C8" i="9"/>
  <c r="D8" i="9"/>
  <c r="E8" i="9"/>
  <c r="F8" i="9"/>
  <c r="G8" i="9"/>
  <c r="H8" i="9"/>
  <c r="I8" i="9"/>
  <c r="J8" i="9"/>
  <c r="K8" i="9"/>
  <c r="L8" i="9"/>
  <c r="M8" i="9"/>
  <c r="N8" i="9"/>
  <c r="O10" i="9"/>
  <c r="Q10" i="9" s="1"/>
  <c r="P10" i="9"/>
  <c r="C12" i="9"/>
  <c r="D12" i="9"/>
  <c r="D18" i="9" s="1"/>
  <c r="E12" i="9"/>
  <c r="F12" i="9"/>
  <c r="G12" i="9"/>
  <c r="G18" i="9" s="1"/>
  <c r="H12" i="9"/>
  <c r="H18" i="9" s="1"/>
  <c r="I12" i="9"/>
  <c r="J12" i="9"/>
  <c r="K12" i="9"/>
  <c r="L12" i="9"/>
  <c r="L18" i="9" s="1"/>
  <c r="M12" i="9"/>
  <c r="N12" i="9"/>
  <c r="P12" i="9"/>
  <c r="O14" i="9"/>
  <c r="P14" i="9"/>
  <c r="Q14" i="9"/>
  <c r="A15" i="9"/>
  <c r="D15" i="9"/>
  <c r="D16" i="9" s="1"/>
  <c r="D19" i="9" s="1"/>
  <c r="E15" i="9"/>
  <c r="C16" i="9"/>
  <c r="P16" i="9"/>
  <c r="C18" i="9"/>
  <c r="I18" i="9"/>
  <c r="J18" i="9"/>
  <c r="K18" i="9"/>
  <c r="C19" i="9"/>
  <c r="C21" i="9"/>
  <c r="O23" i="9"/>
  <c r="P23" i="9"/>
  <c r="Q23" i="9"/>
  <c r="C29" i="9"/>
  <c r="D29" i="9"/>
  <c r="G29" i="9"/>
  <c r="J29" i="9"/>
  <c r="K29" i="9"/>
  <c r="L29" i="9"/>
  <c r="O29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C32" i="9"/>
  <c r="R144" i="14" s="1"/>
  <c r="D32" i="9"/>
  <c r="E32" i="9"/>
  <c r="F32" i="9"/>
  <c r="U144" i="14" s="1"/>
  <c r="U17" i="14" s="1"/>
  <c r="G32" i="9"/>
  <c r="V144" i="14" s="1"/>
  <c r="V17" i="14" s="1"/>
  <c r="H32" i="9"/>
  <c r="W144" i="14" s="1"/>
  <c r="W17" i="14" s="1"/>
  <c r="I32" i="9"/>
  <c r="X144" i="14" s="1"/>
  <c r="X17" i="14" s="1"/>
  <c r="J32" i="9"/>
  <c r="Y144" i="14" s="1"/>
  <c r="Y17" i="14" s="1"/>
  <c r="K32" i="9"/>
  <c r="Z144" i="14" s="1"/>
  <c r="Z17" i="14" s="1"/>
  <c r="L32" i="9"/>
  <c r="AA144" i="14" s="1"/>
  <c r="AA17" i="14" s="1"/>
  <c r="M32" i="9"/>
  <c r="N32" i="9"/>
  <c r="AC144" i="14" s="1"/>
  <c r="AC17" i="14" s="1"/>
  <c r="C33" i="9"/>
  <c r="R145" i="14" s="1"/>
  <c r="D33" i="9"/>
  <c r="S145" i="14" s="1"/>
  <c r="S25" i="14" s="1"/>
  <c r="E33" i="9"/>
  <c r="F33" i="9"/>
  <c r="G33" i="9"/>
  <c r="V145" i="14" s="1"/>
  <c r="V25" i="14" s="1"/>
  <c r="H33" i="9"/>
  <c r="W145" i="14" s="1"/>
  <c r="W25" i="14" s="1"/>
  <c r="I33" i="9"/>
  <c r="X145" i="14" s="1"/>
  <c r="X25" i="14" s="1"/>
  <c r="J33" i="9"/>
  <c r="Y145" i="14" s="1"/>
  <c r="Y25" i="14" s="1"/>
  <c r="K33" i="9"/>
  <c r="Z145" i="14" s="1"/>
  <c r="Z25" i="14" s="1"/>
  <c r="L33" i="9"/>
  <c r="AA145" i="14" s="1"/>
  <c r="AA25" i="14" s="1"/>
  <c r="M33" i="9"/>
  <c r="N33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Q35" i="9" s="1"/>
  <c r="P35" i="9"/>
  <c r="C36" i="9"/>
  <c r="D36" i="9"/>
  <c r="E36" i="9"/>
  <c r="F36" i="9"/>
  <c r="G36" i="9"/>
  <c r="H36" i="9"/>
  <c r="I36" i="9"/>
  <c r="J36" i="9"/>
  <c r="K36" i="9"/>
  <c r="L36" i="9"/>
  <c r="M36" i="9"/>
  <c r="N36" i="9"/>
  <c r="P36" i="9"/>
  <c r="C37" i="9"/>
  <c r="D37" i="9"/>
  <c r="E37" i="9"/>
  <c r="F37" i="9"/>
  <c r="G37" i="9"/>
  <c r="H37" i="9"/>
  <c r="I37" i="9"/>
  <c r="J37" i="9"/>
  <c r="K37" i="9"/>
  <c r="L37" i="9"/>
  <c r="M37" i="9"/>
  <c r="N37" i="9"/>
  <c r="O38" i="9"/>
  <c r="Q38" i="9" s="1"/>
  <c r="P38" i="9"/>
  <c r="O39" i="9"/>
  <c r="P39" i="9"/>
  <c r="Q39" i="9"/>
  <c r="C40" i="9"/>
  <c r="R147" i="14" s="1"/>
  <c r="D40" i="9"/>
  <c r="E40" i="9"/>
  <c r="T147" i="14" s="1"/>
  <c r="T50" i="14" s="1"/>
  <c r="F40" i="9"/>
  <c r="U147" i="14" s="1"/>
  <c r="U50" i="14" s="1"/>
  <c r="G40" i="9"/>
  <c r="V147" i="14" s="1"/>
  <c r="V50" i="14" s="1"/>
  <c r="H40" i="9"/>
  <c r="W147" i="14" s="1"/>
  <c r="W50" i="14" s="1"/>
  <c r="I40" i="9"/>
  <c r="X147" i="14" s="1"/>
  <c r="X50" i="14" s="1"/>
  <c r="J40" i="9"/>
  <c r="Y147" i="14" s="1"/>
  <c r="Y50" i="14" s="1"/>
  <c r="K40" i="9"/>
  <c r="Z147" i="14" s="1"/>
  <c r="Z50" i="14" s="1"/>
  <c r="L40" i="9"/>
  <c r="AA147" i="14" s="1"/>
  <c r="AA50" i="14" s="1"/>
  <c r="M40" i="9"/>
  <c r="AB147" i="14" s="1"/>
  <c r="AB50" i="14" s="1"/>
  <c r="N40" i="9"/>
  <c r="AC147" i="14" s="1"/>
  <c r="AC50" i="14" s="1"/>
  <c r="C41" i="9"/>
  <c r="R148" i="14" s="1"/>
  <c r="D41" i="9"/>
  <c r="S148" i="14" s="1"/>
  <c r="S51" i="14" s="1"/>
  <c r="E41" i="9"/>
  <c r="F41" i="9"/>
  <c r="U148" i="14" s="1"/>
  <c r="U51" i="14" s="1"/>
  <c r="G41" i="9"/>
  <c r="V148" i="14" s="1"/>
  <c r="V51" i="14" s="1"/>
  <c r="H41" i="9"/>
  <c r="W148" i="14" s="1"/>
  <c r="W51" i="14" s="1"/>
  <c r="I41" i="9"/>
  <c r="X148" i="14" s="1"/>
  <c r="X51" i="14" s="1"/>
  <c r="J41" i="9"/>
  <c r="Y148" i="14" s="1"/>
  <c r="Y51" i="14" s="1"/>
  <c r="K41" i="9"/>
  <c r="Z148" i="14" s="1"/>
  <c r="Z51" i="14" s="1"/>
  <c r="L41" i="9"/>
  <c r="AA148" i="14" s="1"/>
  <c r="AA51" i="14" s="1"/>
  <c r="M41" i="9"/>
  <c r="N41" i="9"/>
  <c r="AC148" i="14" s="1"/>
  <c r="AC51" i="14" s="1"/>
  <c r="C42" i="9"/>
  <c r="R149" i="14" s="1"/>
  <c r="D42" i="9"/>
  <c r="S149" i="14" s="1"/>
  <c r="S48" i="14" s="1"/>
  <c r="E42" i="9"/>
  <c r="T149" i="14" s="1"/>
  <c r="T48" i="14" s="1"/>
  <c r="F42" i="9"/>
  <c r="U149" i="14" s="1"/>
  <c r="U48" i="14" s="1"/>
  <c r="G42" i="9"/>
  <c r="H42" i="9"/>
  <c r="W149" i="14" s="1"/>
  <c r="W48" i="14" s="1"/>
  <c r="I42" i="9"/>
  <c r="X149" i="14" s="1"/>
  <c r="X48" i="14" s="1"/>
  <c r="J42" i="9"/>
  <c r="Y149" i="14" s="1"/>
  <c r="Y48" i="14" s="1"/>
  <c r="K42" i="9"/>
  <c r="Z149" i="14" s="1"/>
  <c r="Z48" i="14" s="1"/>
  <c r="L42" i="9"/>
  <c r="AA149" i="14" s="1"/>
  <c r="AA48" i="14" s="1"/>
  <c r="M42" i="9"/>
  <c r="AB149" i="14" s="1"/>
  <c r="AB48" i="14" s="1"/>
  <c r="N42" i="9"/>
  <c r="AC149" i="14" s="1"/>
  <c r="AC48" i="14" s="1"/>
  <c r="O42" i="9"/>
  <c r="Q42" i="9" s="1"/>
  <c r="P42" i="9"/>
  <c r="C43" i="9"/>
  <c r="R150" i="14" s="1"/>
  <c r="D43" i="9"/>
  <c r="S150" i="14" s="1"/>
  <c r="E43" i="9"/>
  <c r="T150" i="14" s="1"/>
  <c r="F43" i="9"/>
  <c r="U150" i="14" s="1"/>
  <c r="G43" i="9"/>
  <c r="V150" i="14" s="1"/>
  <c r="H43" i="9"/>
  <c r="W150" i="14" s="1"/>
  <c r="I43" i="9"/>
  <c r="X150" i="14" s="1"/>
  <c r="J43" i="9"/>
  <c r="Y150" i="14" s="1"/>
  <c r="K43" i="9"/>
  <c r="Z150" i="14" s="1"/>
  <c r="L43" i="9"/>
  <c r="AA150" i="14" s="1"/>
  <c r="M43" i="9"/>
  <c r="AB150" i="14" s="1"/>
  <c r="N43" i="9"/>
  <c r="AC150" i="14" s="1"/>
  <c r="P43" i="9"/>
  <c r="C44" i="9"/>
  <c r="R151" i="14" s="1"/>
  <c r="D44" i="9"/>
  <c r="S151" i="14" s="1"/>
  <c r="S21" i="14" s="1"/>
  <c r="E44" i="9"/>
  <c r="T151" i="14" s="1"/>
  <c r="T21" i="14" s="1"/>
  <c r="F44" i="9"/>
  <c r="U151" i="14" s="1"/>
  <c r="U21" i="14" s="1"/>
  <c r="G44" i="9"/>
  <c r="V151" i="14" s="1"/>
  <c r="V21" i="14" s="1"/>
  <c r="H44" i="9"/>
  <c r="W151" i="14" s="1"/>
  <c r="W21" i="14" s="1"/>
  <c r="I44" i="9"/>
  <c r="X151" i="14" s="1"/>
  <c r="X21" i="14" s="1"/>
  <c r="J44" i="9"/>
  <c r="Y151" i="14" s="1"/>
  <c r="Y21" i="14" s="1"/>
  <c r="K44" i="9"/>
  <c r="Z151" i="14" s="1"/>
  <c r="Z21" i="14" s="1"/>
  <c r="L44" i="9"/>
  <c r="AA151" i="14" s="1"/>
  <c r="AA21" i="14" s="1"/>
  <c r="M44" i="9"/>
  <c r="AB151" i="14" s="1"/>
  <c r="AB21" i="14" s="1"/>
  <c r="N44" i="9"/>
  <c r="AC151" i="14" s="1"/>
  <c r="AC21" i="14" s="1"/>
  <c r="P44" i="9"/>
  <c r="C45" i="9"/>
  <c r="R152" i="14" s="1"/>
  <c r="D45" i="9"/>
  <c r="S152" i="14" s="1"/>
  <c r="S23" i="14" s="1"/>
  <c r="E45" i="9"/>
  <c r="T152" i="14" s="1"/>
  <c r="T23" i="14" s="1"/>
  <c r="F45" i="9"/>
  <c r="U152" i="14" s="1"/>
  <c r="U23" i="14" s="1"/>
  <c r="G45" i="9"/>
  <c r="V152" i="14" s="1"/>
  <c r="V23" i="14" s="1"/>
  <c r="H45" i="9"/>
  <c r="W152" i="14" s="1"/>
  <c r="W23" i="14" s="1"/>
  <c r="I45" i="9"/>
  <c r="J45" i="9"/>
  <c r="Y152" i="14" s="1"/>
  <c r="Y23" i="14" s="1"/>
  <c r="K45" i="9"/>
  <c r="Z152" i="14" s="1"/>
  <c r="Z23" i="14" s="1"/>
  <c r="L45" i="9"/>
  <c r="AA152" i="14" s="1"/>
  <c r="AA23" i="14" s="1"/>
  <c r="M45" i="9"/>
  <c r="AB152" i="14" s="1"/>
  <c r="AB23" i="14" s="1"/>
  <c r="N45" i="9"/>
  <c r="AC152" i="14" s="1"/>
  <c r="AC23" i="14" s="1"/>
  <c r="C46" i="9"/>
  <c r="D46" i="9"/>
  <c r="E46" i="9"/>
  <c r="F46" i="9"/>
  <c r="G46" i="9"/>
  <c r="H46" i="9"/>
  <c r="I46" i="9"/>
  <c r="J46" i="9"/>
  <c r="K46" i="9"/>
  <c r="L46" i="9"/>
  <c r="M46" i="9"/>
  <c r="N46" i="9"/>
  <c r="C47" i="9"/>
  <c r="D47" i="9"/>
  <c r="E47" i="9"/>
  <c r="F47" i="9"/>
  <c r="G47" i="9"/>
  <c r="H47" i="9"/>
  <c r="I47" i="9"/>
  <c r="J47" i="9"/>
  <c r="K47" i="9"/>
  <c r="L47" i="9"/>
  <c r="M47" i="9"/>
  <c r="N47" i="9"/>
  <c r="C49" i="9"/>
  <c r="P49" i="9" s="1"/>
  <c r="D49" i="9"/>
  <c r="E49" i="9"/>
  <c r="F49" i="9"/>
  <c r="G49" i="9"/>
  <c r="H49" i="9"/>
  <c r="I49" i="9"/>
  <c r="J49" i="9"/>
  <c r="K49" i="9"/>
  <c r="L49" i="9"/>
  <c r="M49" i="9"/>
  <c r="N49" i="9"/>
  <c r="C52" i="9"/>
  <c r="R153" i="14" s="1"/>
  <c r="D52" i="9"/>
  <c r="S153" i="14" s="1"/>
  <c r="S19" i="14" s="1"/>
  <c r="E52" i="9"/>
  <c r="T153" i="14" s="1"/>
  <c r="T19" i="14" s="1"/>
  <c r="F52" i="9"/>
  <c r="U153" i="14" s="1"/>
  <c r="U19" i="14" s="1"/>
  <c r="G52" i="9"/>
  <c r="V153" i="14" s="1"/>
  <c r="V19" i="14" s="1"/>
  <c r="H52" i="9"/>
  <c r="W153" i="14" s="1"/>
  <c r="W19" i="14" s="1"/>
  <c r="I52" i="9"/>
  <c r="X153" i="14" s="1"/>
  <c r="X19" i="14" s="1"/>
  <c r="J52" i="9"/>
  <c r="Y153" i="14" s="1"/>
  <c r="Y19" i="14" s="1"/>
  <c r="K52" i="9"/>
  <c r="Z153" i="14" s="1"/>
  <c r="Z19" i="14" s="1"/>
  <c r="L52" i="9"/>
  <c r="AA153" i="14" s="1"/>
  <c r="AA19" i="14" s="1"/>
  <c r="M52" i="9"/>
  <c r="AB153" i="14" s="1"/>
  <c r="AB19" i="14" s="1"/>
  <c r="N52" i="9"/>
  <c r="AC153" i="14" s="1"/>
  <c r="AC19" i="14" s="1"/>
  <c r="P52" i="9"/>
  <c r="C53" i="9"/>
  <c r="R155" i="14" s="1"/>
  <c r="D53" i="9"/>
  <c r="S155" i="14" s="1"/>
  <c r="S30" i="14" s="1"/>
  <c r="E53" i="9"/>
  <c r="T155" i="14" s="1"/>
  <c r="T30" i="14" s="1"/>
  <c r="F53" i="9"/>
  <c r="U155" i="14" s="1"/>
  <c r="U30" i="14" s="1"/>
  <c r="G53" i="9"/>
  <c r="V155" i="14" s="1"/>
  <c r="V30" i="14" s="1"/>
  <c r="H53" i="9"/>
  <c r="W155" i="14" s="1"/>
  <c r="W30" i="14" s="1"/>
  <c r="I53" i="9"/>
  <c r="J41" i="15" s="1"/>
  <c r="J53" i="9"/>
  <c r="K53" i="9"/>
  <c r="Z155" i="14" s="1"/>
  <c r="Z30" i="14" s="1"/>
  <c r="L53" i="9"/>
  <c r="AA155" i="14" s="1"/>
  <c r="AA30" i="14" s="1"/>
  <c r="M53" i="9"/>
  <c r="AB155" i="14" s="1"/>
  <c r="AB30" i="14" s="1"/>
  <c r="N53" i="9"/>
  <c r="AC155" i="14" s="1"/>
  <c r="AC30" i="14" s="1"/>
  <c r="C54" i="9"/>
  <c r="D54" i="9"/>
  <c r="E54" i="9"/>
  <c r="F54" i="9"/>
  <c r="G54" i="9"/>
  <c r="H54" i="9"/>
  <c r="I54" i="9"/>
  <c r="J54" i="9"/>
  <c r="K54" i="9"/>
  <c r="L54" i="9"/>
  <c r="M54" i="9"/>
  <c r="N54" i="9"/>
  <c r="C55" i="9"/>
  <c r="D55" i="9"/>
  <c r="E55" i="9"/>
  <c r="F55" i="9"/>
  <c r="G55" i="9"/>
  <c r="H55" i="9"/>
  <c r="I55" i="9"/>
  <c r="J55" i="9"/>
  <c r="K55" i="9"/>
  <c r="L55" i="9"/>
  <c r="M55" i="9"/>
  <c r="N55" i="9"/>
  <c r="C56" i="9"/>
  <c r="D56" i="9"/>
  <c r="E56" i="9"/>
  <c r="F56" i="9"/>
  <c r="G56" i="9"/>
  <c r="H56" i="9"/>
  <c r="I56" i="9"/>
  <c r="J56" i="9"/>
  <c r="K56" i="9"/>
  <c r="L56" i="9"/>
  <c r="M56" i="9"/>
  <c r="N56" i="9"/>
  <c r="O57" i="9"/>
  <c r="P57" i="9"/>
  <c r="Q57" i="9"/>
  <c r="A1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B4" i="2"/>
  <c r="O4" i="2"/>
  <c r="P4" i="2"/>
  <c r="Q4" i="2"/>
  <c r="C7" i="2"/>
  <c r="O7" i="2" s="1"/>
  <c r="D7" i="2"/>
  <c r="E7" i="2"/>
  <c r="E14" i="2" s="1"/>
  <c r="F7" i="2"/>
  <c r="G7" i="2"/>
  <c r="H7" i="2"/>
  <c r="I7" i="2"/>
  <c r="J7" i="2"/>
  <c r="K7" i="2"/>
  <c r="K14" i="2" s="1"/>
  <c r="L7" i="2"/>
  <c r="M7" i="2"/>
  <c r="M14" i="2" s="1"/>
  <c r="N7" i="2"/>
  <c r="C8" i="2"/>
  <c r="D8" i="2"/>
  <c r="E8" i="2"/>
  <c r="F8" i="2"/>
  <c r="F14" i="2" s="1"/>
  <c r="G8" i="2"/>
  <c r="H8" i="2"/>
  <c r="H14" i="2" s="1"/>
  <c r="I9" i="15" s="1"/>
  <c r="I8" i="2"/>
  <c r="J8" i="2"/>
  <c r="K8" i="2"/>
  <c r="L8" i="2"/>
  <c r="M8" i="2"/>
  <c r="N8" i="2"/>
  <c r="P8" i="2"/>
  <c r="O9" i="2"/>
  <c r="P9" i="2"/>
  <c r="Q9" i="2"/>
  <c r="C10" i="2"/>
  <c r="D10" i="2"/>
  <c r="E10" i="2"/>
  <c r="F10" i="2"/>
  <c r="G10" i="2"/>
  <c r="H10" i="2"/>
  <c r="I10" i="2"/>
  <c r="J10" i="2"/>
  <c r="J14" i="2" s="1"/>
  <c r="K10" i="2"/>
  <c r="L10" i="2"/>
  <c r="L14" i="2" s="1"/>
  <c r="M10" i="2"/>
  <c r="N10" i="2"/>
  <c r="D11" i="2"/>
  <c r="P11" i="2" s="1"/>
  <c r="E11" i="2"/>
  <c r="F11" i="2"/>
  <c r="G11" i="2"/>
  <c r="H11" i="2"/>
  <c r="I11" i="2"/>
  <c r="J11" i="2"/>
  <c r="K11" i="2"/>
  <c r="L11" i="2"/>
  <c r="M11" i="2"/>
  <c r="N11" i="2"/>
  <c r="O11" i="2"/>
  <c r="O12" i="2"/>
  <c r="P12" i="2"/>
  <c r="Q12" i="2"/>
  <c r="I14" i="2"/>
  <c r="I35" i="2" s="1"/>
  <c r="I9" i="13" s="1"/>
  <c r="N14" i="2"/>
  <c r="C17" i="2"/>
  <c r="P17" i="2" s="1"/>
  <c r="D17" i="2"/>
  <c r="E17" i="2"/>
  <c r="F17" i="2"/>
  <c r="F23" i="2" s="1"/>
  <c r="G11" i="15" s="1"/>
  <c r="G17" i="2"/>
  <c r="H17" i="2"/>
  <c r="I17" i="2"/>
  <c r="I23" i="2" s="1"/>
  <c r="J17" i="2"/>
  <c r="K17" i="2"/>
  <c r="K23" i="2" s="1"/>
  <c r="L17" i="2"/>
  <c r="M17" i="2"/>
  <c r="N17" i="2"/>
  <c r="N23" i="2" s="1"/>
  <c r="O11" i="15" s="1"/>
  <c r="C18" i="2"/>
  <c r="D18" i="2"/>
  <c r="O18" i="2" s="1"/>
  <c r="E18" i="2"/>
  <c r="F18" i="2"/>
  <c r="G18" i="2"/>
  <c r="H18" i="2"/>
  <c r="I18" i="2"/>
  <c r="J18" i="2"/>
  <c r="K18" i="2"/>
  <c r="L18" i="2"/>
  <c r="M18" i="2"/>
  <c r="N18" i="2"/>
  <c r="C19" i="2"/>
  <c r="D19" i="2"/>
  <c r="E19" i="2"/>
  <c r="F19" i="2"/>
  <c r="G19" i="2"/>
  <c r="H19" i="2"/>
  <c r="H23" i="2" s="1"/>
  <c r="I19" i="2"/>
  <c r="J19" i="2"/>
  <c r="K19" i="2"/>
  <c r="L19" i="2"/>
  <c r="M19" i="2"/>
  <c r="N19" i="2"/>
  <c r="P19" i="2"/>
  <c r="O20" i="2"/>
  <c r="P20" i="2"/>
  <c r="Q20" i="2"/>
  <c r="O21" i="2"/>
  <c r="Q21" i="2" s="1"/>
  <c r="P21" i="2"/>
  <c r="C23" i="2"/>
  <c r="D11" i="15" s="1"/>
  <c r="J23" i="2"/>
  <c r="K11" i="15" s="1"/>
  <c r="L23" i="2"/>
  <c r="M11" i="15" s="1"/>
  <c r="O26" i="2"/>
  <c r="Q26" i="2" s="1"/>
  <c r="P26" i="2"/>
  <c r="P33" i="2" s="1"/>
  <c r="O27" i="2"/>
  <c r="P27" i="2"/>
  <c r="Q27" i="2"/>
  <c r="O28" i="2"/>
  <c r="Q28" i="2" s="1"/>
  <c r="P28" i="2"/>
  <c r="O29" i="2"/>
  <c r="Q29" i="2" s="1"/>
  <c r="P29" i="2"/>
  <c r="O30" i="2"/>
  <c r="P30" i="2"/>
  <c r="Q30" i="2"/>
  <c r="O31" i="2"/>
  <c r="P31" i="2"/>
  <c r="Q31" i="2"/>
  <c r="C33" i="2"/>
  <c r="D33" i="2"/>
  <c r="E33" i="2"/>
  <c r="F33" i="2"/>
  <c r="G33" i="2"/>
  <c r="H33" i="2"/>
  <c r="I33" i="2"/>
  <c r="J33" i="2"/>
  <c r="K33" i="2"/>
  <c r="L33" i="2"/>
  <c r="M33" i="2"/>
  <c r="N33" i="2"/>
  <c r="Q33" i="2"/>
  <c r="C39" i="2"/>
  <c r="D39" i="2"/>
  <c r="E39" i="2"/>
  <c r="F39" i="2"/>
  <c r="G39" i="2"/>
  <c r="G45" i="2" s="1"/>
  <c r="G10" i="13" s="1"/>
  <c r="H39" i="2"/>
  <c r="I39" i="2"/>
  <c r="I45" i="2" s="1"/>
  <c r="I10" i="13" s="1"/>
  <c r="J39" i="2"/>
  <c r="K39" i="2"/>
  <c r="K45" i="2" s="1"/>
  <c r="K10" i="13" s="1"/>
  <c r="L39" i="2"/>
  <c r="M39" i="2"/>
  <c r="M45" i="2" s="1"/>
  <c r="M10" i="13" s="1"/>
  <c r="N39" i="2"/>
  <c r="C40" i="2"/>
  <c r="D40" i="2"/>
  <c r="E40" i="2"/>
  <c r="F40" i="2"/>
  <c r="F45" i="2" s="1"/>
  <c r="F10" i="13" s="1"/>
  <c r="G40" i="2"/>
  <c r="H40" i="2"/>
  <c r="I40" i="2"/>
  <c r="J40" i="2"/>
  <c r="K40" i="2"/>
  <c r="L40" i="2"/>
  <c r="M40" i="2"/>
  <c r="N40" i="2"/>
  <c r="O41" i="2"/>
  <c r="P41" i="2"/>
  <c r="Q41" i="2"/>
  <c r="O42" i="2"/>
  <c r="P42" i="2"/>
  <c r="O43" i="2"/>
  <c r="P43" i="2"/>
  <c r="Q43" i="2"/>
  <c r="E45" i="2"/>
  <c r="E10" i="13" s="1"/>
  <c r="H45" i="2"/>
  <c r="H10" i="13" s="1"/>
  <c r="J45" i="2"/>
  <c r="J10" i="13" s="1"/>
  <c r="L45" i="2"/>
  <c r="L10" i="13" s="1"/>
  <c r="N45" i="2"/>
  <c r="N10" i="13" s="1"/>
  <c r="A1" i="15"/>
  <c r="G1" i="15"/>
  <c r="G2" i="15"/>
  <c r="B4" i="15"/>
  <c r="G4" i="15"/>
  <c r="B5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P7" i="15"/>
  <c r="Q7" i="15"/>
  <c r="R7" i="15"/>
  <c r="J9" i="15"/>
  <c r="L9" i="15"/>
  <c r="O9" i="15"/>
  <c r="J11" i="15"/>
  <c r="F12" i="15"/>
  <c r="G12" i="15"/>
  <c r="J12" i="15"/>
  <c r="K12" i="15"/>
  <c r="N12" i="15"/>
  <c r="O12" i="15"/>
  <c r="P14" i="15"/>
  <c r="Q14" i="15"/>
  <c r="R14" i="15"/>
  <c r="T14" i="15"/>
  <c r="P15" i="15"/>
  <c r="R15" i="15" s="1"/>
  <c r="Q15" i="15"/>
  <c r="T15" i="15"/>
  <c r="P16" i="15"/>
  <c r="Q16" i="15"/>
  <c r="R16" i="15"/>
  <c r="T16" i="15"/>
  <c r="F21" i="15"/>
  <c r="D29" i="15"/>
  <c r="Q29" i="15" s="1"/>
  <c r="E29" i="15"/>
  <c r="F29" i="15"/>
  <c r="G29" i="15"/>
  <c r="H29" i="15"/>
  <c r="I29" i="15"/>
  <c r="J29" i="15"/>
  <c r="K29" i="15"/>
  <c r="L29" i="15"/>
  <c r="M29" i="15"/>
  <c r="N29" i="15"/>
  <c r="O29" i="15"/>
  <c r="D34" i="15"/>
  <c r="G34" i="15"/>
  <c r="H34" i="15"/>
  <c r="I34" i="15"/>
  <c r="J34" i="15"/>
  <c r="K34" i="15"/>
  <c r="L34" i="15"/>
  <c r="M34" i="15"/>
  <c r="O34" i="15"/>
  <c r="D35" i="15"/>
  <c r="E35" i="15"/>
  <c r="G35" i="15"/>
  <c r="H35" i="15"/>
  <c r="I35" i="15"/>
  <c r="J35" i="15"/>
  <c r="K35" i="15"/>
  <c r="L35" i="15"/>
  <c r="M35" i="15"/>
  <c r="O35" i="15"/>
  <c r="D36" i="15"/>
  <c r="E36" i="15"/>
  <c r="F36" i="15"/>
  <c r="G36" i="15"/>
  <c r="H36" i="15"/>
  <c r="I36" i="15"/>
  <c r="J36" i="15"/>
  <c r="K36" i="15"/>
  <c r="T36" i="15" s="1"/>
  <c r="L36" i="15"/>
  <c r="M36" i="15"/>
  <c r="N36" i="15"/>
  <c r="O36" i="15"/>
  <c r="Q36" i="15"/>
  <c r="D37" i="15"/>
  <c r="T37" i="15" s="1"/>
  <c r="E37" i="15"/>
  <c r="F37" i="15"/>
  <c r="G37" i="15"/>
  <c r="H37" i="15"/>
  <c r="I37" i="15"/>
  <c r="J37" i="15"/>
  <c r="K37" i="15"/>
  <c r="L37" i="15"/>
  <c r="M37" i="15"/>
  <c r="N37" i="15"/>
  <c r="O37" i="15"/>
  <c r="Q37" i="15"/>
  <c r="D38" i="15"/>
  <c r="E38" i="15"/>
  <c r="F38" i="15"/>
  <c r="G38" i="15"/>
  <c r="I38" i="15"/>
  <c r="J38" i="15"/>
  <c r="K38" i="15"/>
  <c r="L38" i="15"/>
  <c r="M38" i="15"/>
  <c r="N38" i="15"/>
  <c r="O38" i="15"/>
  <c r="D39" i="15"/>
  <c r="E39" i="15"/>
  <c r="F39" i="15"/>
  <c r="G39" i="15"/>
  <c r="H39" i="15"/>
  <c r="I39" i="15"/>
  <c r="J39" i="15"/>
  <c r="K39" i="15"/>
  <c r="L39" i="15"/>
  <c r="M39" i="15"/>
  <c r="N39" i="15"/>
  <c r="O39" i="15"/>
  <c r="Q39" i="15"/>
  <c r="T39" i="15"/>
  <c r="D40" i="15"/>
  <c r="Q40" i="15" s="1"/>
  <c r="E40" i="15"/>
  <c r="F40" i="15"/>
  <c r="G40" i="15"/>
  <c r="H40" i="15"/>
  <c r="I40" i="15"/>
  <c r="J40" i="15"/>
  <c r="K40" i="15"/>
  <c r="L40" i="15"/>
  <c r="M40" i="15"/>
  <c r="N40" i="15"/>
  <c r="O40" i="15"/>
  <c r="T40" i="15"/>
  <c r="D41" i="15"/>
  <c r="Q41" i="15" s="1"/>
  <c r="E41" i="15"/>
  <c r="F41" i="15"/>
  <c r="G41" i="15"/>
  <c r="H41" i="15"/>
  <c r="I41" i="15"/>
  <c r="L41" i="15"/>
  <c r="M41" i="15"/>
  <c r="N41" i="15"/>
  <c r="O41" i="15"/>
  <c r="D42" i="15"/>
  <c r="E42" i="15"/>
  <c r="H42" i="15"/>
  <c r="I42" i="15"/>
  <c r="J42" i="15"/>
  <c r="K42" i="15"/>
  <c r="L42" i="15"/>
  <c r="M42" i="15"/>
  <c r="Q42" i="15"/>
  <c r="D43" i="15"/>
  <c r="E43" i="15"/>
  <c r="F43" i="15"/>
  <c r="G43" i="15"/>
  <c r="H43" i="15"/>
  <c r="I43" i="15"/>
  <c r="J43" i="15"/>
  <c r="K43" i="15"/>
  <c r="L43" i="15"/>
  <c r="M43" i="15"/>
  <c r="N43" i="15"/>
  <c r="O43" i="15"/>
  <c r="D44" i="15"/>
  <c r="E44" i="15"/>
  <c r="F44" i="15"/>
  <c r="G44" i="15"/>
  <c r="H44" i="15"/>
  <c r="I44" i="15"/>
  <c r="K44" i="15"/>
  <c r="L44" i="15"/>
  <c r="M44" i="15"/>
  <c r="N44" i="15"/>
  <c r="O44" i="15"/>
  <c r="D45" i="15"/>
  <c r="P45" i="15" s="1"/>
  <c r="E45" i="15"/>
  <c r="F45" i="15"/>
  <c r="H45" i="15"/>
  <c r="I45" i="15"/>
  <c r="J45" i="15"/>
  <c r="K45" i="15"/>
  <c r="L45" i="15"/>
  <c r="M45" i="15"/>
  <c r="N45" i="15"/>
  <c r="T45" i="15"/>
  <c r="P46" i="15"/>
  <c r="R46" i="15" s="1"/>
  <c r="Q46" i="15"/>
  <c r="T46" i="15"/>
  <c r="D47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D48" i="15"/>
  <c r="E48" i="15"/>
  <c r="F48" i="15"/>
  <c r="G48" i="15"/>
  <c r="H48" i="15"/>
  <c r="I48" i="15"/>
  <c r="J48" i="15"/>
  <c r="K48" i="15"/>
  <c r="L48" i="15"/>
  <c r="M48" i="15"/>
  <c r="N48" i="15"/>
  <c r="O48" i="15"/>
  <c r="G49" i="15"/>
  <c r="H49" i="15"/>
  <c r="J49" i="15"/>
  <c r="L49" i="15"/>
  <c r="M49" i="15"/>
  <c r="N49" i="15"/>
  <c r="O49" i="15"/>
  <c r="D50" i="15"/>
  <c r="E50" i="15"/>
  <c r="F50" i="15"/>
  <c r="G50" i="15"/>
  <c r="H50" i="15"/>
  <c r="I50" i="15"/>
  <c r="J50" i="15"/>
  <c r="K50" i="15"/>
  <c r="L50" i="15"/>
  <c r="M50" i="15"/>
  <c r="N50" i="15"/>
  <c r="O50" i="15"/>
  <c r="D51" i="15"/>
  <c r="E51" i="15"/>
  <c r="F51" i="15"/>
  <c r="G51" i="15"/>
  <c r="H51" i="15"/>
  <c r="I51" i="15"/>
  <c r="J51" i="15"/>
  <c r="K51" i="15"/>
  <c r="L51" i="15"/>
  <c r="M51" i="15"/>
  <c r="N51" i="15"/>
  <c r="O51" i="15"/>
  <c r="P51" i="15"/>
  <c r="F52" i="15"/>
  <c r="G52" i="15"/>
  <c r="H52" i="15"/>
  <c r="I52" i="15"/>
  <c r="N52" i="15"/>
  <c r="D53" i="15"/>
  <c r="Q53" i="15" s="1"/>
  <c r="E53" i="15"/>
  <c r="P53" i="15" s="1"/>
  <c r="F53" i="15"/>
  <c r="G53" i="15"/>
  <c r="H53" i="15"/>
  <c r="I53" i="15"/>
  <c r="J53" i="15"/>
  <c r="K53" i="15"/>
  <c r="L53" i="15"/>
  <c r="M53" i="15"/>
  <c r="N53" i="15"/>
  <c r="O53" i="15"/>
  <c r="D54" i="15"/>
  <c r="F54" i="15"/>
  <c r="G54" i="15"/>
  <c r="H54" i="15"/>
  <c r="I54" i="15"/>
  <c r="J54" i="15"/>
  <c r="K54" i="15"/>
  <c r="L54" i="15"/>
  <c r="M54" i="15"/>
  <c r="N54" i="15"/>
  <c r="O54" i="15"/>
  <c r="D56" i="15"/>
  <c r="Q56" i="15" s="1"/>
  <c r="E56" i="15"/>
  <c r="P56" i="15" s="1"/>
  <c r="R56" i="15" s="1"/>
  <c r="F56" i="15"/>
  <c r="G56" i="15"/>
  <c r="H56" i="15"/>
  <c r="I56" i="15"/>
  <c r="J56" i="15"/>
  <c r="K56" i="15"/>
  <c r="L56" i="15"/>
  <c r="M56" i="15"/>
  <c r="N56" i="15"/>
  <c r="O56" i="15"/>
  <c r="D58" i="15"/>
  <c r="Q58" i="15" s="1"/>
  <c r="E58" i="15"/>
  <c r="P58" i="15" s="1"/>
  <c r="R58" i="15" s="1"/>
  <c r="F58" i="15"/>
  <c r="G58" i="15"/>
  <c r="H58" i="15"/>
  <c r="I58" i="15"/>
  <c r="J58" i="15"/>
  <c r="K58" i="15"/>
  <c r="L58" i="15"/>
  <c r="M58" i="15"/>
  <c r="N58" i="15"/>
  <c r="O58" i="15"/>
  <c r="D59" i="15"/>
  <c r="Q59" i="15" s="1"/>
  <c r="E59" i="15"/>
  <c r="P59" i="15" s="1"/>
  <c r="F59" i="15"/>
  <c r="G59" i="15"/>
  <c r="H59" i="15"/>
  <c r="I59" i="15"/>
  <c r="J59" i="15"/>
  <c r="K59" i="15"/>
  <c r="L59" i="15"/>
  <c r="M59" i="15"/>
  <c r="N59" i="15"/>
  <c r="O59" i="15"/>
  <c r="E61" i="15"/>
  <c r="G61" i="15"/>
  <c r="H61" i="15"/>
  <c r="I61" i="15"/>
  <c r="J61" i="15"/>
  <c r="K61" i="15"/>
  <c r="L61" i="15"/>
  <c r="M61" i="15"/>
  <c r="O61" i="15"/>
  <c r="D66" i="15"/>
  <c r="E66" i="15"/>
  <c r="F66" i="15"/>
  <c r="G66" i="15"/>
  <c r="H66" i="15"/>
  <c r="I66" i="15"/>
  <c r="J66" i="15"/>
  <c r="K66" i="15"/>
  <c r="L66" i="15"/>
  <c r="M66" i="15"/>
  <c r="N66" i="15"/>
  <c r="O66" i="15"/>
  <c r="O67" i="15"/>
  <c r="D69" i="15"/>
  <c r="Q69" i="15" s="1"/>
  <c r="E69" i="15"/>
  <c r="F69" i="15"/>
  <c r="G69" i="15"/>
  <c r="H69" i="15"/>
  <c r="I69" i="15"/>
  <c r="J69" i="15"/>
  <c r="K69" i="15"/>
  <c r="L69" i="15"/>
  <c r="M69" i="15"/>
  <c r="N69" i="15"/>
  <c r="O69" i="15"/>
  <c r="P69" i="15"/>
  <c r="E70" i="15"/>
  <c r="J70" i="15"/>
  <c r="M70" i="15"/>
  <c r="O70" i="15"/>
  <c r="D72" i="15"/>
  <c r="Q72" i="15" s="1"/>
  <c r="E72" i="15"/>
  <c r="P72" i="15" s="1"/>
  <c r="F72" i="15"/>
  <c r="G72" i="15"/>
  <c r="H72" i="15"/>
  <c r="I72" i="15"/>
  <c r="J72" i="15"/>
  <c r="K72" i="15"/>
  <c r="L72" i="15"/>
  <c r="M72" i="15"/>
  <c r="N72" i="15"/>
  <c r="O72" i="15"/>
  <c r="E73" i="15"/>
  <c r="G73" i="15"/>
  <c r="J73" i="15"/>
  <c r="M73" i="15"/>
  <c r="A1" i="8"/>
  <c r="A3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B4" i="8"/>
  <c r="O4" i="8"/>
  <c r="P4" i="8"/>
  <c r="Q4" i="8"/>
  <c r="A8" i="8"/>
  <c r="C8" i="8"/>
  <c r="D8" i="8"/>
  <c r="O8" i="8" s="1"/>
  <c r="Q8" i="8" s="1"/>
  <c r="E8" i="8"/>
  <c r="F8" i="8"/>
  <c r="G8" i="8"/>
  <c r="H8" i="8"/>
  <c r="I8" i="8"/>
  <c r="J8" i="8"/>
  <c r="K8" i="8"/>
  <c r="L8" i="8"/>
  <c r="M8" i="8"/>
  <c r="N8" i="8"/>
  <c r="P8" i="8"/>
  <c r="A9" i="8"/>
  <c r="C9" i="8"/>
  <c r="D9" i="8"/>
  <c r="E9" i="8"/>
  <c r="F9" i="8"/>
  <c r="G9" i="8"/>
  <c r="H9" i="8"/>
  <c r="I9" i="8"/>
  <c r="J9" i="8"/>
  <c r="K9" i="8"/>
  <c r="L9" i="8"/>
  <c r="M9" i="8"/>
  <c r="N9" i="8"/>
  <c r="P9" i="8"/>
  <c r="A10" i="8"/>
  <c r="C10" i="8"/>
  <c r="D10" i="8"/>
  <c r="E10" i="8"/>
  <c r="F10" i="8"/>
  <c r="G10" i="8"/>
  <c r="H10" i="8"/>
  <c r="I10" i="8"/>
  <c r="J10" i="8"/>
  <c r="K10" i="8"/>
  <c r="L10" i="8"/>
  <c r="M10" i="8"/>
  <c r="N10" i="8"/>
  <c r="P10" i="8"/>
  <c r="A11" i="8"/>
  <c r="C11" i="8"/>
  <c r="O11" i="8" s="1"/>
  <c r="Q11" i="8" s="1"/>
  <c r="D11" i="8"/>
  <c r="E11" i="8"/>
  <c r="F11" i="8"/>
  <c r="G11" i="8"/>
  <c r="H11" i="8"/>
  <c r="I11" i="8"/>
  <c r="J11" i="8"/>
  <c r="K11" i="8"/>
  <c r="L11" i="8"/>
  <c r="M11" i="8"/>
  <c r="N11" i="8"/>
  <c r="P11" i="8"/>
  <c r="A12" i="8"/>
  <c r="C12" i="8"/>
  <c r="D12" i="8"/>
  <c r="O12" i="8" s="1"/>
  <c r="Q12" i="8" s="1"/>
  <c r="E12" i="8"/>
  <c r="F12" i="8"/>
  <c r="G12" i="8"/>
  <c r="H12" i="8"/>
  <c r="I12" i="8"/>
  <c r="J12" i="8"/>
  <c r="K12" i="8"/>
  <c r="L12" i="8"/>
  <c r="M12" i="8"/>
  <c r="N12" i="8"/>
  <c r="P12" i="8"/>
  <c r="A13" i="8"/>
  <c r="C13" i="8"/>
  <c r="D13" i="8"/>
  <c r="E13" i="8"/>
  <c r="F13" i="8"/>
  <c r="G13" i="8"/>
  <c r="H13" i="8"/>
  <c r="I13" i="8"/>
  <c r="J13" i="8"/>
  <c r="K13" i="8"/>
  <c r="L13" i="8"/>
  <c r="M13" i="8"/>
  <c r="N13" i="8"/>
  <c r="P13" i="8"/>
  <c r="A14" i="8"/>
  <c r="C14" i="8"/>
  <c r="D14" i="8"/>
  <c r="E14" i="8"/>
  <c r="F14" i="8"/>
  <c r="G14" i="8"/>
  <c r="H14" i="8"/>
  <c r="I14" i="8"/>
  <c r="J14" i="8"/>
  <c r="K14" i="8"/>
  <c r="L14" i="8"/>
  <c r="M14" i="8"/>
  <c r="N14" i="8"/>
  <c r="P14" i="8"/>
  <c r="D16" i="8"/>
  <c r="E16" i="8"/>
  <c r="G16" i="8"/>
  <c r="I16" i="8"/>
  <c r="J16" i="8"/>
  <c r="L16" i="8"/>
  <c r="M16" i="8"/>
  <c r="A19" i="8"/>
  <c r="C19" i="8"/>
  <c r="C22" i="8" s="1"/>
  <c r="H19" i="8"/>
  <c r="H22" i="8" s="1"/>
  <c r="A20" i="8"/>
  <c r="O20" i="8"/>
  <c r="P20" i="8"/>
  <c r="Q20" i="8" s="1"/>
  <c r="F22" i="8"/>
  <c r="C25" i="8"/>
  <c r="D25" i="8"/>
  <c r="E25" i="8"/>
  <c r="F25" i="8"/>
  <c r="G25" i="8"/>
  <c r="G34" i="8" s="1"/>
  <c r="G39" i="8" s="1"/>
  <c r="H25" i="8"/>
  <c r="I25" i="8"/>
  <c r="J25" i="8"/>
  <c r="J34" i="8" s="1"/>
  <c r="J39" i="8" s="1"/>
  <c r="K25" i="8"/>
  <c r="L25" i="8"/>
  <c r="M25" i="8"/>
  <c r="M34" i="8" s="1"/>
  <c r="M39" i="8" s="1"/>
  <c r="N25" i="8"/>
  <c r="P25" i="8"/>
  <c r="C26" i="8"/>
  <c r="C34" i="8" s="1"/>
  <c r="C39" i="8" s="1"/>
  <c r="D26" i="8"/>
  <c r="E26" i="8"/>
  <c r="F26" i="8"/>
  <c r="G26" i="8"/>
  <c r="H26" i="8"/>
  <c r="I26" i="8"/>
  <c r="J26" i="8"/>
  <c r="K26" i="8"/>
  <c r="L26" i="8"/>
  <c r="M26" i="8"/>
  <c r="N26" i="8"/>
  <c r="O27" i="8"/>
  <c r="P27" i="8"/>
  <c r="Q27" i="8"/>
  <c r="C28" i="8"/>
  <c r="D28" i="8"/>
  <c r="E28" i="8"/>
  <c r="F28" i="8"/>
  <c r="G28" i="8"/>
  <c r="H28" i="8"/>
  <c r="I28" i="8"/>
  <c r="J28" i="8"/>
  <c r="K28" i="8"/>
  <c r="L28" i="8"/>
  <c r="M28" i="8"/>
  <c r="N28" i="8"/>
  <c r="C29" i="8"/>
  <c r="D29" i="8"/>
  <c r="E29" i="8"/>
  <c r="F29" i="8"/>
  <c r="G29" i="8"/>
  <c r="H29" i="8"/>
  <c r="I29" i="8"/>
  <c r="J29" i="8"/>
  <c r="K29" i="8"/>
  <c r="L29" i="8"/>
  <c r="M29" i="8"/>
  <c r="N29" i="8"/>
  <c r="P29" i="8"/>
  <c r="O30" i="8"/>
  <c r="Q30" i="8" s="1"/>
  <c r="P30" i="8"/>
  <c r="C31" i="8"/>
  <c r="D31" i="8"/>
  <c r="P31" i="8" s="1"/>
  <c r="E31" i="8"/>
  <c r="F31" i="8"/>
  <c r="G31" i="8"/>
  <c r="H31" i="8"/>
  <c r="I31" i="8"/>
  <c r="J31" i="8"/>
  <c r="K31" i="8"/>
  <c r="L31" i="8"/>
  <c r="M31" i="8"/>
  <c r="N31" i="8"/>
  <c r="C32" i="8"/>
  <c r="D32" i="8"/>
  <c r="P32" i="8" s="1"/>
  <c r="E32" i="8"/>
  <c r="F32" i="8"/>
  <c r="G32" i="8"/>
  <c r="H32" i="8"/>
  <c r="I32" i="8"/>
  <c r="J32" i="8"/>
  <c r="K32" i="8"/>
  <c r="L32" i="8"/>
  <c r="M32" i="8"/>
  <c r="N32" i="8"/>
  <c r="O33" i="8"/>
  <c r="P33" i="8"/>
  <c r="Q33" i="8"/>
  <c r="E34" i="8"/>
  <c r="E39" i="8" s="1"/>
  <c r="H34" i="8"/>
  <c r="H39" i="8" s="1"/>
  <c r="K34" i="8"/>
  <c r="K39" i="8" s="1"/>
  <c r="O42" i="8"/>
  <c r="P42" i="8"/>
  <c r="F43" i="8"/>
  <c r="C44" i="8"/>
  <c r="D44" i="8"/>
  <c r="E44" i="8"/>
  <c r="F44" i="8"/>
  <c r="G44" i="8"/>
  <c r="H44" i="8"/>
  <c r="I44" i="8"/>
  <c r="J44" i="8"/>
  <c r="K44" i="8"/>
  <c r="L44" i="8"/>
  <c r="M44" i="8"/>
  <c r="N44" i="8"/>
  <c r="C45" i="8"/>
  <c r="D70" i="15" s="1"/>
  <c r="D45" i="8"/>
  <c r="E45" i="8"/>
  <c r="F70" i="15" s="1"/>
  <c r="F45" i="8"/>
  <c r="G45" i="8"/>
  <c r="H70" i="15" s="1"/>
  <c r="H45" i="8"/>
  <c r="I70" i="15" s="1"/>
  <c r="I45" i="8"/>
  <c r="J45" i="8"/>
  <c r="K70" i="15" s="1"/>
  <c r="K45" i="8"/>
  <c r="L70" i="15" s="1"/>
  <c r="L45" i="8"/>
  <c r="M45" i="8"/>
  <c r="N70" i="15" s="1"/>
  <c r="N45" i="8"/>
  <c r="P45" i="8"/>
  <c r="C46" i="8"/>
  <c r="D73" i="15" s="1"/>
  <c r="D46" i="8"/>
  <c r="E46" i="8"/>
  <c r="F73" i="15" s="1"/>
  <c r="F46" i="8"/>
  <c r="G46" i="8"/>
  <c r="H73" i="15" s="1"/>
  <c r="H46" i="8"/>
  <c r="I73" i="15" s="1"/>
  <c r="I46" i="8"/>
  <c r="J46" i="8"/>
  <c r="K73" i="15" s="1"/>
  <c r="K46" i="8"/>
  <c r="L73" i="15" s="1"/>
  <c r="L46" i="8"/>
  <c r="M46" i="8"/>
  <c r="N73" i="15" s="1"/>
  <c r="N46" i="8"/>
  <c r="O73" i="15" s="1"/>
  <c r="P46" i="8"/>
  <c r="O47" i="8"/>
  <c r="P47" i="8"/>
  <c r="Q47" i="8" s="1"/>
  <c r="E49" i="8"/>
  <c r="G49" i="8"/>
  <c r="O52" i="8"/>
  <c r="Q52" i="8" s="1"/>
  <c r="P52" i="8"/>
  <c r="C55" i="8"/>
  <c r="D21" i="15" s="1"/>
  <c r="D55" i="8"/>
  <c r="E55" i="8"/>
  <c r="F55" i="8"/>
  <c r="G21" i="15" s="1"/>
  <c r="G55" i="8"/>
  <c r="H21" i="15" s="1"/>
  <c r="H55" i="8"/>
  <c r="I21" i="15" s="1"/>
  <c r="I55" i="8"/>
  <c r="J21" i="15" s="1"/>
  <c r="J55" i="8"/>
  <c r="K21" i="15" s="1"/>
  <c r="K55" i="8"/>
  <c r="L21" i="15" s="1"/>
  <c r="L55" i="8"/>
  <c r="M21" i="15" s="1"/>
  <c r="M55" i="8"/>
  <c r="N21" i="15" s="1"/>
  <c r="N55" i="8"/>
  <c r="O21" i="15" s="1"/>
  <c r="O55" i="8"/>
  <c r="C63" i="8"/>
  <c r="D63" i="8"/>
  <c r="E63" i="8"/>
  <c r="F13" i="15" s="1"/>
  <c r="G63" i="8"/>
  <c r="G64" i="8" s="1"/>
  <c r="H63" i="8"/>
  <c r="I63" i="8"/>
  <c r="J63" i="8"/>
  <c r="K63" i="8"/>
  <c r="L63" i="8"/>
  <c r="M63" i="8"/>
  <c r="M64" i="8" s="1"/>
  <c r="D64" i="8"/>
  <c r="E64" i="8"/>
  <c r="F64" i="8"/>
  <c r="H64" i="8"/>
  <c r="I64" i="8"/>
  <c r="K64" i="8"/>
  <c r="N64" i="8"/>
  <c r="D65" i="8"/>
  <c r="E17" i="15" s="1"/>
  <c r="O132" i="8"/>
  <c r="P132" i="8"/>
  <c r="Q132" i="8" s="1"/>
  <c r="AG132" i="8"/>
  <c r="AH132" i="8"/>
  <c r="AI132" i="8" s="1"/>
  <c r="O133" i="8"/>
  <c r="Q133" i="8" s="1"/>
  <c r="P133" i="8"/>
  <c r="AG133" i="8"/>
  <c r="AI133" i="8" s="1"/>
  <c r="AH133" i="8"/>
  <c r="O134" i="8"/>
  <c r="P134" i="8"/>
  <c r="Q134" i="8"/>
  <c r="AG134" i="8"/>
  <c r="AH134" i="8"/>
  <c r="AI134" i="8"/>
  <c r="O135" i="8"/>
  <c r="Q135" i="8" s="1"/>
  <c r="P135" i="8"/>
  <c r="AG135" i="8"/>
  <c r="AH135" i="8"/>
  <c r="O136" i="8"/>
  <c r="P136" i="8"/>
  <c r="Q136" i="8"/>
  <c r="AG136" i="8"/>
  <c r="AH136" i="8"/>
  <c r="AI136" i="8"/>
  <c r="O137" i="8"/>
  <c r="Q137" i="8" s="1"/>
  <c r="P137" i="8"/>
  <c r="AG137" i="8"/>
  <c r="AI137" i="8" s="1"/>
  <c r="AH137" i="8"/>
  <c r="O138" i="8"/>
  <c r="Q138" i="8" s="1"/>
  <c r="P138" i="8"/>
  <c r="AG138" i="8"/>
  <c r="AH138" i="8"/>
  <c r="C140" i="8"/>
  <c r="D140" i="8"/>
  <c r="D143" i="8" s="1"/>
  <c r="E140" i="8"/>
  <c r="E143" i="8" s="1"/>
  <c r="F140" i="8"/>
  <c r="G140" i="8"/>
  <c r="H140" i="8"/>
  <c r="I140" i="8"/>
  <c r="I143" i="8" s="1"/>
  <c r="J140" i="8"/>
  <c r="K140" i="8"/>
  <c r="K143" i="8" s="1"/>
  <c r="L140" i="8"/>
  <c r="L143" i="8" s="1"/>
  <c r="M140" i="8"/>
  <c r="M143" i="8" s="1"/>
  <c r="N140" i="8"/>
  <c r="U140" i="8"/>
  <c r="V140" i="8"/>
  <c r="W140" i="8"/>
  <c r="W143" i="8" s="1"/>
  <c r="X140" i="8"/>
  <c r="X143" i="8" s="1"/>
  <c r="Y140" i="8"/>
  <c r="Z140" i="8"/>
  <c r="AA140" i="8"/>
  <c r="AB140" i="8"/>
  <c r="AB143" i="8" s="1"/>
  <c r="AC140" i="8"/>
  <c r="AD140" i="8"/>
  <c r="AD143" i="8" s="1"/>
  <c r="AE140" i="8"/>
  <c r="AE143" i="8" s="1"/>
  <c r="O141" i="8"/>
  <c r="Q141" i="8" s="1"/>
  <c r="P141" i="8"/>
  <c r="AG141" i="8"/>
  <c r="AI141" i="8" s="1"/>
  <c r="AH141" i="8"/>
  <c r="F143" i="8"/>
  <c r="G143" i="8"/>
  <c r="H143" i="8"/>
  <c r="J143" i="8"/>
  <c r="N143" i="8"/>
  <c r="U143" i="8"/>
  <c r="Y143" i="8"/>
  <c r="Z143" i="8"/>
  <c r="AA143" i="8"/>
  <c r="AC143" i="8"/>
  <c r="AF143" i="8"/>
  <c r="A1" i="7"/>
  <c r="A3" i="7"/>
  <c r="B3" i="7"/>
  <c r="B4" i="7"/>
  <c r="P4" i="7"/>
  <c r="P7" i="7"/>
  <c r="P8" i="7"/>
  <c r="P9" i="7"/>
  <c r="D11" i="7"/>
  <c r="E11" i="7"/>
  <c r="E13" i="7" s="1"/>
  <c r="F11" i="7"/>
  <c r="G11" i="7"/>
  <c r="H11" i="7"/>
  <c r="I11" i="7"/>
  <c r="I13" i="7" s="1"/>
  <c r="J11" i="7"/>
  <c r="K11" i="7"/>
  <c r="K13" i="7" s="1"/>
  <c r="L11" i="7"/>
  <c r="M11" i="7"/>
  <c r="M13" i="7" s="1"/>
  <c r="N11" i="7"/>
  <c r="O11" i="7"/>
  <c r="D13" i="7"/>
  <c r="F13" i="7"/>
  <c r="G13" i="7"/>
  <c r="H13" i="7"/>
  <c r="J13" i="7"/>
  <c r="L13" i="7"/>
  <c r="N13" i="7"/>
  <c r="O13" i="7"/>
  <c r="D15" i="7"/>
  <c r="P15" i="7" s="1"/>
  <c r="P19" i="7" s="1"/>
  <c r="E15" i="7"/>
  <c r="F15" i="7"/>
  <c r="F19" i="7" s="1"/>
  <c r="F32" i="7" s="1"/>
  <c r="F37" i="7" s="1"/>
  <c r="F39" i="7" s="1"/>
  <c r="F43" i="7" s="1"/>
  <c r="G15" i="7"/>
  <c r="G19" i="7" s="1"/>
  <c r="H15" i="7"/>
  <c r="I15" i="7"/>
  <c r="I19" i="7" s="1"/>
  <c r="J15" i="7"/>
  <c r="K15" i="7"/>
  <c r="K19" i="7" s="1"/>
  <c r="K32" i="7" s="1"/>
  <c r="K37" i="7" s="1"/>
  <c r="L15" i="7"/>
  <c r="M15" i="7"/>
  <c r="N15" i="7"/>
  <c r="N19" i="7" s="1"/>
  <c r="N32" i="7" s="1"/>
  <c r="O15" i="7"/>
  <c r="O19" i="7" s="1"/>
  <c r="P16" i="7"/>
  <c r="P17" i="7"/>
  <c r="D19" i="7"/>
  <c r="D32" i="7" s="1"/>
  <c r="E19" i="7"/>
  <c r="E32" i="7" s="1"/>
  <c r="E37" i="7" s="1"/>
  <c r="E39" i="7" s="1"/>
  <c r="H19" i="7"/>
  <c r="H32" i="7" s="1"/>
  <c r="J19" i="7"/>
  <c r="J32" i="7" s="1"/>
  <c r="J37" i="7" s="1"/>
  <c r="J39" i="7" s="1"/>
  <c r="J43" i="7" s="1"/>
  <c r="L19" i="7"/>
  <c r="L32" i="7" s="1"/>
  <c r="L37" i="7" s="1"/>
  <c r="L39" i="7" s="1"/>
  <c r="L43" i="7" s="1"/>
  <c r="M19" i="7"/>
  <c r="M32" i="7" s="1"/>
  <c r="M37" i="7" s="1"/>
  <c r="M39" i="7" s="1"/>
  <c r="P22" i="7"/>
  <c r="P23" i="7"/>
  <c r="P24" i="7"/>
  <c r="P25" i="7"/>
  <c r="P26" i="7"/>
  <c r="P27" i="7"/>
  <c r="P28" i="7"/>
  <c r="D30" i="7"/>
  <c r="E30" i="7"/>
  <c r="F30" i="7"/>
  <c r="G30" i="7"/>
  <c r="H30" i="7"/>
  <c r="I30" i="7"/>
  <c r="J30" i="7"/>
  <c r="K30" i="7"/>
  <c r="L30" i="7"/>
  <c r="M30" i="7"/>
  <c r="N30" i="7"/>
  <c r="O30" i="7"/>
  <c r="G32" i="7"/>
  <c r="G37" i="7" s="1"/>
  <c r="G39" i="7" s="1"/>
  <c r="G43" i="7" s="1"/>
  <c r="I32" i="7"/>
  <c r="I37" i="7" s="1"/>
  <c r="I39" i="7" s="1"/>
  <c r="I43" i="7" s="1"/>
  <c r="O32" i="7"/>
  <c r="O37" i="7" s="1"/>
  <c r="O39" i="7" s="1"/>
  <c r="O43" i="7" s="1"/>
  <c r="P33" i="7"/>
  <c r="P34" i="7"/>
  <c r="P35" i="7"/>
  <c r="A37" i="7"/>
  <c r="H37" i="7"/>
  <c r="H39" i="7" s="1"/>
  <c r="H43" i="7" s="1"/>
  <c r="N37" i="7"/>
  <c r="N39" i="7" s="1"/>
  <c r="N43" i="7" s="1"/>
  <c r="K39" i="7"/>
  <c r="K43" i="7" s="1"/>
  <c r="P41" i="7"/>
  <c r="E43" i="7"/>
  <c r="M43" i="7"/>
  <c r="D49" i="7"/>
  <c r="P51" i="7"/>
  <c r="P55" i="7"/>
  <c r="D62" i="7"/>
  <c r="D64" i="7" s="1"/>
  <c r="E62" i="7"/>
  <c r="F62" i="7"/>
  <c r="G62" i="7"/>
  <c r="H62" i="7"/>
  <c r="I62" i="7"/>
  <c r="J62" i="7"/>
  <c r="K62" i="7"/>
  <c r="L62" i="7"/>
  <c r="M62" i="7"/>
  <c r="N62" i="7"/>
  <c r="O62" i="7"/>
  <c r="P65" i="7"/>
  <c r="A71" i="7"/>
  <c r="A73" i="7"/>
  <c r="B73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C76" i="7"/>
  <c r="C659" i="7" s="1"/>
  <c r="D78" i="7"/>
  <c r="D80" i="7"/>
  <c r="E80" i="7"/>
  <c r="F80" i="7"/>
  <c r="G80" i="7"/>
  <c r="H80" i="7"/>
  <c r="I80" i="7"/>
  <c r="J80" i="7"/>
  <c r="K80" i="7"/>
  <c r="L80" i="7"/>
  <c r="M80" i="7"/>
  <c r="N80" i="7"/>
  <c r="O80" i="7"/>
  <c r="P82" i="7"/>
  <c r="P84" i="7"/>
  <c r="A90" i="7"/>
  <c r="D90" i="7"/>
  <c r="E90" i="7"/>
  <c r="E673" i="7" s="1"/>
  <c r="F90" i="7"/>
  <c r="G90" i="7"/>
  <c r="H90" i="7"/>
  <c r="I90" i="7"/>
  <c r="J90" i="7"/>
  <c r="K90" i="7"/>
  <c r="L90" i="7"/>
  <c r="M90" i="7"/>
  <c r="M673" i="7" s="1"/>
  <c r="N90" i="7"/>
  <c r="O90" i="7"/>
  <c r="A91" i="7"/>
  <c r="H91" i="7"/>
  <c r="H674" i="7" s="1"/>
  <c r="J91" i="7"/>
  <c r="J674" i="7" s="1"/>
  <c r="P94" i="7"/>
  <c r="A95" i="7"/>
  <c r="A97" i="7"/>
  <c r="A100" i="7"/>
  <c r="A102" i="7"/>
  <c r="B102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P106" i="7"/>
  <c r="P107" i="7"/>
  <c r="P108" i="7"/>
  <c r="D110" i="7"/>
  <c r="E110" i="7"/>
  <c r="F110" i="7"/>
  <c r="F112" i="7" s="1"/>
  <c r="G110" i="7"/>
  <c r="H110" i="7"/>
  <c r="H112" i="7" s="1"/>
  <c r="I110" i="7"/>
  <c r="J110" i="7"/>
  <c r="J112" i="7" s="1"/>
  <c r="K110" i="7"/>
  <c r="L110" i="7"/>
  <c r="M110" i="7"/>
  <c r="N110" i="7"/>
  <c r="N112" i="7" s="1"/>
  <c r="O110" i="7"/>
  <c r="P110" i="7"/>
  <c r="P112" i="7" s="1"/>
  <c r="D112" i="7"/>
  <c r="E112" i="7"/>
  <c r="G112" i="7"/>
  <c r="I112" i="7"/>
  <c r="K112" i="7"/>
  <c r="L112" i="7"/>
  <c r="M112" i="7"/>
  <c r="O112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5" i="7"/>
  <c r="H116" i="7"/>
  <c r="P116" i="7"/>
  <c r="D118" i="7"/>
  <c r="D126" i="7" s="1"/>
  <c r="E118" i="7"/>
  <c r="F118" i="7"/>
  <c r="G118" i="7"/>
  <c r="H118" i="7"/>
  <c r="H126" i="7" s="1"/>
  <c r="H131" i="7" s="1"/>
  <c r="H133" i="7" s="1"/>
  <c r="I118" i="7"/>
  <c r="J118" i="7"/>
  <c r="K118" i="7"/>
  <c r="L118" i="7"/>
  <c r="L126" i="7" s="1"/>
  <c r="L131" i="7" s="1"/>
  <c r="M118" i="7"/>
  <c r="N118" i="7"/>
  <c r="O118" i="7"/>
  <c r="P121" i="7"/>
  <c r="R121" i="7"/>
  <c r="P122" i="7"/>
  <c r="D124" i="7"/>
  <c r="E124" i="7"/>
  <c r="D19" i="8" s="1"/>
  <c r="F124" i="7"/>
  <c r="E19" i="8" s="1"/>
  <c r="E22" i="8" s="1"/>
  <c r="E36" i="8" s="1"/>
  <c r="G124" i="7"/>
  <c r="F19" i="8" s="1"/>
  <c r="H124" i="7"/>
  <c r="G19" i="8" s="1"/>
  <c r="G22" i="8" s="1"/>
  <c r="G38" i="8" s="1"/>
  <c r="I124" i="7"/>
  <c r="J124" i="7"/>
  <c r="I19" i="8" s="1"/>
  <c r="I22" i="8" s="1"/>
  <c r="K124" i="7"/>
  <c r="J19" i="8" s="1"/>
  <c r="J22" i="8" s="1"/>
  <c r="J38" i="8" s="1"/>
  <c r="L124" i="7"/>
  <c r="K19" i="8" s="1"/>
  <c r="K22" i="8" s="1"/>
  <c r="M124" i="7"/>
  <c r="L19" i="8" s="1"/>
  <c r="L22" i="8" s="1"/>
  <c r="N124" i="7"/>
  <c r="M19" i="8" s="1"/>
  <c r="M22" i="8" s="1"/>
  <c r="O124" i="7"/>
  <c r="N19" i="8" s="1"/>
  <c r="N22" i="8" s="1"/>
  <c r="P124" i="7"/>
  <c r="E126" i="7"/>
  <c r="G126" i="7"/>
  <c r="I126" i="7"/>
  <c r="J126" i="7"/>
  <c r="K126" i="7"/>
  <c r="M126" i="7"/>
  <c r="O126" i="7"/>
  <c r="O131" i="7" s="1"/>
  <c r="O133" i="7" s="1"/>
  <c r="P127" i="7"/>
  <c r="P128" i="7"/>
  <c r="P129" i="7"/>
  <c r="E131" i="7"/>
  <c r="G131" i="7"/>
  <c r="G133" i="7" s="1"/>
  <c r="I131" i="7"/>
  <c r="I133" i="7" s="1"/>
  <c r="J131" i="7"/>
  <c r="K131" i="7"/>
  <c r="K133" i="7" s="1"/>
  <c r="M131" i="7"/>
  <c r="E133" i="7"/>
  <c r="E143" i="7" s="1"/>
  <c r="J133" i="7"/>
  <c r="L133" i="7"/>
  <c r="M133" i="7"/>
  <c r="M143" i="7" s="1"/>
  <c r="C137" i="7"/>
  <c r="D139" i="7"/>
  <c r="P141" i="7"/>
  <c r="G143" i="7"/>
  <c r="P145" i="7"/>
  <c r="A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A152" i="7"/>
  <c r="D152" i="7"/>
  <c r="D154" i="7" s="1"/>
  <c r="E152" i="7"/>
  <c r="F152" i="7"/>
  <c r="G152" i="7"/>
  <c r="H152" i="7"/>
  <c r="I152" i="7"/>
  <c r="J152" i="7"/>
  <c r="K152" i="7"/>
  <c r="L152" i="7"/>
  <c r="M152" i="7"/>
  <c r="N152" i="7"/>
  <c r="O152" i="7"/>
  <c r="P155" i="7"/>
  <c r="A156" i="7"/>
  <c r="A158" i="7"/>
  <c r="A161" i="7"/>
  <c r="A163" i="7"/>
  <c r="B163" i="7"/>
  <c r="B164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D167" i="7"/>
  <c r="L167" i="7"/>
  <c r="G168" i="7"/>
  <c r="M168" i="7"/>
  <c r="O168" i="7"/>
  <c r="J169" i="7"/>
  <c r="D175" i="7"/>
  <c r="D181" i="7" s="1"/>
  <c r="D26" i="15" s="1"/>
  <c r="E175" i="7"/>
  <c r="F175" i="7"/>
  <c r="F181" i="7" s="1"/>
  <c r="G175" i="7"/>
  <c r="H175" i="7"/>
  <c r="I175" i="7"/>
  <c r="I181" i="7" s="1"/>
  <c r="J175" i="7"/>
  <c r="K175" i="7"/>
  <c r="K181" i="7" s="1"/>
  <c r="K191" i="7" s="1"/>
  <c r="L175" i="7"/>
  <c r="L181" i="7" s="1"/>
  <c r="L26" i="15" s="1"/>
  <c r="M175" i="7"/>
  <c r="N175" i="7"/>
  <c r="N181" i="7" s="1"/>
  <c r="O175" i="7"/>
  <c r="P176" i="7"/>
  <c r="P177" i="7"/>
  <c r="P178" i="7"/>
  <c r="P179" i="7"/>
  <c r="E181" i="7"/>
  <c r="E26" i="15" s="1"/>
  <c r="G181" i="7"/>
  <c r="G26" i="15" s="1"/>
  <c r="H181" i="7"/>
  <c r="J181" i="7"/>
  <c r="J26" i="15" s="1"/>
  <c r="M181" i="7"/>
  <c r="M26" i="15" s="1"/>
  <c r="O181" i="7"/>
  <c r="O26" i="15" s="1"/>
  <c r="P184" i="7"/>
  <c r="P185" i="7"/>
  <c r="P189" i="7" s="1"/>
  <c r="P186" i="7"/>
  <c r="P187" i="7"/>
  <c r="D189" i="7"/>
  <c r="E189" i="7"/>
  <c r="F189" i="7"/>
  <c r="G189" i="7"/>
  <c r="H189" i="7"/>
  <c r="I189" i="7"/>
  <c r="H34" i="9" s="1"/>
  <c r="J189" i="7"/>
  <c r="K189" i="7"/>
  <c r="L189" i="7"/>
  <c r="M189" i="7"/>
  <c r="N189" i="7"/>
  <c r="O189" i="7"/>
  <c r="D191" i="7"/>
  <c r="E191" i="7"/>
  <c r="L191" i="7"/>
  <c r="L195" i="7" s="1"/>
  <c r="L197" i="7" s="1"/>
  <c r="M191" i="7"/>
  <c r="P192" i="7"/>
  <c r="P193" i="7"/>
  <c r="E195" i="7"/>
  <c r="E197" i="7" s="1"/>
  <c r="D48" i="9" s="1"/>
  <c r="K195" i="7"/>
  <c r="K197" i="7" s="1"/>
  <c r="J48" i="9" s="1"/>
  <c r="M195" i="7"/>
  <c r="M197" i="7" s="1"/>
  <c r="L48" i="9" s="1"/>
  <c r="C201" i="7"/>
  <c r="D203" i="7"/>
  <c r="P205" i="7"/>
  <c r="K207" i="7"/>
  <c r="K234" i="7" s="1"/>
  <c r="K282" i="7" s="1"/>
  <c r="M207" i="7"/>
  <c r="M234" i="7" s="1"/>
  <c r="M282" i="7" s="1"/>
  <c r="P209" i="7"/>
  <c r="A216" i="7"/>
  <c r="A218" i="7"/>
  <c r="A220" i="7"/>
  <c r="A223" i="7"/>
  <c r="A225" i="7"/>
  <c r="B225" i="7"/>
  <c r="B226" i="7"/>
  <c r="C226" i="7"/>
  <c r="D226" i="7"/>
  <c r="E226" i="7"/>
  <c r="F226" i="7"/>
  <c r="G226" i="7"/>
  <c r="H226" i="7"/>
  <c r="I226" i="7"/>
  <c r="J226" i="7"/>
  <c r="K226" i="7"/>
  <c r="L226" i="7"/>
  <c r="M226" i="7"/>
  <c r="N226" i="7"/>
  <c r="O226" i="7"/>
  <c r="P226" i="7"/>
  <c r="C228" i="7"/>
  <c r="D230" i="7"/>
  <c r="P232" i="7"/>
  <c r="D236" i="7"/>
  <c r="E236" i="7"/>
  <c r="F236" i="7"/>
  <c r="G236" i="7"/>
  <c r="H236" i="7"/>
  <c r="I236" i="7"/>
  <c r="I260" i="7" s="1"/>
  <c r="J236" i="7"/>
  <c r="J260" i="7" s="1"/>
  <c r="K236" i="7"/>
  <c r="L236" i="7"/>
  <c r="M236" i="7"/>
  <c r="N236" i="7"/>
  <c r="O236" i="7"/>
  <c r="A242" i="7"/>
  <c r="D242" i="7"/>
  <c r="E242" i="7"/>
  <c r="F242" i="7"/>
  <c r="G242" i="7"/>
  <c r="H242" i="7"/>
  <c r="I242" i="7"/>
  <c r="J242" i="7"/>
  <c r="K242" i="7"/>
  <c r="L242" i="7"/>
  <c r="M242" i="7"/>
  <c r="N242" i="7"/>
  <c r="O242" i="7"/>
  <c r="A243" i="7"/>
  <c r="D243" i="7"/>
  <c r="E243" i="7"/>
  <c r="F243" i="7"/>
  <c r="G243" i="7"/>
  <c r="H243" i="7"/>
  <c r="J243" i="7"/>
  <c r="L243" i="7"/>
  <c r="M243" i="7"/>
  <c r="N243" i="7"/>
  <c r="O243" i="7"/>
  <c r="D245" i="7"/>
  <c r="P246" i="7"/>
  <c r="A247" i="7"/>
  <c r="D247" i="7"/>
  <c r="D238" i="7" s="1"/>
  <c r="A249" i="7"/>
  <c r="C252" i="7"/>
  <c r="D254" i="7"/>
  <c r="D256" i="7"/>
  <c r="E256" i="7"/>
  <c r="F256" i="7"/>
  <c r="F280" i="7" s="1"/>
  <c r="G256" i="7"/>
  <c r="H256" i="7"/>
  <c r="H280" i="7" s="1"/>
  <c r="I256" i="7"/>
  <c r="J256" i="7"/>
  <c r="K256" i="7"/>
  <c r="K280" i="7" s="1"/>
  <c r="L256" i="7"/>
  <c r="M256" i="7"/>
  <c r="M280" i="7" s="1"/>
  <c r="N256" i="7"/>
  <c r="N280" i="7" s="1"/>
  <c r="O256" i="7"/>
  <c r="P258" i="7"/>
  <c r="E260" i="7"/>
  <c r="E284" i="7" s="1"/>
  <c r="G260" i="7"/>
  <c r="G284" i="7" s="1"/>
  <c r="H260" i="7"/>
  <c r="K260" i="7"/>
  <c r="M260" i="7"/>
  <c r="M284" i="7" s="1"/>
  <c r="O260" i="7"/>
  <c r="O284" i="7" s="1"/>
  <c r="C264" i="7"/>
  <c r="A267" i="7"/>
  <c r="D267" i="7"/>
  <c r="D269" i="7" s="1"/>
  <c r="D271" i="7" s="1"/>
  <c r="E267" i="7"/>
  <c r="F267" i="7"/>
  <c r="G267" i="7"/>
  <c r="H267" i="7"/>
  <c r="I267" i="7"/>
  <c r="J267" i="7"/>
  <c r="K267" i="7"/>
  <c r="L267" i="7"/>
  <c r="M267" i="7"/>
  <c r="N267" i="7"/>
  <c r="O267" i="7"/>
  <c r="P270" i="7"/>
  <c r="A271" i="7"/>
  <c r="A273" i="7"/>
  <c r="C276" i="7"/>
  <c r="D280" i="7"/>
  <c r="G280" i="7"/>
  <c r="I280" i="7"/>
  <c r="J280" i="7"/>
  <c r="L280" i="7"/>
  <c r="O280" i="7"/>
  <c r="H284" i="7"/>
  <c r="J284" i="7"/>
  <c r="K284" i="7"/>
  <c r="C288" i="7"/>
  <c r="D278" i="7" s="1"/>
  <c r="A291" i="7"/>
  <c r="A293" i="7"/>
  <c r="A295" i="7"/>
  <c r="A298" i="7"/>
  <c r="A300" i="7"/>
  <c r="B300" i="7"/>
  <c r="B301" i="7"/>
  <c r="C301" i="7"/>
  <c r="D301" i="7"/>
  <c r="E301" i="7"/>
  <c r="F301" i="7"/>
  <c r="G301" i="7"/>
  <c r="H301" i="7"/>
  <c r="I301" i="7"/>
  <c r="J301" i="7"/>
  <c r="K301" i="7"/>
  <c r="L301" i="7"/>
  <c r="M301" i="7"/>
  <c r="N301" i="7"/>
  <c r="O301" i="7"/>
  <c r="P301" i="7"/>
  <c r="D304" i="7"/>
  <c r="L304" i="7"/>
  <c r="G305" i="7"/>
  <c r="M305" i="7"/>
  <c r="O305" i="7"/>
  <c r="J306" i="7"/>
  <c r="D312" i="7"/>
  <c r="E312" i="7"/>
  <c r="F312" i="7"/>
  <c r="F316" i="7" s="1"/>
  <c r="G312" i="7"/>
  <c r="H312" i="7"/>
  <c r="H316" i="7" s="1"/>
  <c r="I312" i="7"/>
  <c r="I316" i="7" s="1"/>
  <c r="J312" i="7"/>
  <c r="K312" i="7"/>
  <c r="K316" i="7" s="1"/>
  <c r="L312" i="7"/>
  <c r="M312" i="7"/>
  <c r="N312" i="7"/>
  <c r="N316" i="7" s="1"/>
  <c r="O312" i="7"/>
  <c r="P313" i="7"/>
  <c r="P314" i="7"/>
  <c r="D316" i="7"/>
  <c r="E316" i="7"/>
  <c r="E28" i="15" s="1"/>
  <c r="G316" i="7"/>
  <c r="G28" i="15" s="1"/>
  <c r="J316" i="7"/>
  <c r="L316" i="7"/>
  <c r="M316" i="7"/>
  <c r="M28" i="15" s="1"/>
  <c r="O316" i="7"/>
  <c r="O28" i="15" s="1"/>
  <c r="P319" i="7"/>
  <c r="P323" i="7" s="1"/>
  <c r="P320" i="7"/>
  <c r="P321" i="7"/>
  <c r="D323" i="7"/>
  <c r="E323" i="7"/>
  <c r="F323" i="7"/>
  <c r="G323" i="7"/>
  <c r="H323" i="7"/>
  <c r="I323" i="7"/>
  <c r="J323" i="7"/>
  <c r="K323" i="7"/>
  <c r="L323" i="7"/>
  <c r="M323" i="7"/>
  <c r="N323" i="7"/>
  <c r="O323" i="7"/>
  <c r="E325" i="7"/>
  <c r="E330" i="7" s="1"/>
  <c r="E332" i="7" s="1"/>
  <c r="G325" i="7"/>
  <c r="M325" i="7"/>
  <c r="O325" i="7"/>
  <c r="P326" i="7"/>
  <c r="P327" i="7"/>
  <c r="P328" i="7"/>
  <c r="G330" i="7"/>
  <c r="G332" i="7" s="1"/>
  <c r="G342" i="7" s="1"/>
  <c r="M330" i="7"/>
  <c r="M332" i="7" s="1"/>
  <c r="M342" i="7" s="1"/>
  <c r="O330" i="7"/>
  <c r="O332" i="7" s="1"/>
  <c r="O342" i="7" s="1"/>
  <c r="C336" i="7"/>
  <c r="D338" i="7"/>
  <c r="P340" i="7"/>
  <c r="P344" i="7"/>
  <c r="A350" i="7"/>
  <c r="D350" i="7"/>
  <c r="E350" i="7"/>
  <c r="F350" i="7"/>
  <c r="G350" i="7"/>
  <c r="H350" i="7"/>
  <c r="I350" i="7"/>
  <c r="J350" i="7"/>
  <c r="K350" i="7"/>
  <c r="L350" i="7"/>
  <c r="M350" i="7"/>
  <c r="N350" i="7"/>
  <c r="O350" i="7"/>
  <c r="A351" i="7"/>
  <c r="D351" i="7"/>
  <c r="D353" i="7" s="1"/>
  <c r="E351" i="7"/>
  <c r="F351" i="7"/>
  <c r="G351" i="7"/>
  <c r="H351" i="7"/>
  <c r="I351" i="7"/>
  <c r="J351" i="7"/>
  <c r="L351" i="7"/>
  <c r="M351" i="7"/>
  <c r="N351" i="7"/>
  <c r="O351" i="7"/>
  <c r="P354" i="7"/>
  <c r="A355" i="7"/>
  <c r="D355" i="7"/>
  <c r="A357" i="7"/>
  <c r="A360" i="7"/>
  <c r="A362" i="7"/>
  <c r="B362" i="7"/>
  <c r="B363" i="7"/>
  <c r="C363" i="7"/>
  <c r="D363" i="7"/>
  <c r="E363" i="7"/>
  <c r="F363" i="7"/>
  <c r="G363" i="7"/>
  <c r="H363" i="7"/>
  <c r="I363" i="7"/>
  <c r="J363" i="7"/>
  <c r="K363" i="7"/>
  <c r="L363" i="7"/>
  <c r="M363" i="7"/>
  <c r="N363" i="7"/>
  <c r="O363" i="7"/>
  <c r="P363" i="7"/>
  <c r="D366" i="7"/>
  <c r="E366" i="7"/>
  <c r="E167" i="7" s="1"/>
  <c r="E304" i="7" s="1"/>
  <c r="E308" i="7" s="1"/>
  <c r="E310" i="7" s="1"/>
  <c r="F366" i="7"/>
  <c r="F167" i="7" s="1"/>
  <c r="G366" i="7"/>
  <c r="G167" i="7" s="1"/>
  <c r="H366" i="7"/>
  <c r="I366" i="7"/>
  <c r="I167" i="7" s="1"/>
  <c r="J366" i="7"/>
  <c r="J370" i="7" s="1"/>
  <c r="J372" i="7" s="1"/>
  <c r="K366" i="7"/>
  <c r="K167" i="7" s="1"/>
  <c r="K304" i="7" s="1"/>
  <c r="K308" i="7" s="1"/>
  <c r="K310" i="7" s="1"/>
  <c r="L366" i="7"/>
  <c r="M366" i="7"/>
  <c r="M167" i="7" s="1"/>
  <c r="M304" i="7" s="1"/>
  <c r="M308" i="7" s="1"/>
  <c r="M310" i="7" s="1"/>
  <c r="N366" i="7"/>
  <c r="N167" i="7" s="1"/>
  <c r="O366" i="7"/>
  <c r="O167" i="7" s="1"/>
  <c r="P366" i="7"/>
  <c r="D367" i="7"/>
  <c r="D168" i="7" s="1"/>
  <c r="E367" i="7"/>
  <c r="E168" i="7" s="1"/>
  <c r="E305" i="7" s="1"/>
  <c r="F367" i="7"/>
  <c r="G367" i="7"/>
  <c r="H367" i="7"/>
  <c r="H168" i="7" s="1"/>
  <c r="H305" i="7" s="1"/>
  <c r="I367" i="7"/>
  <c r="I168" i="7" s="1"/>
  <c r="I305" i="7" s="1"/>
  <c r="J367" i="7"/>
  <c r="J168" i="7" s="1"/>
  <c r="J305" i="7" s="1"/>
  <c r="K367" i="7"/>
  <c r="K168" i="7" s="1"/>
  <c r="K305" i="7" s="1"/>
  <c r="L367" i="7"/>
  <c r="L168" i="7" s="1"/>
  <c r="L305" i="7" s="1"/>
  <c r="M367" i="7"/>
  <c r="N367" i="7"/>
  <c r="O367" i="7"/>
  <c r="D368" i="7"/>
  <c r="D169" i="7" s="1"/>
  <c r="D306" i="7" s="1"/>
  <c r="P306" i="7" s="1"/>
  <c r="E368" i="7"/>
  <c r="E169" i="7" s="1"/>
  <c r="E306" i="7" s="1"/>
  <c r="F368" i="7"/>
  <c r="F169" i="7" s="1"/>
  <c r="F306" i="7" s="1"/>
  <c r="G368" i="7"/>
  <c r="G169" i="7" s="1"/>
  <c r="G306" i="7" s="1"/>
  <c r="H368" i="7"/>
  <c r="H169" i="7" s="1"/>
  <c r="H306" i="7" s="1"/>
  <c r="I368" i="7"/>
  <c r="I169" i="7" s="1"/>
  <c r="I306" i="7" s="1"/>
  <c r="J368" i="7"/>
  <c r="K368" i="7"/>
  <c r="K169" i="7" s="1"/>
  <c r="K306" i="7" s="1"/>
  <c r="L368" i="7"/>
  <c r="L169" i="7" s="1"/>
  <c r="L306" i="7" s="1"/>
  <c r="M368" i="7"/>
  <c r="M169" i="7" s="1"/>
  <c r="M306" i="7" s="1"/>
  <c r="N368" i="7"/>
  <c r="N169" i="7" s="1"/>
  <c r="N306" i="7" s="1"/>
  <c r="O368" i="7"/>
  <c r="O169" i="7" s="1"/>
  <c r="O306" i="7" s="1"/>
  <c r="D370" i="7"/>
  <c r="I370" i="7"/>
  <c r="I372" i="7" s="1"/>
  <c r="L370" i="7"/>
  <c r="D372" i="7"/>
  <c r="L372" i="7"/>
  <c r="D374" i="7"/>
  <c r="E374" i="7"/>
  <c r="F374" i="7"/>
  <c r="G374" i="7"/>
  <c r="H374" i="7"/>
  <c r="I374" i="7"/>
  <c r="I378" i="7" s="1"/>
  <c r="I383" i="7" s="1"/>
  <c r="I385" i="7" s="1"/>
  <c r="J374" i="7"/>
  <c r="J378" i="7" s="1"/>
  <c r="J383" i="7" s="1"/>
  <c r="J385" i="7" s="1"/>
  <c r="K374" i="7"/>
  <c r="L374" i="7"/>
  <c r="M374" i="7"/>
  <c r="N374" i="7"/>
  <c r="O374" i="7"/>
  <c r="P376" i="7"/>
  <c r="D378" i="7"/>
  <c r="E378" i="7"/>
  <c r="H378" i="7"/>
  <c r="K378" i="7"/>
  <c r="L378" i="7"/>
  <c r="L383" i="7" s="1"/>
  <c r="L385" i="7" s="1"/>
  <c r="M378" i="7"/>
  <c r="P379" i="7"/>
  <c r="D380" i="7"/>
  <c r="D67" i="15" s="1"/>
  <c r="E380" i="7"/>
  <c r="E383" i="7" s="1"/>
  <c r="E385" i="7" s="1"/>
  <c r="F380" i="7"/>
  <c r="F67" i="15" s="1"/>
  <c r="G380" i="7"/>
  <c r="G67" i="15" s="1"/>
  <c r="H380" i="7"/>
  <c r="H67" i="15" s="1"/>
  <c r="I380" i="7"/>
  <c r="I67" i="15" s="1"/>
  <c r="J380" i="7"/>
  <c r="J67" i="15" s="1"/>
  <c r="K380" i="7"/>
  <c r="K67" i="15" s="1"/>
  <c r="L380" i="7"/>
  <c r="L67" i="15" s="1"/>
  <c r="M380" i="7"/>
  <c r="M67" i="15" s="1"/>
  <c r="N380" i="7"/>
  <c r="N67" i="15" s="1"/>
  <c r="O380" i="7"/>
  <c r="P381" i="7"/>
  <c r="H383" i="7"/>
  <c r="M383" i="7"/>
  <c r="M385" i="7" s="1"/>
  <c r="L57" i="8" s="1"/>
  <c r="H385" i="7"/>
  <c r="H395" i="7" s="1"/>
  <c r="C389" i="7"/>
  <c r="D391" i="7"/>
  <c r="P393" i="7"/>
  <c r="P397" i="7"/>
  <c r="A403" i="7"/>
  <c r="D403" i="7"/>
  <c r="E403" i="7"/>
  <c r="F403" i="7"/>
  <c r="G403" i="7"/>
  <c r="H403" i="7"/>
  <c r="I403" i="7"/>
  <c r="J403" i="7"/>
  <c r="K403" i="7"/>
  <c r="L403" i="7"/>
  <c r="M403" i="7"/>
  <c r="N403" i="7"/>
  <c r="O403" i="7"/>
  <c r="A404" i="7"/>
  <c r="D404" i="7"/>
  <c r="D406" i="7" s="1"/>
  <c r="E404" i="7"/>
  <c r="F404" i="7"/>
  <c r="G404" i="7"/>
  <c r="H404" i="7"/>
  <c r="I404" i="7"/>
  <c r="J404" i="7"/>
  <c r="L404" i="7"/>
  <c r="M404" i="7"/>
  <c r="N404" i="7"/>
  <c r="O404" i="7"/>
  <c r="P407" i="7"/>
  <c r="A408" i="7"/>
  <c r="D408" i="7"/>
  <c r="A410" i="7"/>
  <c r="A413" i="7"/>
  <c r="A415" i="7"/>
  <c r="B415" i="7"/>
  <c r="B416" i="7"/>
  <c r="C416" i="7"/>
  <c r="D416" i="7"/>
  <c r="E416" i="7"/>
  <c r="F416" i="7"/>
  <c r="G416" i="7"/>
  <c r="H416" i="7"/>
  <c r="I416" i="7"/>
  <c r="J416" i="7"/>
  <c r="K416" i="7"/>
  <c r="L416" i="7"/>
  <c r="M416" i="7"/>
  <c r="N416" i="7"/>
  <c r="O416" i="7"/>
  <c r="P416" i="7"/>
  <c r="D419" i="7"/>
  <c r="E419" i="7"/>
  <c r="E423" i="7" s="1"/>
  <c r="E425" i="7" s="1"/>
  <c r="F419" i="7"/>
  <c r="G419" i="7"/>
  <c r="G423" i="7" s="1"/>
  <c r="G425" i="7" s="1"/>
  <c r="H419" i="7"/>
  <c r="H423" i="7" s="1"/>
  <c r="H425" i="7" s="1"/>
  <c r="I419" i="7"/>
  <c r="J419" i="7"/>
  <c r="J423" i="7" s="1"/>
  <c r="J425" i="7" s="1"/>
  <c r="K419" i="7"/>
  <c r="L419" i="7"/>
  <c r="M419" i="7"/>
  <c r="M423" i="7" s="1"/>
  <c r="M425" i="7" s="1"/>
  <c r="N419" i="7"/>
  <c r="O419" i="7"/>
  <c r="O423" i="7" s="1"/>
  <c r="O425" i="7" s="1"/>
  <c r="P419" i="7"/>
  <c r="D420" i="7"/>
  <c r="E420" i="7"/>
  <c r="F420" i="7"/>
  <c r="G420" i="7"/>
  <c r="H420" i="7"/>
  <c r="I420" i="7"/>
  <c r="J420" i="7"/>
  <c r="K420" i="7"/>
  <c r="K423" i="7" s="1"/>
  <c r="K425" i="7" s="1"/>
  <c r="L420" i="7"/>
  <c r="M420" i="7"/>
  <c r="N420" i="7"/>
  <c r="O420" i="7"/>
  <c r="D421" i="7"/>
  <c r="E421" i="7"/>
  <c r="F421" i="7"/>
  <c r="P421" i="7" s="1"/>
  <c r="G421" i="7"/>
  <c r="H421" i="7"/>
  <c r="I421" i="7"/>
  <c r="J421" i="7"/>
  <c r="K421" i="7"/>
  <c r="L421" i="7"/>
  <c r="M421" i="7"/>
  <c r="N421" i="7"/>
  <c r="O421" i="7"/>
  <c r="D423" i="7"/>
  <c r="I423" i="7"/>
  <c r="I425" i="7" s="1"/>
  <c r="L423" i="7"/>
  <c r="D425" i="7"/>
  <c r="L425" i="7"/>
  <c r="D427" i="7"/>
  <c r="E427" i="7"/>
  <c r="F427" i="7"/>
  <c r="G427" i="7"/>
  <c r="H427" i="7"/>
  <c r="I427" i="7"/>
  <c r="I431" i="7" s="1"/>
  <c r="I436" i="7" s="1"/>
  <c r="I438" i="7" s="1"/>
  <c r="J427" i="7"/>
  <c r="J431" i="7" s="1"/>
  <c r="J436" i="7" s="1"/>
  <c r="J438" i="7" s="1"/>
  <c r="K427" i="7"/>
  <c r="L427" i="7"/>
  <c r="M427" i="7"/>
  <c r="N427" i="7"/>
  <c r="O427" i="7"/>
  <c r="P429" i="7"/>
  <c r="D431" i="7"/>
  <c r="E431" i="7"/>
  <c r="H431" i="7"/>
  <c r="K431" i="7"/>
  <c r="L431" i="7"/>
  <c r="M431" i="7"/>
  <c r="P432" i="7"/>
  <c r="P433" i="7"/>
  <c r="P434" i="7"/>
  <c r="D436" i="7"/>
  <c r="E436" i="7"/>
  <c r="E438" i="7" s="1"/>
  <c r="H436" i="7"/>
  <c r="H438" i="7" s="1"/>
  <c r="K436" i="7"/>
  <c r="K438" i="7" s="1"/>
  <c r="J58" i="8" s="1"/>
  <c r="L436" i="7"/>
  <c r="M436" i="7"/>
  <c r="M438" i="7" s="1"/>
  <c r="D438" i="7"/>
  <c r="L438" i="7"/>
  <c r="C442" i="7"/>
  <c r="D444" i="7"/>
  <c r="P446" i="7"/>
  <c r="P450" i="7"/>
  <c r="A456" i="7"/>
  <c r="D456" i="7"/>
  <c r="E456" i="7"/>
  <c r="F456" i="7"/>
  <c r="G456" i="7"/>
  <c r="H456" i="7"/>
  <c r="I456" i="7"/>
  <c r="J456" i="7"/>
  <c r="K456" i="7"/>
  <c r="L456" i="7"/>
  <c r="M456" i="7"/>
  <c r="N456" i="7"/>
  <c r="O456" i="7"/>
  <c r="A457" i="7"/>
  <c r="D457" i="7"/>
  <c r="E457" i="7"/>
  <c r="F457" i="7"/>
  <c r="G457" i="7"/>
  <c r="H457" i="7"/>
  <c r="J457" i="7"/>
  <c r="K457" i="7"/>
  <c r="L457" i="7"/>
  <c r="M457" i="7"/>
  <c r="N457" i="7"/>
  <c r="O457" i="7"/>
  <c r="D459" i="7"/>
  <c r="D461" i="7" s="1"/>
  <c r="P460" i="7"/>
  <c r="A461" i="7"/>
  <c r="A463" i="7"/>
  <c r="A466" i="7"/>
  <c r="A468" i="7"/>
  <c r="B468" i="7"/>
  <c r="B469" i="7"/>
  <c r="C469" i="7"/>
  <c r="D469" i="7"/>
  <c r="E469" i="7"/>
  <c r="F469" i="7"/>
  <c r="G469" i="7"/>
  <c r="H469" i="7"/>
  <c r="I469" i="7"/>
  <c r="J469" i="7"/>
  <c r="K469" i="7"/>
  <c r="L469" i="7"/>
  <c r="M469" i="7"/>
  <c r="N469" i="7"/>
  <c r="O469" i="7"/>
  <c r="P469" i="7"/>
  <c r="D472" i="7"/>
  <c r="E472" i="7"/>
  <c r="F472" i="7"/>
  <c r="F476" i="7" s="1"/>
  <c r="F478" i="7" s="1"/>
  <c r="G472" i="7"/>
  <c r="H472" i="7"/>
  <c r="I472" i="7"/>
  <c r="J472" i="7"/>
  <c r="K472" i="7"/>
  <c r="K476" i="7" s="1"/>
  <c r="K478" i="7" s="1"/>
  <c r="L472" i="7"/>
  <c r="M472" i="7"/>
  <c r="N472" i="7"/>
  <c r="N476" i="7" s="1"/>
  <c r="N478" i="7" s="1"/>
  <c r="O472" i="7"/>
  <c r="D473" i="7"/>
  <c r="E473" i="7"/>
  <c r="F473" i="7"/>
  <c r="G473" i="7"/>
  <c r="G476" i="7" s="1"/>
  <c r="G478" i="7" s="1"/>
  <c r="H473" i="7"/>
  <c r="I473" i="7"/>
  <c r="J473" i="7"/>
  <c r="J476" i="7" s="1"/>
  <c r="J478" i="7" s="1"/>
  <c r="K473" i="7"/>
  <c r="L473" i="7"/>
  <c r="M473" i="7"/>
  <c r="N473" i="7"/>
  <c r="O473" i="7"/>
  <c r="O476" i="7" s="1"/>
  <c r="O478" i="7" s="1"/>
  <c r="D474" i="7"/>
  <c r="E474" i="7"/>
  <c r="F474" i="7"/>
  <c r="G474" i="7"/>
  <c r="H474" i="7"/>
  <c r="I474" i="7"/>
  <c r="J474" i="7"/>
  <c r="K474" i="7"/>
  <c r="L474" i="7"/>
  <c r="M474" i="7"/>
  <c r="N474" i="7"/>
  <c r="O474" i="7"/>
  <c r="E476" i="7"/>
  <c r="E478" i="7" s="1"/>
  <c r="H476" i="7"/>
  <c r="M476" i="7"/>
  <c r="M478" i="7" s="1"/>
  <c r="H478" i="7"/>
  <c r="D480" i="7"/>
  <c r="E480" i="7"/>
  <c r="F480" i="7"/>
  <c r="F484" i="7" s="1"/>
  <c r="F489" i="7" s="1"/>
  <c r="F491" i="7" s="1"/>
  <c r="G480" i="7"/>
  <c r="H480" i="7"/>
  <c r="I480" i="7"/>
  <c r="I484" i="7" s="1"/>
  <c r="I489" i="7" s="1"/>
  <c r="I491" i="7" s="1"/>
  <c r="J480" i="7"/>
  <c r="J484" i="7" s="1"/>
  <c r="J489" i="7" s="1"/>
  <c r="J491" i="7" s="1"/>
  <c r="K480" i="7"/>
  <c r="K484" i="7" s="1"/>
  <c r="K489" i="7" s="1"/>
  <c r="K491" i="7" s="1"/>
  <c r="L480" i="7"/>
  <c r="M480" i="7"/>
  <c r="N480" i="7"/>
  <c r="N484" i="7" s="1"/>
  <c r="N489" i="7" s="1"/>
  <c r="N491" i="7" s="1"/>
  <c r="O480" i="7"/>
  <c r="P482" i="7"/>
  <c r="D484" i="7"/>
  <c r="E484" i="7"/>
  <c r="P484" i="7" s="1"/>
  <c r="G484" i="7"/>
  <c r="G489" i="7" s="1"/>
  <c r="G491" i="7" s="1"/>
  <c r="H484" i="7"/>
  <c r="L484" i="7"/>
  <c r="M484" i="7"/>
  <c r="M489" i="7" s="1"/>
  <c r="M491" i="7" s="1"/>
  <c r="O484" i="7"/>
  <c r="P485" i="7"/>
  <c r="P486" i="7"/>
  <c r="P487" i="7"/>
  <c r="D489" i="7"/>
  <c r="D491" i="7" s="1"/>
  <c r="H489" i="7"/>
  <c r="L489" i="7"/>
  <c r="L491" i="7" s="1"/>
  <c r="O489" i="7"/>
  <c r="O491" i="7" s="1"/>
  <c r="H491" i="7"/>
  <c r="C495" i="7"/>
  <c r="D497" i="7"/>
  <c r="P499" i="7"/>
  <c r="P503" i="7"/>
  <c r="A509" i="7"/>
  <c r="D509" i="7"/>
  <c r="E509" i="7"/>
  <c r="F509" i="7"/>
  <c r="G509" i="7"/>
  <c r="H509" i="7"/>
  <c r="I509" i="7"/>
  <c r="J509" i="7"/>
  <c r="K509" i="7"/>
  <c r="L509" i="7"/>
  <c r="M509" i="7"/>
  <c r="N509" i="7"/>
  <c r="O509" i="7"/>
  <c r="A510" i="7"/>
  <c r="D510" i="7"/>
  <c r="D512" i="7" s="1"/>
  <c r="E510" i="7"/>
  <c r="F510" i="7"/>
  <c r="G510" i="7"/>
  <c r="H510" i="7"/>
  <c r="I510" i="7"/>
  <c r="J510" i="7"/>
  <c r="L510" i="7"/>
  <c r="M510" i="7"/>
  <c r="N510" i="7"/>
  <c r="O510" i="7"/>
  <c r="P513" i="7"/>
  <c r="A514" i="7"/>
  <c r="D514" i="7"/>
  <c r="A516" i="7"/>
  <c r="A519" i="7"/>
  <c r="A521" i="7"/>
  <c r="B521" i="7"/>
  <c r="B522" i="7"/>
  <c r="C522" i="7"/>
  <c r="D522" i="7"/>
  <c r="E522" i="7"/>
  <c r="F522" i="7"/>
  <c r="G522" i="7"/>
  <c r="H522" i="7"/>
  <c r="I522" i="7"/>
  <c r="J522" i="7"/>
  <c r="K522" i="7"/>
  <c r="L522" i="7"/>
  <c r="M522" i="7"/>
  <c r="N522" i="7"/>
  <c r="O522" i="7"/>
  <c r="P522" i="7"/>
  <c r="P525" i="7"/>
  <c r="P526" i="7"/>
  <c r="P527" i="7"/>
  <c r="D529" i="7"/>
  <c r="E529" i="7"/>
  <c r="E531" i="7" s="1"/>
  <c r="F529" i="7"/>
  <c r="G529" i="7"/>
  <c r="G531" i="7" s="1"/>
  <c r="H529" i="7"/>
  <c r="I529" i="7"/>
  <c r="J529" i="7"/>
  <c r="K529" i="7"/>
  <c r="L529" i="7"/>
  <c r="L531" i="7" s="1"/>
  <c r="M529" i="7"/>
  <c r="M531" i="7" s="1"/>
  <c r="N529" i="7"/>
  <c r="O529" i="7"/>
  <c r="O531" i="7" s="1"/>
  <c r="F531" i="7"/>
  <c r="H531" i="7"/>
  <c r="I531" i="7"/>
  <c r="J531" i="7"/>
  <c r="K531" i="7"/>
  <c r="N531" i="7"/>
  <c r="D533" i="7"/>
  <c r="E533" i="7"/>
  <c r="F533" i="7"/>
  <c r="F537" i="7" s="1"/>
  <c r="F542" i="7" s="1"/>
  <c r="F544" i="7" s="1"/>
  <c r="G533" i="7"/>
  <c r="H533" i="7"/>
  <c r="I533" i="7"/>
  <c r="I537" i="7" s="1"/>
  <c r="I542" i="7" s="1"/>
  <c r="I544" i="7" s="1"/>
  <c r="J533" i="7"/>
  <c r="J537" i="7" s="1"/>
  <c r="J542" i="7" s="1"/>
  <c r="K533" i="7"/>
  <c r="K537" i="7" s="1"/>
  <c r="K542" i="7" s="1"/>
  <c r="K544" i="7" s="1"/>
  <c r="L533" i="7"/>
  <c r="M533" i="7"/>
  <c r="M537" i="7" s="1"/>
  <c r="M542" i="7" s="1"/>
  <c r="M544" i="7" s="1"/>
  <c r="N533" i="7"/>
  <c r="N537" i="7" s="1"/>
  <c r="N542" i="7" s="1"/>
  <c r="N544" i="7" s="1"/>
  <c r="O533" i="7"/>
  <c r="P535" i="7"/>
  <c r="D537" i="7"/>
  <c r="E537" i="7"/>
  <c r="E542" i="7" s="1"/>
  <c r="E544" i="7" s="1"/>
  <c r="G537" i="7"/>
  <c r="G542" i="7" s="1"/>
  <c r="G544" i="7" s="1"/>
  <c r="H537" i="7"/>
  <c r="L537" i="7"/>
  <c r="O537" i="7"/>
  <c r="O542" i="7" s="1"/>
  <c r="O544" i="7" s="1"/>
  <c r="P538" i="7"/>
  <c r="P539" i="7"/>
  <c r="P540" i="7"/>
  <c r="D542" i="7"/>
  <c r="D544" i="7" s="1"/>
  <c r="H542" i="7"/>
  <c r="L542" i="7"/>
  <c r="L544" i="7" s="1"/>
  <c r="H544" i="7"/>
  <c r="J544" i="7"/>
  <c r="C548" i="7"/>
  <c r="D550" i="7"/>
  <c r="P552" i="7"/>
  <c r="P554" i="7"/>
  <c r="D556" i="7"/>
  <c r="F556" i="7"/>
  <c r="L556" i="7"/>
  <c r="N556" i="7"/>
  <c r="A562" i="7"/>
  <c r="D562" i="7"/>
  <c r="E562" i="7"/>
  <c r="F562" i="7"/>
  <c r="G562" i="7"/>
  <c r="H562" i="7"/>
  <c r="I562" i="7"/>
  <c r="J562" i="7"/>
  <c r="K562" i="7"/>
  <c r="L562" i="7"/>
  <c r="M562" i="7"/>
  <c r="N562" i="7"/>
  <c r="O562" i="7"/>
  <c r="A563" i="7"/>
  <c r="D563" i="7"/>
  <c r="D91" i="7" s="1"/>
  <c r="D93" i="7" s="1"/>
  <c r="E563" i="7"/>
  <c r="E91" i="7" s="1"/>
  <c r="E674" i="7" s="1"/>
  <c r="F563" i="7"/>
  <c r="F91" i="7" s="1"/>
  <c r="G563" i="7"/>
  <c r="G91" i="7" s="1"/>
  <c r="G674" i="7" s="1"/>
  <c r="H563" i="7"/>
  <c r="I563" i="7"/>
  <c r="I91" i="7" s="1"/>
  <c r="I674" i="7" s="1"/>
  <c r="J563" i="7"/>
  <c r="L563" i="7"/>
  <c r="L91" i="7" s="1"/>
  <c r="L674" i="7" s="1"/>
  <c r="M563" i="7"/>
  <c r="M91" i="7" s="1"/>
  <c r="M674" i="7" s="1"/>
  <c r="N563" i="7"/>
  <c r="N91" i="7" s="1"/>
  <c r="N674" i="7" s="1"/>
  <c r="O563" i="7"/>
  <c r="O91" i="7" s="1"/>
  <c r="O674" i="7" s="1"/>
  <c r="D565" i="7"/>
  <c r="P566" i="7"/>
  <c r="A567" i="7"/>
  <c r="D567" i="7"/>
  <c r="A569" i="7"/>
  <c r="A572" i="7"/>
  <c r="A574" i="7"/>
  <c r="B574" i="7"/>
  <c r="B575" i="7"/>
  <c r="C575" i="7"/>
  <c r="D575" i="7"/>
  <c r="E575" i="7"/>
  <c r="F575" i="7"/>
  <c r="G575" i="7"/>
  <c r="H575" i="7"/>
  <c r="I575" i="7"/>
  <c r="J575" i="7"/>
  <c r="K575" i="7"/>
  <c r="L575" i="7"/>
  <c r="M575" i="7"/>
  <c r="N575" i="7"/>
  <c r="O575" i="7"/>
  <c r="P575" i="7"/>
  <c r="D578" i="7"/>
  <c r="E578" i="7"/>
  <c r="F578" i="7"/>
  <c r="F582" i="7" s="1"/>
  <c r="G578" i="7"/>
  <c r="G582" i="7" s="1"/>
  <c r="H578" i="7"/>
  <c r="H582" i="7" s="1"/>
  <c r="H584" i="7" s="1"/>
  <c r="I578" i="7"/>
  <c r="J578" i="7"/>
  <c r="J582" i="7" s="1"/>
  <c r="J584" i="7" s="1"/>
  <c r="K578" i="7"/>
  <c r="L578" i="7"/>
  <c r="M578" i="7"/>
  <c r="N578" i="7"/>
  <c r="N582" i="7" s="1"/>
  <c r="N584" i="7" s="1"/>
  <c r="O578" i="7"/>
  <c r="O582" i="7" s="1"/>
  <c r="D579" i="7"/>
  <c r="P579" i="7" s="1"/>
  <c r="E579" i="7"/>
  <c r="F579" i="7"/>
  <c r="G579" i="7"/>
  <c r="H579" i="7"/>
  <c r="I579" i="7"/>
  <c r="J579" i="7"/>
  <c r="K579" i="7"/>
  <c r="K582" i="7" s="1"/>
  <c r="K584" i="7" s="1"/>
  <c r="L579" i="7"/>
  <c r="M579" i="7"/>
  <c r="N579" i="7"/>
  <c r="O579" i="7"/>
  <c r="D580" i="7"/>
  <c r="E580" i="7"/>
  <c r="F580" i="7"/>
  <c r="G580" i="7"/>
  <c r="H580" i="7"/>
  <c r="P580" i="7" s="1"/>
  <c r="I580" i="7"/>
  <c r="J580" i="7"/>
  <c r="K580" i="7"/>
  <c r="L580" i="7"/>
  <c r="M580" i="7"/>
  <c r="N580" i="7"/>
  <c r="O580" i="7"/>
  <c r="D582" i="7"/>
  <c r="I582" i="7"/>
  <c r="I584" i="7" s="1"/>
  <c r="L582" i="7"/>
  <c r="L584" i="7" s="1"/>
  <c r="D584" i="7"/>
  <c r="F584" i="7"/>
  <c r="G584" i="7"/>
  <c r="O584" i="7"/>
  <c r="I586" i="7"/>
  <c r="I590" i="7" s="1"/>
  <c r="I595" i="7" s="1"/>
  <c r="I597" i="7" s="1"/>
  <c r="J586" i="7"/>
  <c r="J590" i="7" s="1"/>
  <c r="J595" i="7" s="1"/>
  <c r="J597" i="7" s="1"/>
  <c r="D588" i="7"/>
  <c r="E588" i="7"/>
  <c r="D43" i="8" s="1"/>
  <c r="D49" i="8" s="1"/>
  <c r="F588" i="7"/>
  <c r="E43" i="8" s="1"/>
  <c r="G588" i="7"/>
  <c r="H588" i="7"/>
  <c r="G43" i="8" s="1"/>
  <c r="I588" i="7"/>
  <c r="H43" i="8" s="1"/>
  <c r="H49" i="8" s="1"/>
  <c r="J588" i="7"/>
  <c r="I43" i="8" s="1"/>
  <c r="I49" i="8" s="1"/>
  <c r="K588" i="7"/>
  <c r="J43" i="8" s="1"/>
  <c r="L588" i="7"/>
  <c r="K43" i="8" s="1"/>
  <c r="K49" i="8" s="1"/>
  <c r="M588" i="7"/>
  <c r="L43" i="8" s="1"/>
  <c r="L49" i="8" s="1"/>
  <c r="N588" i="7"/>
  <c r="M43" i="8" s="1"/>
  <c r="M49" i="8" s="1"/>
  <c r="O588" i="7"/>
  <c r="N43" i="8" s="1"/>
  <c r="N49" i="8" s="1"/>
  <c r="P591" i="7"/>
  <c r="P592" i="7"/>
  <c r="P593" i="7"/>
  <c r="C601" i="7"/>
  <c r="D603" i="7"/>
  <c r="P605" i="7"/>
  <c r="P609" i="7"/>
  <c r="A615" i="7"/>
  <c r="D615" i="7"/>
  <c r="E615" i="7"/>
  <c r="F615" i="7"/>
  <c r="G615" i="7"/>
  <c r="H615" i="7"/>
  <c r="I615" i="7"/>
  <c r="J615" i="7"/>
  <c r="K615" i="7"/>
  <c r="L615" i="7"/>
  <c r="M615" i="7"/>
  <c r="N615" i="7"/>
  <c r="O615" i="7"/>
  <c r="A616" i="7"/>
  <c r="D616" i="7"/>
  <c r="E616" i="7"/>
  <c r="F616" i="7"/>
  <c r="G616" i="7"/>
  <c r="H616" i="7"/>
  <c r="I616" i="7"/>
  <c r="J616" i="7"/>
  <c r="L616" i="7"/>
  <c r="M616" i="7"/>
  <c r="N616" i="7"/>
  <c r="O616" i="7"/>
  <c r="D618" i="7"/>
  <c r="P619" i="7"/>
  <c r="A620" i="7"/>
  <c r="A622" i="7"/>
  <c r="A625" i="7"/>
  <c r="A627" i="7"/>
  <c r="B627" i="7"/>
  <c r="B628" i="7"/>
  <c r="C628" i="7"/>
  <c r="D628" i="7"/>
  <c r="E628" i="7"/>
  <c r="F628" i="7"/>
  <c r="G628" i="7"/>
  <c r="H628" i="7"/>
  <c r="I628" i="7"/>
  <c r="J628" i="7"/>
  <c r="K628" i="7"/>
  <c r="L628" i="7"/>
  <c r="M628" i="7"/>
  <c r="N628" i="7"/>
  <c r="O628" i="7"/>
  <c r="P628" i="7"/>
  <c r="C630" i="7"/>
  <c r="D632" i="7"/>
  <c r="M634" i="7"/>
  <c r="N634" i="7"/>
  <c r="P638" i="7"/>
  <c r="A644" i="7"/>
  <c r="D644" i="7"/>
  <c r="E644" i="7"/>
  <c r="F644" i="7"/>
  <c r="G644" i="7"/>
  <c r="H644" i="7"/>
  <c r="I644" i="7"/>
  <c r="J644" i="7"/>
  <c r="K644" i="7"/>
  <c r="L644" i="7"/>
  <c r="M644" i="7"/>
  <c r="N644" i="7"/>
  <c r="O644" i="7"/>
  <c r="A645" i="7"/>
  <c r="D645" i="7"/>
  <c r="E645" i="7"/>
  <c r="F645" i="7"/>
  <c r="G645" i="7"/>
  <c r="H645" i="7"/>
  <c r="J645" i="7"/>
  <c r="K645" i="7"/>
  <c r="L645" i="7"/>
  <c r="M645" i="7"/>
  <c r="N645" i="7"/>
  <c r="O645" i="7"/>
  <c r="D647" i="7"/>
  <c r="P648" i="7"/>
  <c r="A649" i="7"/>
  <c r="D649" i="7"/>
  <c r="A651" i="7"/>
  <c r="A654" i="7"/>
  <c r="A656" i="7"/>
  <c r="B656" i="7"/>
  <c r="B657" i="7"/>
  <c r="C657" i="7"/>
  <c r="D657" i="7"/>
  <c r="E657" i="7"/>
  <c r="F657" i="7"/>
  <c r="G657" i="7"/>
  <c r="H657" i="7"/>
  <c r="I657" i="7"/>
  <c r="J657" i="7"/>
  <c r="K657" i="7"/>
  <c r="L657" i="7"/>
  <c r="M657" i="7"/>
  <c r="N657" i="7"/>
  <c r="O657" i="7"/>
  <c r="P657" i="7"/>
  <c r="D661" i="7"/>
  <c r="M663" i="7"/>
  <c r="P663" i="7" s="1"/>
  <c r="N663" i="7"/>
  <c r="D665" i="7"/>
  <c r="E665" i="7"/>
  <c r="F665" i="7"/>
  <c r="G665" i="7"/>
  <c r="P665" i="7" s="1"/>
  <c r="H665" i="7"/>
  <c r="I665" i="7"/>
  <c r="J665" i="7"/>
  <c r="K665" i="7"/>
  <c r="L665" i="7"/>
  <c r="M665" i="7"/>
  <c r="N665" i="7"/>
  <c r="O665" i="7"/>
  <c r="P667" i="7"/>
  <c r="A673" i="7"/>
  <c r="D673" i="7"/>
  <c r="F673" i="7"/>
  <c r="G673" i="7"/>
  <c r="H673" i="7"/>
  <c r="I673" i="7"/>
  <c r="J673" i="7"/>
  <c r="K673" i="7"/>
  <c r="L673" i="7"/>
  <c r="N673" i="7"/>
  <c r="O673" i="7"/>
  <c r="A674" i="7"/>
  <c r="F674" i="7"/>
  <c r="P677" i="7"/>
  <c r="A678" i="7"/>
  <c r="A680" i="7"/>
  <c r="A1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B4" i="3"/>
  <c r="O4" i="3"/>
  <c r="P4" i="3"/>
  <c r="Q4" i="3"/>
  <c r="C7" i="3"/>
  <c r="D7" i="3"/>
  <c r="E7" i="3"/>
  <c r="O7" i="3" s="1"/>
  <c r="F7" i="3"/>
  <c r="F22" i="3" s="1"/>
  <c r="G7" i="3"/>
  <c r="H7" i="3"/>
  <c r="I7" i="3"/>
  <c r="J7" i="3"/>
  <c r="J22" i="3" s="1"/>
  <c r="J49" i="3" s="1"/>
  <c r="K7" i="3"/>
  <c r="L7" i="3"/>
  <c r="M7" i="3"/>
  <c r="N7" i="3"/>
  <c r="N22" i="3" s="1"/>
  <c r="P7" i="3"/>
  <c r="C8" i="3"/>
  <c r="O8" i="3" s="1"/>
  <c r="D8" i="3"/>
  <c r="E8" i="3"/>
  <c r="F8" i="3"/>
  <c r="G8" i="3"/>
  <c r="H8" i="3"/>
  <c r="I8" i="3"/>
  <c r="J8" i="3"/>
  <c r="K8" i="3"/>
  <c r="K22" i="3" s="1"/>
  <c r="K49" i="3" s="1"/>
  <c r="L8" i="3"/>
  <c r="M8" i="3"/>
  <c r="N8" i="3"/>
  <c r="C9" i="3"/>
  <c r="D9" i="3"/>
  <c r="O9" i="3" s="1"/>
  <c r="E9" i="3"/>
  <c r="F9" i="3"/>
  <c r="G9" i="3"/>
  <c r="H9" i="3"/>
  <c r="I9" i="3"/>
  <c r="J9" i="3"/>
  <c r="K9" i="3"/>
  <c r="L9" i="3"/>
  <c r="L22" i="3" s="1"/>
  <c r="L49" i="3" s="1"/>
  <c r="M9" i="3"/>
  <c r="N9" i="3"/>
  <c r="O11" i="3"/>
  <c r="P11" i="3"/>
  <c r="Q11" i="3"/>
  <c r="O12" i="3"/>
  <c r="P12" i="3"/>
  <c r="Q12" i="3" s="1"/>
  <c r="O13" i="3"/>
  <c r="P13" i="3"/>
  <c r="Q13" i="3"/>
  <c r="O14" i="3"/>
  <c r="P14" i="3"/>
  <c r="Q14" i="3"/>
  <c r="O15" i="3"/>
  <c r="Q15" i="3" s="1"/>
  <c r="P15" i="3"/>
  <c r="O16" i="3"/>
  <c r="Q16" i="3" s="1"/>
  <c r="P16" i="3"/>
  <c r="O17" i="3"/>
  <c r="Q17" i="3" s="1"/>
  <c r="P17" i="3"/>
  <c r="O18" i="3"/>
  <c r="Q18" i="3" s="1"/>
  <c r="P18" i="3"/>
  <c r="C19" i="3"/>
  <c r="C46" i="4" s="1"/>
  <c r="D19" i="3"/>
  <c r="D46" i="4" s="1"/>
  <c r="D50" i="4" s="1"/>
  <c r="D55" i="4" s="1"/>
  <c r="D57" i="4" s="1"/>
  <c r="E19" i="3"/>
  <c r="O19" i="3" s="1"/>
  <c r="F19" i="3"/>
  <c r="F46" i="4" s="1"/>
  <c r="F50" i="4" s="1"/>
  <c r="F55" i="4" s="1"/>
  <c r="F57" i="4" s="1"/>
  <c r="G19" i="3"/>
  <c r="G46" i="4" s="1"/>
  <c r="G50" i="4" s="1"/>
  <c r="G55" i="4" s="1"/>
  <c r="G57" i="4" s="1"/>
  <c r="H19" i="3"/>
  <c r="H46" i="4" s="1"/>
  <c r="H50" i="4" s="1"/>
  <c r="H55" i="4" s="1"/>
  <c r="H57" i="4" s="1"/>
  <c r="H67" i="4" s="1"/>
  <c r="I19" i="3"/>
  <c r="I46" i="4" s="1"/>
  <c r="I50" i="4" s="1"/>
  <c r="I55" i="4" s="1"/>
  <c r="I57" i="4" s="1"/>
  <c r="J19" i="3"/>
  <c r="J46" i="4" s="1"/>
  <c r="J50" i="4" s="1"/>
  <c r="J55" i="4" s="1"/>
  <c r="J57" i="4" s="1"/>
  <c r="K19" i="3"/>
  <c r="K46" i="4" s="1"/>
  <c r="K50" i="4" s="1"/>
  <c r="K55" i="4" s="1"/>
  <c r="K57" i="4" s="1"/>
  <c r="L19" i="3"/>
  <c r="L46" i="4" s="1"/>
  <c r="L50" i="4" s="1"/>
  <c r="L55" i="4" s="1"/>
  <c r="L57" i="4" s="1"/>
  <c r="M19" i="3"/>
  <c r="M46" i="4" s="1"/>
  <c r="M50" i="4" s="1"/>
  <c r="M55" i="4" s="1"/>
  <c r="M57" i="4" s="1"/>
  <c r="N19" i="3"/>
  <c r="N46" i="4" s="1"/>
  <c r="N50" i="4" s="1"/>
  <c r="N55" i="4" s="1"/>
  <c r="N57" i="4" s="1"/>
  <c r="C20" i="3"/>
  <c r="D20" i="3"/>
  <c r="D67" i="3" s="1"/>
  <c r="E20" i="3"/>
  <c r="F586" i="7" s="1"/>
  <c r="F590" i="7" s="1"/>
  <c r="F595" i="7" s="1"/>
  <c r="F597" i="7" s="1"/>
  <c r="F20" i="3"/>
  <c r="G586" i="7" s="1"/>
  <c r="G590" i="7" s="1"/>
  <c r="G595" i="7" s="1"/>
  <c r="G597" i="7" s="1"/>
  <c r="G20" i="3"/>
  <c r="H586" i="7" s="1"/>
  <c r="H590" i="7" s="1"/>
  <c r="H595" i="7" s="1"/>
  <c r="H597" i="7" s="1"/>
  <c r="H20" i="3"/>
  <c r="H67" i="3" s="1"/>
  <c r="I20" i="3"/>
  <c r="J20" i="3"/>
  <c r="K20" i="3"/>
  <c r="L20" i="3"/>
  <c r="L67" i="3" s="1"/>
  <c r="M20" i="3"/>
  <c r="N20" i="3"/>
  <c r="O586" i="7" s="1"/>
  <c r="O590" i="7" s="1"/>
  <c r="O595" i="7" s="1"/>
  <c r="O597" i="7" s="1"/>
  <c r="P20" i="3"/>
  <c r="H22" i="3"/>
  <c r="I22" i="3"/>
  <c r="I49" i="3" s="1"/>
  <c r="C25" i="3"/>
  <c r="O25" i="3" s="1"/>
  <c r="D25" i="3"/>
  <c r="E25" i="3"/>
  <c r="F25" i="3"/>
  <c r="F34" i="3" s="1"/>
  <c r="G25" i="3"/>
  <c r="H25" i="3"/>
  <c r="H34" i="3" s="1"/>
  <c r="I25" i="3"/>
  <c r="I34" i="3" s="1"/>
  <c r="J25" i="3"/>
  <c r="J34" i="3" s="1"/>
  <c r="K25" i="3"/>
  <c r="L25" i="3"/>
  <c r="M25" i="3"/>
  <c r="N25" i="3"/>
  <c r="N34" i="3" s="1"/>
  <c r="P25" i="3"/>
  <c r="C26" i="3"/>
  <c r="O26" i="3" s="1"/>
  <c r="D26" i="3"/>
  <c r="E26" i="3"/>
  <c r="F26" i="3"/>
  <c r="G26" i="3"/>
  <c r="G34" i="3" s="1"/>
  <c r="H26" i="3"/>
  <c r="I26" i="3"/>
  <c r="J26" i="3"/>
  <c r="K26" i="3"/>
  <c r="L26" i="3"/>
  <c r="M26" i="3"/>
  <c r="N26" i="3"/>
  <c r="C27" i="3"/>
  <c r="C34" i="3" s="1"/>
  <c r="D27" i="3"/>
  <c r="E27" i="3"/>
  <c r="F27" i="3"/>
  <c r="G27" i="3"/>
  <c r="H27" i="3"/>
  <c r="I27" i="3"/>
  <c r="J27" i="3"/>
  <c r="K27" i="3"/>
  <c r="K34" i="3" s="1"/>
  <c r="L27" i="3"/>
  <c r="M27" i="3"/>
  <c r="N27" i="3"/>
  <c r="O29" i="3"/>
  <c r="Q29" i="3" s="1"/>
  <c r="P29" i="3"/>
  <c r="O30" i="3"/>
  <c r="Q30" i="3" s="1"/>
  <c r="P30" i="3"/>
  <c r="O31" i="3"/>
  <c r="P31" i="3"/>
  <c r="Q31" i="3"/>
  <c r="C32" i="3"/>
  <c r="C67" i="3" s="1"/>
  <c r="D32" i="3"/>
  <c r="E32" i="3"/>
  <c r="F32" i="3"/>
  <c r="G32" i="3"/>
  <c r="H32" i="3"/>
  <c r="I32" i="3"/>
  <c r="J32" i="3"/>
  <c r="J67" i="3" s="1"/>
  <c r="K32" i="3"/>
  <c r="K67" i="3" s="1"/>
  <c r="L32" i="3"/>
  <c r="M32" i="3"/>
  <c r="N586" i="7" s="1"/>
  <c r="N590" i="7" s="1"/>
  <c r="N595" i="7" s="1"/>
  <c r="N597" i="7" s="1"/>
  <c r="N32" i="3"/>
  <c r="D34" i="3"/>
  <c r="E34" i="3"/>
  <c r="L34" i="3"/>
  <c r="M34" i="3"/>
  <c r="C37" i="3"/>
  <c r="D37" i="3"/>
  <c r="O37" i="3" s="1"/>
  <c r="E37" i="3"/>
  <c r="E43" i="3" s="1"/>
  <c r="F37" i="3"/>
  <c r="F43" i="3" s="1"/>
  <c r="G37" i="3"/>
  <c r="H37" i="3"/>
  <c r="H43" i="3" s="1"/>
  <c r="I37" i="3"/>
  <c r="J37" i="3"/>
  <c r="K37" i="3"/>
  <c r="L37" i="3"/>
  <c r="L43" i="3" s="1"/>
  <c r="M37" i="3"/>
  <c r="M43" i="3" s="1"/>
  <c r="N37" i="3"/>
  <c r="N43" i="3" s="1"/>
  <c r="C38" i="3"/>
  <c r="P38" i="3" s="1"/>
  <c r="D38" i="3"/>
  <c r="E38" i="3"/>
  <c r="O38" i="3" s="1"/>
  <c r="Q38" i="3" s="1"/>
  <c r="F38" i="3"/>
  <c r="G38" i="3"/>
  <c r="G43" i="3" s="1"/>
  <c r="H38" i="3"/>
  <c r="I38" i="3"/>
  <c r="J38" i="3"/>
  <c r="K38" i="3"/>
  <c r="L38" i="3"/>
  <c r="M38" i="3"/>
  <c r="N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Q39" i="3" s="1"/>
  <c r="P39" i="3"/>
  <c r="C40" i="3"/>
  <c r="D40" i="3"/>
  <c r="E40" i="3"/>
  <c r="F40" i="3"/>
  <c r="G40" i="3"/>
  <c r="H40" i="3"/>
  <c r="O40" i="3" s="1"/>
  <c r="Q40" i="3" s="1"/>
  <c r="I40" i="3"/>
  <c r="J40" i="3"/>
  <c r="K40" i="3"/>
  <c r="L40" i="3"/>
  <c r="M40" i="3"/>
  <c r="N40" i="3"/>
  <c r="P40" i="3"/>
  <c r="C41" i="3"/>
  <c r="O41" i="3" s="1"/>
  <c r="Q41" i="3" s="1"/>
  <c r="D41" i="3"/>
  <c r="E41" i="3"/>
  <c r="F41" i="3"/>
  <c r="G41" i="3"/>
  <c r="H41" i="3"/>
  <c r="I41" i="3"/>
  <c r="I43" i="3" s="1"/>
  <c r="J41" i="3"/>
  <c r="K41" i="3"/>
  <c r="L41" i="3"/>
  <c r="M41" i="3"/>
  <c r="N41" i="3"/>
  <c r="P41" i="3"/>
  <c r="C43" i="3"/>
  <c r="J43" i="3"/>
  <c r="K43" i="3"/>
  <c r="C45" i="3"/>
  <c r="D45" i="3"/>
  <c r="E636" i="7" s="1"/>
  <c r="E45" i="3"/>
  <c r="F636" i="7" s="1"/>
  <c r="F45" i="3"/>
  <c r="G45" i="3"/>
  <c r="H45" i="3"/>
  <c r="I636" i="7" s="1"/>
  <c r="I45" i="3"/>
  <c r="J45" i="3"/>
  <c r="K45" i="3"/>
  <c r="L45" i="3"/>
  <c r="M636" i="7" s="1"/>
  <c r="M45" i="3"/>
  <c r="N8" i="15" s="1"/>
  <c r="N45" i="3"/>
  <c r="C46" i="3"/>
  <c r="O46" i="3" s="1"/>
  <c r="D46" i="3"/>
  <c r="E46" i="3"/>
  <c r="F46" i="3"/>
  <c r="G46" i="3"/>
  <c r="H46" i="3"/>
  <c r="I46" i="3"/>
  <c r="J46" i="3"/>
  <c r="K46" i="3"/>
  <c r="L46" i="3"/>
  <c r="M46" i="3"/>
  <c r="N46" i="3"/>
  <c r="C47" i="3"/>
  <c r="D47" i="3"/>
  <c r="O47" i="3" s="1"/>
  <c r="E47" i="3"/>
  <c r="F47" i="3"/>
  <c r="G47" i="3"/>
  <c r="H47" i="3"/>
  <c r="I47" i="3"/>
  <c r="J47" i="3"/>
  <c r="K47" i="3"/>
  <c r="L47" i="3"/>
  <c r="M47" i="3"/>
  <c r="N636" i="7" s="1"/>
  <c r="N47" i="3"/>
  <c r="C52" i="3"/>
  <c r="D52" i="3"/>
  <c r="E52" i="3"/>
  <c r="F52" i="3"/>
  <c r="F62" i="3" s="1"/>
  <c r="G52" i="3"/>
  <c r="G62" i="3" s="1"/>
  <c r="H52" i="3"/>
  <c r="H62" i="3" s="1"/>
  <c r="I52" i="3"/>
  <c r="J52" i="3"/>
  <c r="J62" i="3" s="1"/>
  <c r="K52" i="3"/>
  <c r="L52" i="3"/>
  <c r="M52" i="3"/>
  <c r="N52" i="3"/>
  <c r="N62" i="3" s="1"/>
  <c r="O52" i="3"/>
  <c r="Q52" i="3" s="1"/>
  <c r="P52" i="3"/>
  <c r="C53" i="3"/>
  <c r="D53" i="3"/>
  <c r="E53" i="3"/>
  <c r="T135" i="14" s="1"/>
  <c r="F53" i="3"/>
  <c r="G53" i="3"/>
  <c r="V135" i="14" s="1"/>
  <c r="V141" i="14" s="1"/>
  <c r="V29" i="14" s="1"/>
  <c r="H57" i="15" s="1"/>
  <c r="H53" i="3"/>
  <c r="W135" i="14" s="1"/>
  <c r="W141" i="14" s="1"/>
  <c r="W29" i="14" s="1"/>
  <c r="I57" i="15" s="1"/>
  <c r="I53" i="3"/>
  <c r="I62" i="3" s="1"/>
  <c r="J53" i="3"/>
  <c r="K53" i="3"/>
  <c r="L53" i="3"/>
  <c r="M53" i="3"/>
  <c r="AB135" i="14" s="1"/>
  <c r="N53" i="3"/>
  <c r="P53" i="3"/>
  <c r="C54" i="3"/>
  <c r="O54" i="3" s="1"/>
  <c r="Q54" i="3" s="1"/>
  <c r="D54" i="3"/>
  <c r="E54" i="3"/>
  <c r="F54" i="3"/>
  <c r="G54" i="3"/>
  <c r="H54" i="3"/>
  <c r="I54" i="3"/>
  <c r="J54" i="3"/>
  <c r="K54" i="3"/>
  <c r="L54" i="3"/>
  <c r="M54" i="3"/>
  <c r="N54" i="3"/>
  <c r="P54" i="3"/>
  <c r="C55" i="3"/>
  <c r="O55" i="3" s="1"/>
  <c r="D55" i="3"/>
  <c r="E55" i="3"/>
  <c r="F55" i="3"/>
  <c r="G55" i="3"/>
  <c r="H55" i="3"/>
  <c r="I55" i="3"/>
  <c r="J55" i="3"/>
  <c r="K55" i="3"/>
  <c r="L55" i="3"/>
  <c r="M55" i="3"/>
  <c r="N55" i="3"/>
  <c r="C56" i="3"/>
  <c r="P56" i="3" s="1"/>
  <c r="D56" i="3"/>
  <c r="E56" i="3"/>
  <c r="F56" i="3"/>
  <c r="G56" i="3"/>
  <c r="H56" i="3"/>
  <c r="I56" i="3"/>
  <c r="J56" i="3"/>
  <c r="K56" i="3"/>
  <c r="K62" i="3" s="1"/>
  <c r="L56" i="3"/>
  <c r="M56" i="3"/>
  <c r="N56" i="3"/>
  <c r="C57" i="3"/>
  <c r="O57" i="3" s="1"/>
  <c r="D57" i="3"/>
  <c r="E57" i="3"/>
  <c r="F57" i="3"/>
  <c r="G57" i="3"/>
  <c r="H57" i="3"/>
  <c r="I57" i="3"/>
  <c r="J57" i="3"/>
  <c r="K57" i="3"/>
  <c r="L57" i="3"/>
  <c r="M57" i="3"/>
  <c r="N57" i="3"/>
  <c r="C58" i="3"/>
  <c r="D58" i="3"/>
  <c r="O58" i="3" s="1"/>
  <c r="E58" i="3"/>
  <c r="E62" i="3" s="1"/>
  <c r="F58" i="3"/>
  <c r="G58" i="3"/>
  <c r="H58" i="3"/>
  <c r="I58" i="3"/>
  <c r="J58" i="3"/>
  <c r="K58" i="3"/>
  <c r="L58" i="3"/>
  <c r="M58" i="3"/>
  <c r="M62" i="3" s="1"/>
  <c r="N58" i="3"/>
  <c r="C59" i="3"/>
  <c r="P59" i="3" s="1"/>
  <c r="D59" i="3"/>
  <c r="E59" i="3"/>
  <c r="O59" i="3" s="1"/>
  <c r="F59" i="3"/>
  <c r="G59" i="3"/>
  <c r="H59" i="3"/>
  <c r="I59" i="3"/>
  <c r="J59" i="3"/>
  <c r="K59" i="3"/>
  <c r="L59" i="3"/>
  <c r="M59" i="3"/>
  <c r="N59" i="3"/>
  <c r="O60" i="3"/>
  <c r="Q60" i="3" s="1"/>
  <c r="P60" i="3"/>
  <c r="D62" i="3"/>
  <c r="L62" i="3"/>
  <c r="E67" i="3"/>
  <c r="F67" i="3"/>
  <c r="I67" i="3"/>
  <c r="M67" i="3"/>
  <c r="N67" i="3"/>
  <c r="AD121" i="13" l="1"/>
  <c r="AD61" i="13"/>
  <c r="D95" i="7"/>
  <c r="Q25" i="3"/>
  <c r="N49" i="3"/>
  <c r="F49" i="3"/>
  <c r="H58" i="8"/>
  <c r="I448" i="7"/>
  <c r="J395" i="7"/>
  <c r="I57" i="8"/>
  <c r="I38" i="8"/>
  <c r="M10" i="15"/>
  <c r="L64" i="3"/>
  <c r="I53" i="8"/>
  <c r="J607" i="7"/>
  <c r="F51" i="9"/>
  <c r="G31" i="15" s="1"/>
  <c r="G556" i="7"/>
  <c r="P556" i="7" s="1"/>
  <c r="I395" i="7"/>
  <c r="H57" i="8"/>
  <c r="H54" i="8"/>
  <c r="I22" i="15" s="1"/>
  <c r="I53" i="7"/>
  <c r="P39" i="8"/>
  <c r="Q58" i="3"/>
  <c r="J10" i="15"/>
  <c r="I64" i="3"/>
  <c r="Q7" i="3"/>
  <c r="D57" i="8"/>
  <c r="E395" i="7"/>
  <c r="M53" i="8"/>
  <c r="N607" i="7"/>
  <c r="H49" i="3"/>
  <c r="D51" i="9"/>
  <c r="E31" i="15" s="1"/>
  <c r="E556" i="7"/>
  <c r="L59" i="8"/>
  <c r="M501" i="7"/>
  <c r="L10" i="15"/>
  <c r="K64" i="3"/>
  <c r="N51" i="9"/>
  <c r="O31" i="15" s="1"/>
  <c r="O556" i="7"/>
  <c r="J501" i="7"/>
  <c r="I59" i="8"/>
  <c r="L51" i="9"/>
  <c r="M31" i="15" s="1"/>
  <c r="M556" i="7"/>
  <c r="J54" i="8"/>
  <c r="K22" i="15" s="1"/>
  <c r="K53" i="7"/>
  <c r="Q59" i="3"/>
  <c r="O43" i="3"/>
  <c r="Q26" i="3"/>
  <c r="H607" i="7"/>
  <c r="G53" i="8"/>
  <c r="N56" i="8"/>
  <c r="O24" i="15" s="1"/>
  <c r="O143" i="7"/>
  <c r="F53" i="8"/>
  <c r="G607" i="7"/>
  <c r="N53" i="8"/>
  <c r="O607" i="7"/>
  <c r="K10" i="15"/>
  <c r="J64" i="3"/>
  <c r="E53" i="8"/>
  <c r="F607" i="7"/>
  <c r="F59" i="8"/>
  <c r="G501" i="7"/>
  <c r="D50" i="9"/>
  <c r="E342" i="7"/>
  <c r="F53" i="7"/>
  <c r="E54" i="8"/>
  <c r="F22" i="15" s="1"/>
  <c r="L8" i="15"/>
  <c r="L636" i="7"/>
  <c r="O20" i="3"/>
  <c r="Q20" i="3" s="1"/>
  <c r="C12" i="12"/>
  <c r="D640" i="7"/>
  <c r="D651" i="7"/>
  <c r="H28" i="15"/>
  <c r="H325" i="7"/>
  <c r="H330" i="7" s="1"/>
  <c r="H332" i="7" s="1"/>
  <c r="D156" i="7"/>
  <c r="L143" i="7"/>
  <c r="D131" i="7"/>
  <c r="P126" i="7"/>
  <c r="N53" i="7"/>
  <c r="P28" i="8"/>
  <c r="O28" i="8"/>
  <c r="Q28" i="8" s="1"/>
  <c r="P578" i="7"/>
  <c r="G51" i="9"/>
  <c r="H31" i="15" s="1"/>
  <c r="H556" i="7"/>
  <c r="N59" i="8"/>
  <c r="C8" i="12"/>
  <c r="D452" i="7"/>
  <c r="G431" i="7"/>
  <c r="G436" i="7" s="1"/>
  <c r="G438" i="7" s="1"/>
  <c r="G378" i="7"/>
  <c r="G383" i="7" s="1"/>
  <c r="G385" i="7" s="1"/>
  <c r="D66" i="7"/>
  <c r="M53" i="7"/>
  <c r="L54" i="8"/>
  <c r="M22" i="15" s="1"/>
  <c r="G54" i="8"/>
  <c r="H22" i="15" s="1"/>
  <c r="H53" i="7"/>
  <c r="F54" i="8"/>
  <c r="G22" i="15" s="1"/>
  <c r="G53" i="7"/>
  <c r="AG140" i="8"/>
  <c r="AH140" i="8"/>
  <c r="V143" i="8"/>
  <c r="AG143" i="8" s="1"/>
  <c r="AI138" i="8"/>
  <c r="O45" i="8"/>
  <c r="Q45" i="8" s="1"/>
  <c r="G70" i="15"/>
  <c r="R47" i="15"/>
  <c r="L11" i="15"/>
  <c r="K35" i="2"/>
  <c r="K9" i="13" s="1"/>
  <c r="P55" i="3"/>
  <c r="Q55" i="3" s="1"/>
  <c r="AC135" i="14"/>
  <c r="AC141" i="14" s="1"/>
  <c r="AC29" i="14" s="1"/>
  <c r="O57" i="15" s="1"/>
  <c r="U135" i="14"/>
  <c r="U141" i="14" s="1"/>
  <c r="U29" i="14" s="1"/>
  <c r="G57" i="15" s="1"/>
  <c r="J8" i="15"/>
  <c r="J636" i="7"/>
  <c r="P26" i="3"/>
  <c r="AA125" i="14"/>
  <c r="AA127" i="14" s="1"/>
  <c r="AA42" i="14" s="1"/>
  <c r="L67" i="4"/>
  <c r="S125" i="14"/>
  <c r="S127" i="14" s="1"/>
  <c r="S42" i="14" s="1"/>
  <c r="D67" i="4"/>
  <c r="P537" i="7"/>
  <c r="P542" i="7" s="1"/>
  <c r="H51" i="9"/>
  <c r="I31" i="15" s="1"/>
  <c r="I556" i="7"/>
  <c r="P529" i="7"/>
  <c r="P531" i="7" s="1"/>
  <c r="P474" i="7"/>
  <c r="L476" i="7"/>
  <c r="L478" i="7" s="1"/>
  <c r="P472" i="7"/>
  <c r="D476" i="7"/>
  <c r="K57" i="8"/>
  <c r="L395" i="7"/>
  <c r="K370" i="7"/>
  <c r="K372" i="7" s="1"/>
  <c r="L28" i="15"/>
  <c r="L325" i="7"/>
  <c r="L330" i="7" s="1"/>
  <c r="L332" i="7" s="1"/>
  <c r="N28" i="15"/>
  <c r="N325" i="7"/>
  <c r="N330" i="7" s="1"/>
  <c r="N332" i="7" s="1"/>
  <c r="F28" i="15"/>
  <c r="F325" i="7"/>
  <c r="F330" i="7" s="1"/>
  <c r="F332" i="7" s="1"/>
  <c r="D249" i="7"/>
  <c r="E207" i="7"/>
  <c r="E234" i="7" s="1"/>
  <c r="E282" i="7" s="1"/>
  <c r="K48" i="9"/>
  <c r="L207" i="7"/>
  <c r="L234" i="7" s="1"/>
  <c r="L282" i="7" s="1"/>
  <c r="H26" i="15"/>
  <c r="H191" i="7"/>
  <c r="H195" i="7" s="1"/>
  <c r="H197" i="7" s="1"/>
  <c r="N191" i="7"/>
  <c r="N195" i="7" s="1"/>
  <c r="N197" i="7" s="1"/>
  <c r="N26" i="15"/>
  <c r="F26" i="15"/>
  <c r="F191" i="7"/>
  <c r="F195" i="7" s="1"/>
  <c r="F197" i="7" s="1"/>
  <c r="K171" i="7"/>
  <c r="K173" i="7" s="1"/>
  <c r="K351" i="7"/>
  <c r="K404" i="7"/>
  <c r="K510" i="7"/>
  <c r="K563" i="7"/>
  <c r="K91" i="7" s="1"/>
  <c r="K674" i="7" s="1"/>
  <c r="K616" i="7"/>
  <c r="K243" i="7"/>
  <c r="L64" i="8"/>
  <c r="M13" i="15" s="1"/>
  <c r="O63" i="8"/>
  <c r="P63" i="8"/>
  <c r="C64" i="8"/>
  <c r="O29" i="8"/>
  <c r="Q29" i="8" s="1"/>
  <c r="O25" i="8"/>
  <c r="N20" i="15"/>
  <c r="O13" i="8"/>
  <c r="Q13" i="8" s="1"/>
  <c r="R59" i="15"/>
  <c r="P43" i="15"/>
  <c r="R43" i="15" s="1"/>
  <c r="Q43" i="15"/>
  <c r="T43" i="15"/>
  <c r="X10" i="13"/>
  <c r="I130" i="13"/>
  <c r="E46" i="4"/>
  <c r="E50" i="4" s="1"/>
  <c r="E55" i="4" s="1"/>
  <c r="E57" i="4" s="1"/>
  <c r="R134" i="14"/>
  <c r="D8" i="15"/>
  <c r="D636" i="7"/>
  <c r="I51" i="9"/>
  <c r="J31" i="15" s="1"/>
  <c r="J556" i="7"/>
  <c r="D22" i="8"/>
  <c r="E20" i="15" s="1"/>
  <c r="O19" i="8"/>
  <c r="K636" i="7"/>
  <c r="K8" i="15"/>
  <c r="I56" i="8"/>
  <c r="J24" i="15" s="1"/>
  <c r="J143" i="7"/>
  <c r="P32" i="3"/>
  <c r="P34" i="3" s="1"/>
  <c r="P27" i="3"/>
  <c r="M22" i="3"/>
  <c r="M49" i="3" s="1"/>
  <c r="M586" i="7"/>
  <c r="M590" i="7" s="1"/>
  <c r="M595" i="7" s="1"/>
  <c r="M597" i="7" s="1"/>
  <c r="E586" i="7"/>
  <c r="E590" i="7" s="1"/>
  <c r="E595" i="7" s="1"/>
  <c r="E597" i="7" s="1"/>
  <c r="Z125" i="14"/>
  <c r="Z127" i="14" s="1"/>
  <c r="Z42" i="14" s="1"/>
  <c r="K67" i="4"/>
  <c r="K65" i="8"/>
  <c r="L17" i="15" s="1"/>
  <c r="O46" i="4"/>
  <c r="C50" i="4"/>
  <c r="L501" i="7"/>
  <c r="K448" i="7"/>
  <c r="G58" i="8"/>
  <c r="H448" i="7"/>
  <c r="N423" i="7"/>
  <c r="N425" i="7" s="1"/>
  <c r="F423" i="7"/>
  <c r="F425" i="7" s="1"/>
  <c r="M395" i="7"/>
  <c r="K383" i="7"/>
  <c r="K385" i="7" s="1"/>
  <c r="N370" i="7"/>
  <c r="N372" i="7" s="1"/>
  <c r="F370" i="7"/>
  <c r="F372" i="7" s="1"/>
  <c r="J28" i="15"/>
  <c r="J325" i="7"/>
  <c r="J330" i="7" s="1"/>
  <c r="J332" i="7" s="1"/>
  <c r="L308" i="7"/>
  <c r="L310" i="7" s="1"/>
  <c r="P280" i="7"/>
  <c r="J191" i="7"/>
  <c r="J195" i="7" s="1"/>
  <c r="J197" i="7" s="1"/>
  <c r="E171" i="7"/>
  <c r="E173" i="7" s="1"/>
  <c r="L171" i="7"/>
  <c r="L173" i="7" s="1"/>
  <c r="P80" i="7"/>
  <c r="E53" i="7"/>
  <c r="D54" i="8"/>
  <c r="E22" i="15" s="1"/>
  <c r="D37" i="7"/>
  <c r="P32" i="7"/>
  <c r="F49" i="8"/>
  <c r="M20" i="15"/>
  <c r="L38" i="8"/>
  <c r="O9" i="8"/>
  <c r="Q9" i="8" s="1"/>
  <c r="Q16" i="8" s="1"/>
  <c r="Q38" i="15"/>
  <c r="K26" i="15"/>
  <c r="AB148" i="14"/>
  <c r="AB51" i="14" s="1"/>
  <c r="N42" i="15"/>
  <c r="T148" i="14"/>
  <c r="T51" i="14" s="1"/>
  <c r="O41" i="9"/>
  <c r="F42" i="15"/>
  <c r="O39" i="11"/>
  <c r="Q39" i="11" s="1"/>
  <c r="P39" i="11"/>
  <c r="C51" i="9"/>
  <c r="G59" i="8"/>
  <c r="H501" i="7"/>
  <c r="N304" i="7"/>
  <c r="H56" i="8"/>
  <c r="I24" i="15" s="1"/>
  <c r="D38" i="8"/>
  <c r="K130" i="13"/>
  <c r="F9" i="15"/>
  <c r="D21" i="9"/>
  <c r="D25" i="9" s="1"/>
  <c r="G22" i="3"/>
  <c r="G49" i="3" s="1"/>
  <c r="D620" i="7"/>
  <c r="O378" i="7"/>
  <c r="O383" i="7" s="1"/>
  <c r="O385" i="7" s="1"/>
  <c r="M171" i="7"/>
  <c r="M173" i="7" s="1"/>
  <c r="F56" i="8"/>
  <c r="G24" i="15" s="1"/>
  <c r="T141" i="14"/>
  <c r="T29" i="14" s="1"/>
  <c r="F57" i="15" s="1"/>
  <c r="P57" i="3"/>
  <c r="P62" i="3" s="1"/>
  <c r="O56" i="3"/>
  <c r="Q56" i="3" s="1"/>
  <c r="AA135" i="14"/>
  <c r="S135" i="14"/>
  <c r="P46" i="3"/>
  <c r="Q46" i="3" s="1"/>
  <c r="O45" i="3"/>
  <c r="H8" i="15"/>
  <c r="O32" i="3"/>
  <c r="O27" i="3"/>
  <c r="Q27" i="3" s="1"/>
  <c r="D22" i="3"/>
  <c r="L586" i="7"/>
  <c r="L590" i="7" s="1"/>
  <c r="L595" i="7" s="1"/>
  <c r="L597" i="7" s="1"/>
  <c r="D586" i="7"/>
  <c r="Y125" i="14"/>
  <c r="Y127" i="14" s="1"/>
  <c r="Y42" i="14" s="1"/>
  <c r="J67" i="4"/>
  <c r="J65" i="8"/>
  <c r="K17" i="15" s="1"/>
  <c r="P8" i="3"/>
  <c r="Q8" i="3" s="1"/>
  <c r="H636" i="7"/>
  <c r="C43" i="8"/>
  <c r="P588" i="7"/>
  <c r="M582" i="7"/>
  <c r="M584" i="7" s="1"/>
  <c r="E582" i="7"/>
  <c r="K51" i="9"/>
  <c r="L31" i="15" s="1"/>
  <c r="M59" i="8"/>
  <c r="N501" i="7"/>
  <c r="E59" i="8"/>
  <c r="F501" i="7"/>
  <c r="K58" i="8"/>
  <c r="L448" i="7"/>
  <c r="E448" i="7"/>
  <c r="D58" i="8"/>
  <c r="P427" i="7"/>
  <c r="P420" i="7"/>
  <c r="C7" i="12"/>
  <c r="D399" i="7"/>
  <c r="D410" i="7"/>
  <c r="P374" i="7"/>
  <c r="P367" i="7"/>
  <c r="C10" i="12"/>
  <c r="D346" i="7"/>
  <c r="D357" i="7"/>
  <c r="P312" i="7"/>
  <c r="P316" i="7" s="1"/>
  <c r="Q26" i="15"/>
  <c r="P26" i="15"/>
  <c r="R26" i="15" s="1"/>
  <c r="T26" i="15"/>
  <c r="P169" i="7"/>
  <c r="J167" i="7"/>
  <c r="G56" i="8"/>
  <c r="H24" i="15" s="1"/>
  <c r="H143" i="7"/>
  <c r="I243" i="7"/>
  <c r="I457" i="7"/>
  <c r="I645" i="7"/>
  <c r="K13" i="15"/>
  <c r="J64" i="8"/>
  <c r="P19" i="8"/>
  <c r="P22" i="8" s="1"/>
  <c r="O14" i="8"/>
  <c r="Q14" i="8" s="1"/>
  <c r="H16" i="8"/>
  <c r="P50" i="15"/>
  <c r="Y155" i="14"/>
  <c r="Y30" i="14" s="1"/>
  <c r="K41" i="15"/>
  <c r="T41" i="15" s="1"/>
  <c r="I135" i="13"/>
  <c r="AC125" i="14"/>
  <c r="AC127" i="14" s="1"/>
  <c r="AC42" i="14" s="1"/>
  <c r="N67" i="4"/>
  <c r="J51" i="9"/>
  <c r="K31" i="15" s="1"/>
  <c r="K556" i="7"/>
  <c r="F304" i="7"/>
  <c r="E280" i="7"/>
  <c r="P256" i="7"/>
  <c r="O39" i="2"/>
  <c r="P39" i="2"/>
  <c r="P45" i="2" s="1"/>
  <c r="C45" i="2"/>
  <c r="C10" i="13" s="1"/>
  <c r="C62" i="3"/>
  <c r="O53" i="3"/>
  <c r="Q53" i="3" s="1"/>
  <c r="AB125" i="14"/>
  <c r="AB127" i="14" s="1"/>
  <c r="AB42" i="14" s="1"/>
  <c r="M67" i="4"/>
  <c r="M65" i="8"/>
  <c r="N17" i="15" s="1"/>
  <c r="I501" i="7"/>
  <c r="H59" i="8"/>
  <c r="O431" i="7"/>
  <c r="O436" i="7" s="1"/>
  <c r="O438" i="7" s="1"/>
  <c r="P45" i="3"/>
  <c r="P58" i="3"/>
  <c r="Z135" i="14"/>
  <c r="Z141" i="14" s="1"/>
  <c r="Z29" i="14" s="1"/>
  <c r="L57" i="15" s="1"/>
  <c r="R135" i="14"/>
  <c r="P47" i="3"/>
  <c r="Q47" i="3" s="1"/>
  <c r="O8" i="15"/>
  <c r="O636" i="7"/>
  <c r="G8" i="15"/>
  <c r="G636" i="7"/>
  <c r="P37" i="3"/>
  <c r="P43" i="3" s="1"/>
  <c r="C22" i="3"/>
  <c r="C49" i="3" s="1"/>
  <c r="K586" i="7"/>
  <c r="K590" i="7" s="1"/>
  <c r="K595" i="7" s="1"/>
  <c r="K597" i="7" s="1"/>
  <c r="X125" i="14"/>
  <c r="X127" i="14" s="1"/>
  <c r="X42" i="14" s="1"/>
  <c r="I67" i="4"/>
  <c r="I65" i="8"/>
  <c r="J17" i="15" s="1"/>
  <c r="P9" i="3"/>
  <c r="Q9" i="3" s="1"/>
  <c r="D674" i="7"/>
  <c r="D676" i="7" s="1"/>
  <c r="J49" i="8"/>
  <c r="M51" i="9"/>
  <c r="N31" i="15" s="1"/>
  <c r="E51" i="9"/>
  <c r="F31" i="15" s="1"/>
  <c r="O501" i="7"/>
  <c r="P480" i="7"/>
  <c r="I476" i="7"/>
  <c r="I478" i="7" s="1"/>
  <c r="P368" i="7"/>
  <c r="P168" i="7"/>
  <c r="D305" i="7"/>
  <c r="P305" i="7" s="1"/>
  <c r="I171" i="7"/>
  <c r="I173" i="7" s="1"/>
  <c r="I304" i="7"/>
  <c r="I308" i="7" s="1"/>
  <c r="I310" i="7" s="1"/>
  <c r="K28" i="15"/>
  <c r="K325" i="7"/>
  <c r="K330" i="7" s="1"/>
  <c r="K332" i="7" s="1"/>
  <c r="D195" i="7"/>
  <c r="D171" i="7"/>
  <c r="P30" i="7"/>
  <c r="P11" i="7"/>
  <c r="P13" i="7" s="1"/>
  <c r="AH143" i="8"/>
  <c r="G57" i="8"/>
  <c r="O10" i="8"/>
  <c r="Q10" i="8" s="1"/>
  <c r="P16" i="8"/>
  <c r="R72" i="15"/>
  <c r="P66" i="15"/>
  <c r="R66" i="15" s="1"/>
  <c r="R53" i="15"/>
  <c r="M9" i="15"/>
  <c r="L35" i="2"/>
  <c r="L9" i="13" s="1"/>
  <c r="U125" i="14"/>
  <c r="U127" i="14" s="1"/>
  <c r="U42" i="14" s="1"/>
  <c r="F67" i="4"/>
  <c r="F65" i="8"/>
  <c r="I607" i="7"/>
  <c r="H53" i="8"/>
  <c r="F50" i="9"/>
  <c r="I54" i="8"/>
  <c r="J22" i="15" s="1"/>
  <c r="J53" i="7"/>
  <c r="N9" i="15"/>
  <c r="I8" i="15"/>
  <c r="E22" i="3"/>
  <c r="E49" i="3" s="1"/>
  <c r="P67" i="3"/>
  <c r="Y135" i="14"/>
  <c r="F8" i="15"/>
  <c r="D43" i="3"/>
  <c r="P19" i="3"/>
  <c r="Q19" i="3" s="1"/>
  <c r="W125" i="14"/>
  <c r="W127" i="14" s="1"/>
  <c r="W42" i="14" s="1"/>
  <c r="H65" i="8"/>
  <c r="I17" i="15" s="1"/>
  <c r="P533" i="7"/>
  <c r="E489" i="7"/>
  <c r="P473" i="7"/>
  <c r="C58" i="8"/>
  <c r="D448" i="7"/>
  <c r="P438" i="7"/>
  <c r="I58" i="8"/>
  <c r="J448" i="7"/>
  <c r="E67" i="15"/>
  <c r="T67" i="15" s="1"/>
  <c r="P380" i="7"/>
  <c r="H167" i="7"/>
  <c r="H370" i="7"/>
  <c r="H372" i="7" s="1"/>
  <c r="N50" i="9"/>
  <c r="D28" i="15"/>
  <c r="D325" i="7"/>
  <c r="D262" i="7"/>
  <c r="D286" i="7" s="1"/>
  <c r="D273" i="7"/>
  <c r="L260" i="7"/>
  <c r="L284" i="7" s="1"/>
  <c r="D284" i="7"/>
  <c r="P236" i="7"/>
  <c r="D260" i="7"/>
  <c r="N34" i="9"/>
  <c r="O191" i="7"/>
  <c r="O195" i="7" s="1"/>
  <c r="O197" i="7" s="1"/>
  <c r="F34" i="9"/>
  <c r="G191" i="7"/>
  <c r="G195" i="7" s="1"/>
  <c r="G197" i="7" s="1"/>
  <c r="K143" i="7"/>
  <c r="J56" i="8"/>
  <c r="K24" i="15" s="1"/>
  <c r="N126" i="7"/>
  <c r="N131" i="7" s="1"/>
  <c r="N133" i="7" s="1"/>
  <c r="F126" i="7"/>
  <c r="F131" i="7" s="1"/>
  <c r="F133" i="7" s="1"/>
  <c r="N65" i="8"/>
  <c r="K59" i="8"/>
  <c r="D36" i="8"/>
  <c r="Q44" i="15"/>
  <c r="O56" i="9"/>
  <c r="P56" i="9"/>
  <c r="O12" i="9"/>
  <c r="Q12" i="9" s="1"/>
  <c r="O67" i="3"/>
  <c r="G67" i="3"/>
  <c r="X135" i="14"/>
  <c r="M8" i="15"/>
  <c r="E8" i="15"/>
  <c r="V125" i="14"/>
  <c r="V127" i="14" s="1"/>
  <c r="V42" i="14" s="1"/>
  <c r="G67" i="4"/>
  <c r="G65" i="8"/>
  <c r="C17" i="11"/>
  <c r="R113" i="14" s="1"/>
  <c r="D558" i="7"/>
  <c r="D560" i="7" s="1"/>
  <c r="D569" i="7"/>
  <c r="P544" i="7"/>
  <c r="C9" i="12"/>
  <c r="D505" i="7"/>
  <c r="D516" i="7"/>
  <c r="C59" i="8"/>
  <c r="D501" i="7"/>
  <c r="K501" i="7"/>
  <c r="J59" i="8"/>
  <c r="D463" i="7"/>
  <c r="M448" i="7"/>
  <c r="L58" i="8"/>
  <c r="O171" i="7"/>
  <c r="O173" i="7" s="1"/>
  <c r="O304" i="7"/>
  <c r="O308" i="7" s="1"/>
  <c r="O310" i="7" s="1"/>
  <c r="G171" i="7"/>
  <c r="G173" i="7" s="1"/>
  <c r="G304" i="7"/>
  <c r="G308" i="7" s="1"/>
  <c r="G310" i="7" s="1"/>
  <c r="L50" i="9"/>
  <c r="I28" i="15"/>
  <c r="I325" i="7"/>
  <c r="I330" i="7" s="1"/>
  <c r="I332" i="7" s="1"/>
  <c r="I26" i="15"/>
  <c r="I191" i="7"/>
  <c r="I195" i="7" s="1"/>
  <c r="I197" i="7" s="1"/>
  <c r="I143" i="7"/>
  <c r="M38" i="8"/>
  <c r="M36" i="8"/>
  <c r="P114" i="7"/>
  <c r="P118" i="7" s="1"/>
  <c r="O53" i="7"/>
  <c r="N54" i="8"/>
  <c r="O22" i="15" s="1"/>
  <c r="L53" i="7"/>
  <c r="K54" i="8"/>
  <c r="L22" i="15" s="1"/>
  <c r="C143" i="8"/>
  <c r="O140" i="8"/>
  <c r="Q140" i="8" s="1"/>
  <c r="P140" i="8"/>
  <c r="AI135" i="8"/>
  <c r="L65" i="8"/>
  <c r="M17" i="15" s="1"/>
  <c r="K56" i="8"/>
  <c r="L24" i="15" s="1"/>
  <c r="M54" i="8"/>
  <c r="N22" i="15" s="1"/>
  <c r="P44" i="8"/>
  <c r="O44" i="8"/>
  <c r="L34" i="8"/>
  <c r="L39" i="8" s="1"/>
  <c r="O26" i="8"/>
  <c r="P26" i="8"/>
  <c r="P34" i="8" s="1"/>
  <c r="D34" i="8"/>
  <c r="D39" i="8" s="1"/>
  <c r="O39" i="8" s="1"/>
  <c r="Q39" i="8" s="1"/>
  <c r="E38" i="8"/>
  <c r="P48" i="15"/>
  <c r="R48" i="15" s="1"/>
  <c r="Q35" i="15"/>
  <c r="O19" i="2"/>
  <c r="Q19" i="2" s="1"/>
  <c r="C25" i="9"/>
  <c r="Q67" i="15"/>
  <c r="I284" i="7"/>
  <c r="N260" i="7"/>
  <c r="N284" i="7" s="1"/>
  <c r="F260" i="7"/>
  <c r="F284" i="7" s="1"/>
  <c r="G34" i="9"/>
  <c r="N168" i="7"/>
  <c r="N305" i="7" s="1"/>
  <c r="F168" i="7"/>
  <c r="F305" i="7" s="1"/>
  <c r="L13" i="15"/>
  <c r="O46" i="8"/>
  <c r="Q46" i="8" s="1"/>
  <c r="O32" i="8"/>
  <c r="Q32" i="8" s="1"/>
  <c r="P67" i="15"/>
  <c r="Q48" i="15"/>
  <c r="W10" i="13"/>
  <c r="F130" i="13"/>
  <c r="Q11" i="2"/>
  <c r="K9" i="15"/>
  <c r="J35" i="2"/>
  <c r="J9" i="13" s="1"/>
  <c r="O37" i="9"/>
  <c r="F15" i="9"/>
  <c r="E16" i="9"/>
  <c r="AA158" i="14"/>
  <c r="AA161" i="14" s="1"/>
  <c r="AA47" i="14" s="1"/>
  <c r="L55" i="12"/>
  <c r="S158" i="14"/>
  <c r="S161" i="14" s="1"/>
  <c r="S47" i="14" s="1"/>
  <c r="AD47" i="14" s="1"/>
  <c r="O42" i="12"/>
  <c r="D55" i="12"/>
  <c r="C397" i="20"/>
  <c r="C46" i="13"/>
  <c r="L397" i="20"/>
  <c r="L46" i="13"/>
  <c r="D397" i="20"/>
  <c r="D46" i="13"/>
  <c r="D383" i="7"/>
  <c r="M34" i="9"/>
  <c r="E34" i="9"/>
  <c r="P175" i="7"/>
  <c r="P181" i="7" s="1"/>
  <c r="J13" i="15"/>
  <c r="Q70" i="15"/>
  <c r="T70" i="15"/>
  <c r="O31" i="8"/>
  <c r="Q31" i="8" s="1"/>
  <c r="J36" i="8"/>
  <c r="Q66" i="15"/>
  <c r="Q50" i="15"/>
  <c r="Q45" i="15"/>
  <c r="R45" i="15" s="1"/>
  <c r="P39" i="15"/>
  <c r="R39" i="15" s="1"/>
  <c r="O40" i="2"/>
  <c r="P40" i="2"/>
  <c r="D45" i="2"/>
  <c r="D10" i="13" s="1"/>
  <c r="G28" i="4"/>
  <c r="G15" i="13" s="1"/>
  <c r="H12" i="15"/>
  <c r="G49" i="11"/>
  <c r="K20" i="13"/>
  <c r="K54" i="6"/>
  <c r="O370" i="7"/>
  <c r="O372" i="7" s="1"/>
  <c r="G370" i="7"/>
  <c r="G372" i="7" s="1"/>
  <c r="L34" i="9"/>
  <c r="L59" i="9" s="1"/>
  <c r="L21" i="13" s="1"/>
  <c r="D34" i="9"/>
  <c r="D59" i="9" s="1"/>
  <c r="D21" i="13" s="1"/>
  <c r="I13" i="15"/>
  <c r="J20" i="15"/>
  <c r="N16" i="8"/>
  <c r="F16" i="8"/>
  <c r="P36" i="15"/>
  <c r="R36" i="15" s="1"/>
  <c r="K20" i="15"/>
  <c r="H13" i="15"/>
  <c r="N130" i="13"/>
  <c r="V149" i="14"/>
  <c r="V48" i="14" s="1"/>
  <c r="H38" i="15"/>
  <c r="P38" i="15" s="1"/>
  <c r="R38" i="15" s="1"/>
  <c r="O33" i="11"/>
  <c r="Q33" i="11" s="1"/>
  <c r="P33" i="11"/>
  <c r="N431" i="7"/>
  <c r="N436" i="7" s="1"/>
  <c r="N438" i="7" s="1"/>
  <c r="F431" i="7"/>
  <c r="F436" i="7" s="1"/>
  <c r="F438" i="7" s="1"/>
  <c r="R93" i="14"/>
  <c r="N378" i="7"/>
  <c r="N383" i="7" s="1"/>
  <c r="N385" i="7" s="1"/>
  <c r="F378" i="7"/>
  <c r="F383" i="7" s="1"/>
  <c r="F385" i="7" s="1"/>
  <c r="K34" i="9"/>
  <c r="C34" i="9"/>
  <c r="E21" i="15"/>
  <c r="P21" i="15" s="1"/>
  <c r="P55" i="8"/>
  <c r="Q55" i="8" s="1"/>
  <c r="Q73" i="15"/>
  <c r="T73" i="15"/>
  <c r="I34" i="8"/>
  <c r="I39" i="8" s="1"/>
  <c r="P73" i="15"/>
  <c r="P40" i="15"/>
  <c r="R40" i="15" s="1"/>
  <c r="Y10" i="13"/>
  <c r="L130" i="13"/>
  <c r="I11" i="15"/>
  <c r="H35" i="2"/>
  <c r="H9" i="13" s="1"/>
  <c r="Q18" i="2"/>
  <c r="X9" i="13"/>
  <c r="X12" i="13" s="1"/>
  <c r="I12" i="13"/>
  <c r="I129" i="13"/>
  <c r="F35" i="2"/>
  <c r="F9" i="13" s="1"/>
  <c r="G9" i="15"/>
  <c r="F135" i="13"/>
  <c r="O23" i="4"/>
  <c r="P23" i="4"/>
  <c r="Q18" i="4"/>
  <c r="O15" i="4"/>
  <c r="Q15" i="4" s="1"/>
  <c r="P15" i="4"/>
  <c r="D12" i="15"/>
  <c r="D531" i="7"/>
  <c r="M370" i="7"/>
  <c r="M372" i="7" s="1"/>
  <c r="E370" i="7"/>
  <c r="E372" i="7" s="1"/>
  <c r="J34" i="9"/>
  <c r="N34" i="8"/>
  <c r="N39" i="8" s="1"/>
  <c r="F34" i="8"/>
  <c r="F39" i="8" s="1"/>
  <c r="H20" i="15"/>
  <c r="G36" i="8"/>
  <c r="R69" i="15"/>
  <c r="Q51" i="15"/>
  <c r="R51" i="15" s="1"/>
  <c r="Q47" i="15"/>
  <c r="P37" i="15"/>
  <c r="R37" i="15" s="1"/>
  <c r="M130" i="13"/>
  <c r="P18" i="9"/>
  <c r="P21" i="9" s="1"/>
  <c r="P25" i="9" s="1"/>
  <c r="H20" i="13"/>
  <c r="H54" i="6"/>
  <c r="H208" i="13"/>
  <c r="I34" i="9"/>
  <c r="L56" i="8"/>
  <c r="M24" i="15" s="1"/>
  <c r="D56" i="8"/>
  <c r="E24" i="15" s="1"/>
  <c r="I67" i="8"/>
  <c r="N13" i="15"/>
  <c r="E13" i="15"/>
  <c r="D67" i="8"/>
  <c r="Q42" i="8"/>
  <c r="F20" i="15"/>
  <c r="K16" i="8"/>
  <c r="C16" i="8"/>
  <c r="P70" i="15"/>
  <c r="P29" i="15"/>
  <c r="R29" i="15" s="1"/>
  <c r="T29" i="15"/>
  <c r="O10" i="2"/>
  <c r="Q10" i="2" s="1"/>
  <c r="P10" i="2"/>
  <c r="D14" i="2"/>
  <c r="O55" i="9"/>
  <c r="P55" i="9"/>
  <c r="AB145" i="14"/>
  <c r="AB25" i="14" s="1"/>
  <c r="N35" i="15"/>
  <c r="P35" i="15" s="1"/>
  <c r="R35" i="15" s="1"/>
  <c r="T145" i="14"/>
  <c r="T25" i="14" s="1"/>
  <c r="O33" i="9"/>
  <c r="F35" i="15"/>
  <c r="T35" i="15" s="1"/>
  <c r="O13" i="15"/>
  <c r="G13" i="15"/>
  <c r="L12" i="15"/>
  <c r="D34" i="13"/>
  <c r="O25" i="6"/>
  <c r="U25" i="6"/>
  <c r="O33" i="2"/>
  <c r="O17" i="2"/>
  <c r="G23" i="2"/>
  <c r="H11" i="15" s="1"/>
  <c r="O49" i="9"/>
  <c r="Q49" i="9" s="1"/>
  <c r="AC145" i="14"/>
  <c r="AC25" i="14" s="1"/>
  <c r="U145" i="14"/>
  <c r="U25" i="14" s="1"/>
  <c r="C71" i="4"/>
  <c r="C80" i="4"/>
  <c r="L28" i="4"/>
  <c r="L15" i="13" s="1"/>
  <c r="M12" i="15"/>
  <c r="D28" i="4"/>
  <c r="D15" i="13" s="1"/>
  <c r="E12" i="15"/>
  <c r="Y94" i="13"/>
  <c r="D94" i="13"/>
  <c r="P44" i="11"/>
  <c r="O28" i="11"/>
  <c r="P28" i="11"/>
  <c r="T72" i="14"/>
  <c r="E113" i="13" s="1"/>
  <c r="E32" i="13"/>
  <c r="E92" i="13"/>
  <c r="Q12" i="6"/>
  <c r="K55" i="12"/>
  <c r="C55" i="12"/>
  <c r="O44" i="12"/>
  <c r="Q44" i="12" s="1"/>
  <c r="P44" i="12"/>
  <c r="X165" i="13"/>
  <c r="J130" i="13"/>
  <c r="P18" i="2"/>
  <c r="P23" i="2" s="1"/>
  <c r="M23" i="2"/>
  <c r="N11" i="15" s="1"/>
  <c r="E23" i="2"/>
  <c r="F11" i="15" s="1"/>
  <c r="G14" i="2"/>
  <c r="X155" i="14"/>
  <c r="X30" i="14" s="1"/>
  <c r="O53" i="9"/>
  <c r="Q53" i="9" s="1"/>
  <c r="O47" i="9"/>
  <c r="P47" i="9"/>
  <c r="P19" i="9"/>
  <c r="O21" i="4"/>
  <c r="Q21" i="4" s="1"/>
  <c r="J28" i="4"/>
  <c r="J15" i="13" s="1"/>
  <c r="H28" i="4"/>
  <c r="H15" i="13" s="1"/>
  <c r="I12" i="15"/>
  <c r="O40" i="11"/>
  <c r="Q40" i="11" s="1"/>
  <c r="P40" i="11"/>
  <c r="O38" i="11"/>
  <c r="Q38" i="11" s="1"/>
  <c r="O31" i="11"/>
  <c r="Q31" i="11" s="1"/>
  <c r="O29" i="11"/>
  <c r="Q29" i="11" s="1"/>
  <c r="AB72" i="14"/>
  <c r="M113" i="13" s="1"/>
  <c r="M32" i="13"/>
  <c r="M92" i="13"/>
  <c r="T37" i="6"/>
  <c r="O49" i="12"/>
  <c r="Q49" i="12" s="1"/>
  <c r="P49" i="12"/>
  <c r="J384" i="20"/>
  <c r="O15" i="12"/>
  <c r="T72" i="15"/>
  <c r="T69" i="15"/>
  <c r="T66" i="15"/>
  <c r="T59" i="15"/>
  <c r="T58" i="15"/>
  <c r="T56" i="15"/>
  <c r="T53" i="15"/>
  <c r="T51" i="15"/>
  <c r="T50" i="15"/>
  <c r="T48" i="15"/>
  <c r="T47" i="15"/>
  <c r="O42" i="15"/>
  <c r="P42" i="15" s="1"/>
  <c r="R42" i="15" s="1"/>
  <c r="G42" i="15"/>
  <c r="T42" i="15" s="1"/>
  <c r="Q42" i="2"/>
  <c r="G130" i="13"/>
  <c r="D23" i="2"/>
  <c r="E11" i="15" s="1"/>
  <c r="Q11" i="15" s="1"/>
  <c r="O54" i="9"/>
  <c r="P54" i="9"/>
  <c r="O43" i="9"/>
  <c r="Q43" i="9" s="1"/>
  <c r="O26" i="4"/>
  <c r="R139" i="14"/>
  <c r="O24" i="4"/>
  <c r="Q24" i="4" s="1"/>
  <c r="P24" i="4"/>
  <c r="O8" i="4"/>
  <c r="Q8" i="4" s="1"/>
  <c r="H49" i="11"/>
  <c r="H34" i="13" s="1"/>
  <c r="M49" i="11"/>
  <c r="M34" i="13" s="1"/>
  <c r="P16" i="11"/>
  <c r="O16" i="11"/>
  <c r="AA72" i="14"/>
  <c r="L113" i="13" s="1"/>
  <c r="L32" i="13"/>
  <c r="L92" i="13"/>
  <c r="O7" i="11"/>
  <c r="D12" i="11"/>
  <c r="N48" i="6"/>
  <c r="N50" i="6" s="1"/>
  <c r="P39" i="6"/>
  <c r="Q213" i="13"/>
  <c r="Q218" i="13" s="1"/>
  <c r="O218" i="13"/>
  <c r="O192" i="13" s="1"/>
  <c r="S147" i="14"/>
  <c r="S50" i="14" s="1"/>
  <c r="O40" i="9"/>
  <c r="Q40" i="9" s="1"/>
  <c r="P40" i="9"/>
  <c r="O51" i="4"/>
  <c r="O16" i="4"/>
  <c r="Q16" i="4" s="1"/>
  <c r="P16" i="4"/>
  <c r="L34" i="13"/>
  <c r="X43" i="14"/>
  <c r="I49" i="11"/>
  <c r="I34" i="13" s="1"/>
  <c r="E130" i="13"/>
  <c r="N35" i="2"/>
  <c r="N9" i="13" s="1"/>
  <c r="O8" i="2"/>
  <c r="Q8" i="2" s="1"/>
  <c r="X152" i="14"/>
  <c r="O45" i="9"/>
  <c r="O36" i="9"/>
  <c r="Q36" i="9" s="1"/>
  <c r="AB144" i="14"/>
  <c r="T144" i="14"/>
  <c r="N18" i="9"/>
  <c r="F18" i="9"/>
  <c r="N135" i="13"/>
  <c r="O14" i="4"/>
  <c r="Q14" i="4" s="1"/>
  <c r="P14" i="4"/>
  <c r="K28" i="4"/>
  <c r="K15" i="13" s="1"/>
  <c r="O9" i="4"/>
  <c r="Q9" i="4" s="1"/>
  <c r="P9" i="4"/>
  <c r="P28" i="4" s="1"/>
  <c r="C28" i="4"/>
  <c r="C15" i="13" s="1"/>
  <c r="M28" i="4"/>
  <c r="M15" i="13" s="1"/>
  <c r="E28" i="4"/>
  <c r="E15" i="13" s="1"/>
  <c r="O36" i="11"/>
  <c r="Q36" i="11" s="1"/>
  <c r="P36" i="11"/>
  <c r="I46" i="6"/>
  <c r="I48" i="6" s="1"/>
  <c r="U42" i="6"/>
  <c r="U46" i="6" s="1"/>
  <c r="G48" i="6"/>
  <c r="P7" i="2"/>
  <c r="P14" i="2" s="1"/>
  <c r="C14" i="2"/>
  <c r="O46" i="9"/>
  <c r="Q46" i="9" s="1"/>
  <c r="P46" i="9"/>
  <c r="S144" i="14"/>
  <c r="AD144" i="14" s="1"/>
  <c r="O32" i="9"/>
  <c r="P32" i="9"/>
  <c r="M18" i="9"/>
  <c r="E19" i="9"/>
  <c r="E18" i="9"/>
  <c r="O18" i="9" s="1"/>
  <c r="Q18" i="9" s="1"/>
  <c r="O25" i="4"/>
  <c r="Q25" i="4" s="1"/>
  <c r="P25" i="4"/>
  <c r="O22" i="4"/>
  <c r="Q22" i="4" s="1"/>
  <c r="J49" i="11"/>
  <c r="J34" i="13" s="1"/>
  <c r="X72" i="14"/>
  <c r="I113" i="13" s="1"/>
  <c r="I92" i="13"/>
  <c r="I32" i="13"/>
  <c r="X44" i="6"/>
  <c r="Q44" i="6"/>
  <c r="T35" i="6"/>
  <c r="T39" i="6" s="1"/>
  <c r="T48" i="6" s="1"/>
  <c r="AB16" i="14"/>
  <c r="M39" i="12"/>
  <c r="T16" i="14"/>
  <c r="O35" i="12"/>
  <c r="E39" i="12"/>
  <c r="P53" i="9"/>
  <c r="O52" i="9"/>
  <c r="Q52" i="9" s="1"/>
  <c r="P45" i="9"/>
  <c r="O44" i="9"/>
  <c r="Q44" i="9" s="1"/>
  <c r="R50" i="14"/>
  <c r="P37" i="9"/>
  <c r="R17" i="14"/>
  <c r="Y139" i="14"/>
  <c r="C94" i="13"/>
  <c r="O44" i="11"/>
  <c r="O41" i="11"/>
  <c r="Q41" i="11" s="1"/>
  <c r="O35" i="11"/>
  <c r="Q35" i="11" s="1"/>
  <c r="P31" i="11"/>
  <c r="W43" i="14"/>
  <c r="S32" i="6"/>
  <c r="O32" i="6"/>
  <c r="X24" i="6"/>
  <c r="O24" i="6"/>
  <c r="Q24" i="6" s="1"/>
  <c r="Q8" i="6"/>
  <c r="P208" i="13"/>
  <c r="Y89" i="13"/>
  <c r="W527" i="20"/>
  <c r="R51" i="14"/>
  <c r="R25" i="14"/>
  <c r="O34" i="11"/>
  <c r="P34" i="11"/>
  <c r="P32" i="11"/>
  <c r="Q32" i="11" s="1"/>
  <c r="O15" i="11"/>
  <c r="T44" i="6"/>
  <c r="T42" i="6"/>
  <c r="T46" i="6" s="1"/>
  <c r="V42" i="6"/>
  <c r="V36" i="6"/>
  <c r="V34" i="6"/>
  <c r="V39" i="6" s="1"/>
  <c r="X14" i="6"/>
  <c r="O52" i="12"/>
  <c r="Q52" i="12" s="1"/>
  <c r="P52" i="12"/>
  <c r="O47" i="12"/>
  <c r="AB159" i="14"/>
  <c r="AB161" i="14" s="1"/>
  <c r="AB47" i="14" s="1"/>
  <c r="M55" i="12"/>
  <c r="T159" i="14"/>
  <c r="T161" i="14" s="1"/>
  <c r="T47" i="14" s="1"/>
  <c r="E55" i="12"/>
  <c r="E34" i="13" s="1"/>
  <c r="O43" i="12"/>
  <c r="AA206" i="13"/>
  <c r="AA205" i="13"/>
  <c r="W201" i="13"/>
  <c r="Q200" i="13"/>
  <c r="Y165" i="13"/>
  <c r="V165" i="13"/>
  <c r="R48" i="14"/>
  <c r="AD149" i="14"/>
  <c r="O42" i="11"/>
  <c r="Q42" i="11" s="1"/>
  <c r="P42" i="11"/>
  <c r="P37" i="11"/>
  <c r="Q37" i="11" s="1"/>
  <c r="F46" i="6"/>
  <c r="F48" i="6" s="1"/>
  <c r="M20" i="13"/>
  <c r="M54" i="6"/>
  <c r="E50" i="6"/>
  <c r="S36" i="6"/>
  <c r="X36" i="6" s="1"/>
  <c r="O36" i="6"/>
  <c r="Q36" i="6" s="1"/>
  <c r="S34" i="6"/>
  <c r="O34" i="6"/>
  <c r="Q34" i="6" s="1"/>
  <c r="T25" i="6"/>
  <c r="S20" i="6"/>
  <c r="X20" i="6" s="1"/>
  <c r="O20" i="6"/>
  <c r="Q20" i="6" s="1"/>
  <c r="O9" i="6"/>
  <c r="G29" i="6"/>
  <c r="O50" i="12"/>
  <c r="Q50" i="12" s="1"/>
  <c r="D392" i="20"/>
  <c r="D42" i="13"/>
  <c r="O25" i="12"/>
  <c r="N192" i="13"/>
  <c r="F192" i="13"/>
  <c r="W218" i="13"/>
  <c r="AA218" i="13" s="1"/>
  <c r="AI218" i="13"/>
  <c r="AJ218" i="13" s="1"/>
  <c r="AK218" i="13" s="1"/>
  <c r="AL218" i="13" s="1"/>
  <c r="AM218" i="13" s="1"/>
  <c r="AN218" i="13" s="1"/>
  <c r="AO218" i="13" s="1"/>
  <c r="AP218" i="13" s="1"/>
  <c r="AQ218" i="13" s="1"/>
  <c r="AA215" i="13"/>
  <c r="Y201" i="13"/>
  <c r="M208" i="13"/>
  <c r="V201" i="13"/>
  <c r="AA201" i="13" s="1"/>
  <c r="E208" i="13"/>
  <c r="Y164" i="13"/>
  <c r="AF164" i="13"/>
  <c r="P164" i="13"/>
  <c r="V164" i="13"/>
  <c r="O164" i="13"/>
  <c r="Q164" i="13" s="1"/>
  <c r="H130" i="13"/>
  <c r="AD150" i="14"/>
  <c r="O12" i="4"/>
  <c r="Q12" i="4" s="1"/>
  <c r="O7" i="4"/>
  <c r="P45" i="11"/>
  <c r="Q45" i="11" s="1"/>
  <c r="N49" i="11"/>
  <c r="N34" i="13" s="1"/>
  <c r="F49" i="11"/>
  <c r="F34" i="13" s="1"/>
  <c r="K49" i="11"/>
  <c r="K34" i="13" s="1"/>
  <c r="P27" i="11"/>
  <c r="Q27" i="11" s="1"/>
  <c r="C49" i="11"/>
  <c r="X52" i="6"/>
  <c r="V43" i="6"/>
  <c r="U33" i="6"/>
  <c r="U39" i="6" s="1"/>
  <c r="U48" i="6" s="1"/>
  <c r="Q14" i="6"/>
  <c r="O11" i="6"/>
  <c r="Q11" i="6" s="1"/>
  <c r="S11" i="6"/>
  <c r="X11" i="6" s="1"/>
  <c r="T7" i="6"/>
  <c r="O51" i="12"/>
  <c r="Q51" i="12" s="1"/>
  <c r="K397" i="20"/>
  <c r="K46" i="13"/>
  <c r="W16" i="14"/>
  <c r="R19" i="14"/>
  <c r="AD153" i="14"/>
  <c r="R21" i="14"/>
  <c r="AD151" i="14"/>
  <c r="P41" i="9"/>
  <c r="P33" i="9"/>
  <c r="P26" i="4"/>
  <c r="AC139" i="14"/>
  <c r="U139" i="14"/>
  <c r="P18" i="4"/>
  <c r="P10" i="4"/>
  <c r="Q10" i="4" s="1"/>
  <c r="O21" i="11"/>
  <c r="Q21" i="11" s="1"/>
  <c r="S43" i="6"/>
  <c r="C42" i="6"/>
  <c r="O43" i="6"/>
  <c r="Q43" i="6" s="1"/>
  <c r="L39" i="6"/>
  <c r="L48" i="6" s="1"/>
  <c r="S37" i="6"/>
  <c r="X37" i="6" s="1"/>
  <c r="S35" i="6"/>
  <c r="X33" i="6"/>
  <c r="X25" i="6"/>
  <c r="X15" i="6"/>
  <c r="I29" i="6"/>
  <c r="O7" i="6"/>
  <c r="S7" i="6"/>
  <c r="T138" i="14"/>
  <c r="O46" i="12"/>
  <c r="Q46" i="12" s="1"/>
  <c r="N55" i="12"/>
  <c r="F55" i="12"/>
  <c r="Y159" i="14"/>
  <c r="J55" i="12"/>
  <c r="D32" i="12"/>
  <c r="Q24" i="12"/>
  <c r="Y192" i="13"/>
  <c r="AG218" i="13"/>
  <c r="AH218" i="13" s="1"/>
  <c r="Y208" i="13"/>
  <c r="O201" i="13"/>
  <c r="Q201" i="13" s="1"/>
  <c r="T184" i="13"/>
  <c r="A123" i="13"/>
  <c r="R30" i="14"/>
  <c r="R23" i="14"/>
  <c r="AD152" i="14"/>
  <c r="AB139" i="14"/>
  <c r="AB141" i="14" s="1"/>
  <c r="AB29" i="14" s="1"/>
  <c r="N57" i="15" s="1"/>
  <c r="T139" i="14"/>
  <c r="W94" i="13"/>
  <c r="Z43" i="14"/>
  <c r="R43" i="14"/>
  <c r="V72" i="14"/>
  <c r="G113" i="13" s="1"/>
  <c r="G32" i="13"/>
  <c r="G92" i="13"/>
  <c r="G39" i="6"/>
  <c r="P25" i="6"/>
  <c r="O15" i="6"/>
  <c r="U9" i="6"/>
  <c r="U29" i="6" s="1"/>
  <c r="U50" i="6" s="1"/>
  <c r="U54" i="6" s="1"/>
  <c r="H397" i="20"/>
  <c r="H46" i="13"/>
  <c r="K192" i="13"/>
  <c r="AF218" i="13"/>
  <c r="C192" i="13"/>
  <c r="X208" i="13"/>
  <c r="Y16" i="14"/>
  <c r="AK84" i="13"/>
  <c r="AL84" i="13" s="1"/>
  <c r="H87" i="13"/>
  <c r="T82" i="14"/>
  <c r="F61" i="15" s="1"/>
  <c r="Y43" i="14"/>
  <c r="W72" i="14"/>
  <c r="H113" i="13" s="1"/>
  <c r="H32" i="13"/>
  <c r="H92" i="13"/>
  <c r="X138" i="14"/>
  <c r="P45" i="12"/>
  <c r="Q45" i="12" s="1"/>
  <c r="X16" i="14"/>
  <c r="E392" i="20"/>
  <c r="E42" i="13"/>
  <c r="O384" i="20"/>
  <c r="U384" i="20"/>
  <c r="Y384" i="20" s="1"/>
  <c r="AF201" i="13"/>
  <c r="AG201" i="13" s="1"/>
  <c r="AH201" i="13" s="1"/>
  <c r="AI201" i="13" s="1"/>
  <c r="AJ201" i="13" s="1"/>
  <c r="AK201" i="13" s="1"/>
  <c r="AL201" i="13" s="1"/>
  <c r="AM201" i="13" s="1"/>
  <c r="AN201" i="13" s="1"/>
  <c r="AO201" i="13" s="1"/>
  <c r="AP201" i="13" s="1"/>
  <c r="AQ201" i="13" s="1"/>
  <c r="I192" i="13"/>
  <c r="AG164" i="13"/>
  <c r="AH164" i="13" s="1"/>
  <c r="AI164" i="13" s="1"/>
  <c r="AJ164" i="13" s="1"/>
  <c r="AK164" i="13" s="1"/>
  <c r="W145" i="13"/>
  <c r="V108" i="13"/>
  <c r="O84" i="13"/>
  <c r="Q84" i="13" s="1"/>
  <c r="AJ84" i="13"/>
  <c r="G87" i="13"/>
  <c r="W84" i="13"/>
  <c r="P89" i="13"/>
  <c r="N142" i="13"/>
  <c r="W22" i="13"/>
  <c r="F142" i="13"/>
  <c r="AC72" i="14"/>
  <c r="N113" i="13" s="1"/>
  <c r="N32" i="13"/>
  <c r="N92" i="13"/>
  <c r="U72" i="14"/>
  <c r="F113" i="13" s="1"/>
  <c r="F32" i="13"/>
  <c r="F92" i="13"/>
  <c r="J29" i="6"/>
  <c r="J50" i="6" s="1"/>
  <c r="T9" i="6"/>
  <c r="P47" i="12"/>
  <c r="J39" i="12"/>
  <c r="V16" i="14"/>
  <c r="C392" i="20"/>
  <c r="C42" i="13"/>
  <c r="W384" i="20"/>
  <c r="C208" i="13"/>
  <c r="F46" i="13"/>
  <c r="S9" i="6"/>
  <c r="AC138" i="14"/>
  <c r="U138" i="14"/>
  <c r="Y161" i="14"/>
  <c r="Y47" i="14" s="1"/>
  <c r="I397" i="20"/>
  <c r="I46" i="13"/>
  <c r="AC16" i="14"/>
  <c r="U16" i="14"/>
  <c r="P15" i="12"/>
  <c r="W162" i="13"/>
  <c r="AI87" i="13"/>
  <c r="L89" i="13"/>
  <c r="AB43" i="14"/>
  <c r="T43" i="14"/>
  <c r="Z72" i="14"/>
  <c r="K113" i="13" s="1"/>
  <c r="K92" i="13"/>
  <c r="K32" i="13"/>
  <c r="R72" i="14"/>
  <c r="C92" i="13"/>
  <c r="C32" i="13"/>
  <c r="P15" i="6"/>
  <c r="P9" i="6"/>
  <c r="H55" i="12"/>
  <c r="P50" i="12"/>
  <c r="AA138" i="14"/>
  <c r="S138" i="14"/>
  <c r="AD137" i="14"/>
  <c r="P42" i="12"/>
  <c r="P55" i="12" s="1"/>
  <c r="W161" i="14"/>
  <c r="W47" i="14" s="1"/>
  <c r="G39" i="12"/>
  <c r="AA16" i="14"/>
  <c r="S16" i="14"/>
  <c r="C32" i="12"/>
  <c r="O17" i="12"/>
  <c r="Q17" i="12" s="1"/>
  <c r="V384" i="20"/>
  <c r="AG165" i="13"/>
  <c r="AH165" i="13" s="1"/>
  <c r="AI165" i="13" s="1"/>
  <c r="J87" i="13"/>
  <c r="AM84" i="13"/>
  <c r="AN84" i="13" s="1"/>
  <c r="AO84" i="13" s="1"/>
  <c r="AP84" i="13" s="1"/>
  <c r="AQ84" i="13" s="1"/>
  <c r="W87" i="13"/>
  <c r="X94" i="13"/>
  <c r="AA43" i="14"/>
  <c r="S43" i="14"/>
  <c r="AD18" i="14"/>
  <c r="AE18" i="14"/>
  <c r="Y72" i="14"/>
  <c r="J113" i="13" s="1"/>
  <c r="J32" i="13"/>
  <c r="J92" i="13"/>
  <c r="G55" i="12"/>
  <c r="Z138" i="14"/>
  <c r="R138" i="14"/>
  <c r="P43" i="12"/>
  <c r="N397" i="20"/>
  <c r="N46" i="13"/>
  <c r="Z16" i="14"/>
  <c r="R16" i="14"/>
  <c r="P25" i="12"/>
  <c r="P32" i="12" s="1"/>
  <c r="W164" i="13"/>
  <c r="I77" i="13"/>
  <c r="P165" i="13"/>
  <c r="X162" i="13"/>
  <c r="Y85" i="13"/>
  <c r="V85" i="13"/>
  <c r="AH85" i="13"/>
  <c r="AI85" i="13" s="1"/>
  <c r="AJ85" i="13" s="1"/>
  <c r="AK85" i="13" s="1"/>
  <c r="AL85" i="13" s="1"/>
  <c r="AM85" i="13" s="1"/>
  <c r="AN85" i="13" s="1"/>
  <c r="AO85" i="13" s="1"/>
  <c r="AP85" i="13" s="1"/>
  <c r="AQ85" i="13" s="1"/>
  <c r="Q82" i="13"/>
  <c r="K77" i="13"/>
  <c r="AF72" i="13"/>
  <c r="AG72" i="13" s="1"/>
  <c r="AH72" i="13" s="1"/>
  <c r="AI72" i="13" s="1"/>
  <c r="AJ72" i="13" s="1"/>
  <c r="AK72" i="13" s="1"/>
  <c r="AL72" i="13" s="1"/>
  <c r="AM72" i="13" s="1"/>
  <c r="AN72" i="13" s="1"/>
  <c r="AO72" i="13" s="1"/>
  <c r="AP72" i="13" s="1"/>
  <c r="AQ72" i="13" s="1"/>
  <c r="C77" i="13"/>
  <c r="W45" i="13"/>
  <c r="AA45" i="13" s="1"/>
  <c r="AI45" i="13"/>
  <c r="AJ45" i="13" s="1"/>
  <c r="AK45" i="13" s="1"/>
  <c r="AL45" i="13" s="1"/>
  <c r="AM45" i="13" s="1"/>
  <c r="AN45" i="13" s="1"/>
  <c r="AO45" i="13" s="1"/>
  <c r="AP45" i="13" s="1"/>
  <c r="AQ45" i="13" s="1"/>
  <c r="O45" i="13"/>
  <c r="Q45" i="13" s="1"/>
  <c r="AA106" i="13"/>
  <c r="Q81" i="13"/>
  <c r="O87" i="13"/>
  <c r="V77" i="13"/>
  <c r="W72" i="13"/>
  <c r="W77" i="13" s="1"/>
  <c r="O44" i="13"/>
  <c r="Q44" i="13" s="1"/>
  <c r="P44" i="13"/>
  <c r="V44" i="13"/>
  <c r="AA44" i="13" s="1"/>
  <c r="Y43" i="13"/>
  <c r="Y87" i="13"/>
  <c r="F89" i="13"/>
  <c r="AN43" i="13"/>
  <c r="AO43" i="13" s="1"/>
  <c r="AP43" i="13" s="1"/>
  <c r="AQ43" i="13" s="1"/>
  <c r="K163" i="13"/>
  <c r="X163" i="13" s="1"/>
  <c r="X43" i="13"/>
  <c r="O43" i="13"/>
  <c r="P43" i="13"/>
  <c r="AF43" i="13"/>
  <c r="AG43" i="13" s="1"/>
  <c r="AH43" i="13" s="1"/>
  <c r="AI43" i="13" s="1"/>
  <c r="AJ43" i="13" s="1"/>
  <c r="AK43" i="13" s="1"/>
  <c r="AL43" i="13" s="1"/>
  <c r="C163" i="13"/>
  <c r="V43" i="13"/>
  <c r="W25" i="13"/>
  <c r="Q38" i="10"/>
  <c r="O36" i="10"/>
  <c r="Q36" i="10" s="1"/>
  <c r="C52" i="10"/>
  <c r="P36" i="10"/>
  <c r="X11" i="14"/>
  <c r="I24" i="13"/>
  <c r="V11" i="14"/>
  <c r="G24" i="13"/>
  <c r="Z11" i="14"/>
  <c r="K24" i="13"/>
  <c r="P16" i="10"/>
  <c r="P28" i="10" s="1"/>
  <c r="O16" i="10"/>
  <c r="C28" i="10"/>
  <c r="N89" i="13"/>
  <c r="P87" i="13"/>
  <c r="E89" i="13"/>
  <c r="AB11" i="14"/>
  <c r="M24" i="13"/>
  <c r="Y24" i="13" s="1"/>
  <c r="O24" i="10"/>
  <c r="Q24" i="10" s="1"/>
  <c r="E28" i="10"/>
  <c r="AC11" i="14"/>
  <c r="N24" i="13"/>
  <c r="U11" i="14"/>
  <c r="F24" i="13"/>
  <c r="AH108" i="13"/>
  <c r="AI108" i="13" s="1"/>
  <c r="AJ108" i="13" s="1"/>
  <c r="AK108" i="13" s="1"/>
  <c r="AL108" i="13" s="1"/>
  <c r="AM108" i="13" s="1"/>
  <c r="AN108" i="13" s="1"/>
  <c r="AO108" i="13" s="1"/>
  <c r="AP108" i="13" s="1"/>
  <c r="AQ108" i="13" s="1"/>
  <c r="Q106" i="13"/>
  <c r="AA93" i="13"/>
  <c r="Q85" i="13"/>
  <c r="Q80" i="13"/>
  <c r="X89" i="13"/>
  <c r="AG87" i="13"/>
  <c r="AH87" i="13" s="1"/>
  <c r="W85" i="13"/>
  <c r="X84" i="13"/>
  <c r="X87" i="13" s="1"/>
  <c r="I87" i="13"/>
  <c r="G89" i="13"/>
  <c r="J77" i="13"/>
  <c r="M162" i="13"/>
  <c r="O45" i="10"/>
  <c r="Q45" i="10" s="1"/>
  <c r="N50" i="10"/>
  <c r="F52" i="10"/>
  <c r="J52" i="10"/>
  <c r="J50" i="10"/>
  <c r="H28" i="10"/>
  <c r="O10" i="10"/>
  <c r="Q10" i="10" s="1"/>
  <c r="P10" i="10"/>
  <c r="X22" i="13"/>
  <c r="I142" i="13"/>
  <c r="X311" i="20"/>
  <c r="L462" i="20"/>
  <c r="X462" i="20" s="1"/>
  <c r="D255" i="20"/>
  <c r="D256" i="20" s="1"/>
  <c r="O311" i="20"/>
  <c r="D462" i="20"/>
  <c r="U291" i="20"/>
  <c r="O291" i="20"/>
  <c r="D77" i="13"/>
  <c r="AA70" i="13"/>
  <c r="AA69" i="13"/>
  <c r="AM43" i="13"/>
  <c r="AW59" i="14"/>
  <c r="Y567" i="20"/>
  <c r="Y569" i="20" s="1"/>
  <c r="P108" i="13"/>
  <c r="AA101" i="13"/>
  <c r="AA108" i="13" s="1"/>
  <c r="AA83" i="13"/>
  <c r="M89" i="13"/>
  <c r="X44" i="13"/>
  <c r="I164" i="13"/>
  <c r="Q102" i="13"/>
  <c r="Q108" i="13" s="1"/>
  <c r="O108" i="13"/>
  <c r="AK44" i="13"/>
  <c r="AL44" i="13" s="1"/>
  <c r="AM44" i="13" s="1"/>
  <c r="AN44" i="13" s="1"/>
  <c r="AO44" i="13" s="1"/>
  <c r="AP44" i="13" s="1"/>
  <c r="AQ44" i="13" s="1"/>
  <c r="W44" i="13"/>
  <c r="Y7" i="13"/>
  <c r="Y189" i="13" s="1"/>
  <c r="Y67" i="13"/>
  <c r="Y127" i="13"/>
  <c r="G165" i="13"/>
  <c r="L52" i="10"/>
  <c r="D52" i="10"/>
  <c r="O42" i="10"/>
  <c r="P42" i="10"/>
  <c r="M52" i="10"/>
  <c r="E52" i="10"/>
  <c r="O23" i="10"/>
  <c r="Q23" i="10" s="1"/>
  <c r="O43" i="10"/>
  <c r="P43" i="10"/>
  <c r="O39" i="10"/>
  <c r="Q39" i="10" s="1"/>
  <c r="L50" i="10"/>
  <c r="D50" i="10"/>
  <c r="J28" i="10"/>
  <c r="O18" i="10"/>
  <c r="Q18" i="10" s="1"/>
  <c r="L13" i="10"/>
  <c r="L22" i="13" s="1"/>
  <c r="O8" i="10"/>
  <c r="P8" i="10"/>
  <c r="AE76" i="14"/>
  <c r="AD76" i="14"/>
  <c r="O41" i="10"/>
  <c r="Q41" i="10" s="1"/>
  <c r="K50" i="10"/>
  <c r="P31" i="10"/>
  <c r="C50" i="10"/>
  <c r="D13" i="10"/>
  <c r="D22" i="13" s="1"/>
  <c r="AW61" i="14"/>
  <c r="O481" i="20"/>
  <c r="U481" i="20"/>
  <c r="C482" i="20"/>
  <c r="U482" i="20"/>
  <c r="O72" i="13"/>
  <c r="O77" i="13" s="1"/>
  <c r="O37" i="10"/>
  <c r="P37" i="10"/>
  <c r="O31" i="10"/>
  <c r="P20" i="10"/>
  <c r="O20" i="10"/>
  <c r="Q20" i="10" s="1"/>
  <c r="AD109" i="14"/>
  <c r="AD111" i="14" s="1"/>
  <c r="R111" i="14"/>
  <c r="R35" i="14" s="1"/>
  <c r="AN83" i="14"/>
  <c r="AN66" i="14"/>
  <c r="AN80" i="14" s="1"/>
  <c r="AP22" i="14"/>
  <c r="AQ22" i="14"/>
  <c r="V479" i="20"/>
  <c r="V482" i="20" s="1"/>
  <c r="O479" i="20"/>
  <c r="O482" i="20" s="1"/>
  <c r="F482" i="20"/>
  <c r="I50" i="10"/>
  <c r="M13" i="10"/>
  <c r="M22" i="13" s="1"/>
  <c r="W55" i="14"/>
  <c r="AD146" i="14"/>
  <c r="AW82" i="14"/>
  <c r="AW66" i="14"/>
  <c r="AW80" i="14" s="1"/>
  <c r="P41" i="10"/>
  <c r="D28" i="10"/>
  <c r="AP73" i="14"/>
  <c r="AQ73" i="14"/>
  <c r="AW83" i="14"/>
  <c r="H63" i="14"/>
  <c r="F82" i="14"/>
  <c r="AD55" i="14"/>
  <c r="AE55" i="14"/>
  <c r="AP54" i="14"/>
  <c r="J11" i="14"/>
  <c r="J59" i="14" s="1"/>
  <c r="J61" i="14" s="1"/>
  <c r="H59" i="14"/>
  <c r="H61" i="14" s="1"/>
  <c r="Y534" i="20"/>
  <c r="Y536" i="20" s="1"/>
  <c r="X101" i="20"/>
  <c r="X130" i="20" s="1"/>
  <c r="O21" i="10"/>
  <c r="Q21" i="10" s="1"/>
  <c r="AT63" i="14"/>
  <c r="AB63" i="14"/>
  <c r="P23" i="10"/>
  <c r="AP70" i="14"/>
  <c r="AQ70" i="14"/>
  <c r="P44" i="10"/>
  <c r="Q44" i="10" s="1"/>
  <c r="P38" i="10"/>
  <c r="AP77" i="14"/>
  <c r="AQ77" i="14"/>
  <c r="AP74" i="14"/>
  <c r="R82" i="14"/>
  <c r="D61" i="15" s="1"/>
  <c r="AD63" i="14"/>
  <c r="AE63" i="14"/>
  <c r="AF54" i="14"/>
  <c r="AD45" i="14"/>
  <c r="AE45" i="14"/>
  <c r="P22" i="10"/>
  <c r="Q22" i="10" s="1"/>
  <c r="AF32" i="14"/>
  <c r="AM32" i="14"/>
  <c r="AM24" i="14"/>
  <c r="AF24" i="14"/>
  <c r="O19" i="10"/>
  <c r="Q19" i="10" s="1"/>
  <c r="O7" i="10"/>
  <c r="P7" i="10"/>
  <c r="P13" i="10" s="1"/>
  <c r="C13" i="10"/>
  <c r="C22" i="13" s="1"/>
  <c r="H64" i="14"/>
  <c r="F83" i="14"/>
  <c r="AD46" i="14"/>
  <c r="AE46" i="14"/>
  <c r="AP20" i="14"/>
  <c r="AP12" i="14"/>
  <c r="AQ12" i="14"/>
  <c r="AP10" i="14"/>
  <c r="AP58" i="14" s="1"/>
  <c r="AQ10" i="14"/>
  <c r="AQ58" i="14" s="1"/>
  <c r="Y575" i="20"/>
  <c r="V576" i="20"/>
  <c r="V582" i="20" s="1"/>
  <c r="X571" i="20"/>
  <c r="O468" i="20"/>
  <c r="U468" i="20"/>
  <c r="C470" i="20"/>
  <c r="H431" i="20"/>
  <c r="AM13" i="14"/>
  <c r="AF13" i="14"/>
  <c r="W488" i="20"/>
  <c r="J491" i="20"/>
  <c r="V454" i="20"/>
  <c r="Y454" i="20" s="1"/>
  <c r="O454" i="20"/>
  <c r="X421" i="20"/>
  <c r="O421" i="20"/>
  <c r="U421" i="20"/>
  <c r="Y395" i="20"/>
  <c r="Y355" i="20"/>
  <c r="Y361" i="20" s="1"/>
  <c r="R154" i="14"/>
  <c r="AF49" i="14"/>
  <c r="V487" i="20"/>
  <c r="V491" i="20" s="1"/>
  <c r="F491" i="20"/>
  <c r="AP38" i="14"/>
  <c r="M1" i="14"/>
  <c r="AI1" i="14"/>
  <c r="X442" i="20"/>
  <c r="U442" i="20"/>
  <c r="Y442" i="20" s="1"/>
  <c r="AD44" i="14"/>
  <c r="AE44" i="14"/>
  <c r="AP26" i="14"/>
  <c r="AQ26" i="14"/>
  <c r="V527" i="20"/>
  <c r="V529" i="20" s="1"/>
  <c r="J496" i="20"/>
  <c r="W489" i="20"/>
  <c r="O469" i="20"/>
  <c r="U469" i="20"/>
  <c r="Y469" i="20" s="1"/>
  <c r="X443" i="20"/>
  <c r="Y443" i="20" s="1"/>
  <c r="N445" i="20"/>
  <c r="V443" i="20"/>
  <c r="F445" i="20"/>
  <c r="AM27" i="14"/>
  <c r="AF12" i="14"/>
  <c r="V553" i="20"/>
  <c r="V555" i="20" s="1"/>
  <c r="Y552" i="20"/>
  <c r="Y525" i="20"/>
  <c r="O489" i="20"/>
  <c r="U489" i="20"/>
  <c r="W481" i="20"/>
  <c r="G482" i="20"/>
  <c r="L470" i="20"/>
  <c r="V444" i="20"/>
  <c r="Y444" i="20" s="1"/>
  <c r="O444" i="20"/>
  <c r="O426" i="20"/>
  <c r="U426" i="20"/>
  <c r="O285" i="20"/>
  <c r="Y543" i="20"/>
  <c r="U571" i="20"/>
  <c r="W547" i="20"/>
  <c r="K491" i="20"/>
  <c r="C491" i="20"/>
  <c r="O487" i="20"/>
  <c r="U487" i="20"/>
  <c r="V475" i="20"/>
  <c r="V476" i="20" s="1"/>
  <c r="Y473" i="20"/>
  <c r="I464" i="20"/>
  <c r="W460" i="20"/>
  <c r="W464" i="20" s="1"/>
  <c r="O455" i="20"/>
  <c r="AP15" i="14"/>
  <c r="AQ15" i="14"/>
  <c r="X582" i="20"/>
  <c r="Y576" i="20"/>
  <c r="Y582" i="20" s="1"/>
  <c r="Y550" i="20"/>
  <c r="Y553" i="20" s="1"/>
  <c r="Y555" i="20" s="1"/>
  <c r="U553" i="20"/>
  <c r="U555" i="20" s="1"/>
  <c r="O571" i="20"/>
  <c r="O545" i="20"/>
  <c r="O547" i="20" s="1"/>
  <c r="V547" i="20"/>
  <c r="U513" i="20"/>
  <c r="U529" i="20" s="1"/>
  <c r="Y504" i="20"/>
  <c r="Y475" i="20"/>
  <c r="Y460" i="20"/>
  <c r="W421" i="20"/>
  <c r="W495" i="20" s="1"/>
  <c r="J495" i="20"/>
  <c r="X419" i="20"/>
  <c r="Y419" i="20" s="1"/>
  <c r="F431" i="20"/>
  <c r="L431" i="20"/>
  <c r="D431" i="20"/>
  <c r="U567" i="20"/>
  <c r="U569" i="20" s="1"/>
  <c r="Y566" i="20"/>
  <c r="O513" i="20"/>
  <c r="O529" i="20" s="1"/>
  <c r="X475" i="20"/>
  <c r="N476" i="20"/>
  <c r="G464" i="20"/>
  <c r="U428" i="20"/>
  <c r="Y428" i="20" s="1"/>
  <c r="O428" i="20"/>
  <c r="O386" i="20"/>
  <c r="O383" i="20"/>
  <c r="AN1" i="14"/>
  <c r="Y544" i="20"/>
  <c r="X541" i="20"/>
  <c r="X547" i="20" s="1"/>
  <c r="U541" i="20"/>
  <c r="U547" i="20" s="1"/>
  <c r="Y540" i="20"/>
  <c r="Y541" i="20" s="1"/>
  <c r="Y516" i="20"/>
  <c r="X487" i="20"/>
  <c r="X491" i="20" s="1"/>
  <c r="D491" i="20"/>
  <c r="V480" i="20"/>
  <c r="M482" i="20"/>
  <c r="E482" i="20"/>
  <c r="W468" i="20"/>
  <c r="W470" i="20" s="1"/>
  <c r="Y449" i="20"/>
  <c r="Y387" i="20"/>
  <c r="W52" i="20"/>
  <c r="J424" i="20"/>
  <c r="J431" i="20" s="1"/>
  <c r="AF9" i="14"/>
  <c r="AF58" i="14" s="1"/>
  <c r="W571" i="20"/>
  <c r="V571" i="20"/>
  <c r="Y520" i="20"/>
  <c r="L491" i="20"/>
  <c r="W487" i="20"/>
  <c r="X480" i="20"/>
  <c r="U480" i="20"/>
  <c r="Y480" i="20" s="1"/>
  <c r="F470" i="20"/>
  <c r="V467" i="20"/>
  <c r="V470" i="20" s="1"/>
  <c r="V451" i="20"/>
  <c r="M495" i="20"/>
  <c r="E495" i="20"/>
  <c r="E445" i="20"/>
  <c r="J438" i="20"/>
  <c r="W435" i="20"/>
  <c r="W438" i="20"/>
  <c r="X424" i="20"/>
  <c r="Y423" i="20"/>
  <c r="E315" i="20"/>
  <c r="E317" i="20" s="1"/>
  <c r="E461" i="20"/>
  <c r="E464" i="20" s="1"/>
  <c r="Y517" i="20"/>
  <c r="Y509" i="20"/>
  <c r="J476" i="20"/>
  <c r="M470" i="20"/>
  <c r="E470" i="20"/>
  <c r="X463" i="20"/>
  <c r="Y463" i="20" s="1"/>
  <c r="Y452" i="20"/>
  <c r="O441" i="20"/>
  <c r="U441" i="20"/>
  <c r="D445" i="20"/>
  <c r="U438" i="20"/>
  <c r="H495" i="20"/>
  <c r="O427" i="20"/>
  <c r="X390" i="20"/>
  <c r="U390" i="20"/>
  <c r="O390" i="20"/>
  <c r="W513" i="20"/>
  <c r="O488" i="20"/>
  <c r="U488" i="20"/>
  <c r="Y488" i="20" s="1"/>
  <c r="W482" i="20"/>
  <c r="O467" i="20"/>
  <c r="D470" i="20"/>
  <c r="U467" i="20"/>
  <c r="H496" i="20"/>
  <c r="Y453" i="20"/>
  <c r="G496" i="20"/>
  <c r="O436" i="20"/>
  <c r="C438" i="20"/>
  <c r="U436" i="20"/>
  <c r="Y436" i="20" s="1"/>
  <c r="G495" i="20"/>
  <c r="Y418" i="20"/>
  <c r="O393" i="20"/>
  <c r="U393" i="20"/>
  <c r="Y393" i="20" s="1"/>
  <c r="V311" i="20"/>
  <c r="F255" i="20"/>
  <c r="V255" i="20" s="1"/>
  <c r="M80" i="20"/>
  <c r="F81" i="20"/>
  <c r="V81" i="20" s="1"/>
  <c r="F158" i="20"/>
  <c r="W80" i="20"/>
  <c r="Y533" i="20"/>
  <c r="X479" i="20"/>
  <c r="X482" i="20" s="1"/>
  <c r="V474" i="20"/>
  <c r="Y474" i="20" s="1"/>
  <c r="O473" i="20"/>
  <c r="O463" i="20"/>
  <c r="M464" i="20"/>
  <c r="X451" i="20"/>
  <c r="U451" i="20"/>
  <c r="X444" i="20"/>
  <c r="O443" i="20"/>
  <c r="O442" i="20"/>
  <c r="C445" i="20"/>
  <c r="V434" i="20"/>
  <c r="V430" i="20"/>
  <c r="Y430" i="20" s="1"/>
  <c r="X429" i="20"/>
  <c r="O429" i="20"/>
  <c r="U429" i="20"/>
  <c r="Y429" i="20" s="1"/>
  <c r="W424" i="20"/>
  <c r="V420" i="20"/>
  <c r="Y420" i="20" s="1"/>
  <c r="K431" i="20"/>
  <c r="O418" i="20"/>
  <c r="V395" i="20"/>
  <c r="V306" i="20"/>
  <c r="F309" i="20"/>
  <c r="X513" i="20"/>
  <c r="X529" i="20" s="1"/>
  <c r="X455" i="20"/>
  <c r="U455" i="20"/>
  <c r="Y455" i="20" s="1"/>
  <c r="X454" i="20"/>
  <c r="Y427" i="20"/>
  <c r="V426" i="20"/>
  <c r="X425" i="20"/>
  <c r="O425" i="20"/>
  <c r="U425" i="20"/>
  <c r="O419" i="20"/>
  <c r="O394" i="20"/>
  <c r="U394" i="20"/>
  <c r="Y394" i="20" s="1"/>
  <c r="Y383" i="20"/>
  <c r="O475" i="20"/>
  <c r="O453" i="20"/>
  <c r="O452" i="20"/>
  <c r="Y437" i="20"/>
  <c r="X438" i="20"/>
  <c r="O423" i="20"/>
  <c r="Y324" i="20"/>
  <c r="Y330" i="20" s="1"/>
  <c r="X306" i="20"/>
  <c r="X309" i="20" s="1"/>
  <c r="X315" i="20" s="1"/>
  <c r="X317" i="20" s="1"/>
  <c r="L309" i="20"/>
  <c r="D309" i="20"/>
  <c r="O306" i="20"/>
  <c r="O309" i="20" s="1"/>
  <c r="O315" i="20" s="1"/>
  <c r="O317" i="20" s="1"/>
  <c r="X473" i="20"/>
  <c r="X476" i="20" s="1"/>
  <c r="V468" i="20"/>
  <c r="O449" i="20"/>
  <c r="H445" i="20"/>
  <c r="V445" i="20"/>
  <c r="L438" i="20"/>
  <c r="X435" i="20"/>
  <c r="O435" i="20"/>
  <c r="O438" i="20" s="1"/>
  <c r="U435" i="20"/>
  <c r="Y435" i="20" s="1"/>
  <c r="O430" i="20"/>
  <c r="V424" i="20"/>
  <c r="E431" i="20"/>
  <c r="W418" i="20"/>
  <c r="O395" i="20"/>
  <c r="G315" i="20"/>
  <c r="G317" i="20" s="1"/>
  <c r="V309" i="20"/>
  <c r="V315" i="20" s="1"/>
  <c r="X392" i="20"/>
  <c r="V387" i="20"/>
  <c r="V385" i="20"/>
  <c r="Y385" i="20" s="1"/>
  <c r="Y370" i="20"/>
  <c r="Y328" i="20"/>
  <c r="Y282" i="20"/>
  <c r="N255" i="20"/>
  <c r="N256" i="20" s="1"/>
  <c r="N450" i="20" s="1"/>
  <c r="N496" i="20" s="1"/>
  <c r="N206" i="20"/>
  <c r="N208" i="20" s="1"/>
  <c r="X99" i="20"/>
  <c r="M101" i="20"/>
  <c r="X361" i="20"/>
  <c r="W317" i="20"/>
  <c r="U230" i="20"/>
  <c r="U239" i="20" s="1"/>
  <c r="U82" i="20"/>
  <c r="O82" i="20"/>
  <c r="X386" i="20"/>
  <c r="Y386" i="20" s="1"/>
  <c r="V383" i="20"/>
  <c r="Y354" i="20"/>
  <c r="U338" i="20"/>
  <c r="U344" i="20" s="1"/>
  <c r="Y335" i="20"/>
  <c r="Y338" i="20" s="1"/>
  <c r="Y344" i="20" s="1"/>
  <c r="Y299" i="20"/>
  <c r="V317" i="20"/>
  <c r="U285" i="20"/>
  <c r="Y285" i="20" s="1"/>
  <c r="Y116" i="20"/>
  <c r="V118" i="20"/>
  <c r="W355" i="20"/>
  <c r="W361" i="20" s="1"/>
  <c r="Y322" i="20"/>
  <c r="U324" i="20"/>
  <c r="U330" i="20" s="1"/>
  <c r="U309" i="20"/>
  <c r="U315" i="20" s="1"/>
  <c r="Y301" i="20"/>
  <c r="Y296" i="20"/>
  <c r="U317" i="20"/>
  <c r="U200" i="20"/>
  <c r="Y194" i="20"/>
  <c r="X200" i="20"/>
  <c r="X206" i="20" s="1"/>
  <c r="O138" i="20"/>
  <c r="O156" i="20" s="1"/>
  <c r="H156" i="20"/>
  <c r="H158" i="20" s="1"/>
  <c r="V138" i="20"/>
  <c r="V156" i="20" s="1"/>
  <c r="O330" i="20"/>
  <c r="I206" i="20"/>
  <c r="I208" i="20" s="1"/>
  <c r="I255" i="20"/>
  <c r="W202" i="20"/>
  <c r="Y302" i="20"/>
  <c r="W309" i="20"/>
  <c r="W315" i="20" s="1"/>
  <c r="U254" i="20"/>
  <c r="Y250" i="20"/>
  <c r="Y232" i="20"/>
  <c r="Y235" i="20" s="1"/>
  <c r="N239" i="20"/>
  <c r="F239" i="20"/>
  <c r="Y230" i="20"/>
  <c r="Y239" i="20" s="1"/>
  <c r="Y149" i="20"/>
  <c r="W156" i="20"/>
  <c r="J80" i="20"/>
  <c r="Y39" i="20"/>
  <c r="U311" i="20"/>
  <c r="C309" i="20"/>
  <c r="U306" i="20"/>
  <c r="Y271" i="20"/>
  <c r="Y258" i="20"/>
  <c r="Y263" i="20" s="1"/>
  <c r="U263" i="20"/>
  <c r="C178" i="20"/>
  <c r="C180" i="20" s="1"/>
  <c r="V172" i="20"/>
  <c r="V178" i="20" s="1"/>
  <c r="V180" i="20" s="1"/>
  <c r="Y97" i="20"/>
  <c r="Y89" i="20"/>
  <c r="W101" i="20"/>
  <c r="W130" i="20" s="1"/>
  <c r="Y323" i="20"/>
  <c r="Y308" i="20"/>
  <c r="V291" i="20"/>
  <c r="Y279" i="20"/>
  <c r="V258" i="20"/>
  <c r="V263" i="20" s="1"/>
  <c r="F263" i="20"/>
  <c r="O258" i="20"/>
  <c r="O263" i="20" s="1"/>
  <c r="L256" i="20"/>
  <c r="L450" i="20" s="1"/>
  <c r="Y222" i="20"/>
  <c r="Y219" i="20"/>
  <c r="U172" i="20"/>
  <c r="Y167" i="20"/>
  <c r="Y172" i="20" s="1"/>
  <c r="Y276" i="20"/>
  <c r="V254" i="20"/>
  <c r="Y192" i="20"/>
  <c r="V200" i="20"/>
  <c r="V206" i="20" s="1"/>
  <c r="V208" i="20" s="1"/>
  <c r="O107" i="20"/>
  <c r="U107" i="20"/>
  <c r="K130" i="20"/>
  <c r="I81" i="20"/>
  <c r="V338" i="20"/>
  <c r="V344" i="20" s="1"/>
  <c r="W324" i="20"/>
  <c r="W330" i="20" s="1"/>
  <c r="O174" i="20"/>
  <c r="U174" i="20"/>
  <c r="C255" i="20"/>
  <c r="X180" i="20"/>
  <c r="L255" i="20"/>
  <c r="X255" i="20" s="1"/>
  <c r="X256" i="20" s="1"/>
  <c r="Y249" i="20"/>
  <c r="O254" i="20"/>
  <c r="Y228" i="20"/>
  <c r="X230" i="20"/>
  <c r="X239" i="20" s="1"/>
  <c r="Y191" i="20"/>
  <c r="W172" i="20"/>
  <c r="Y147" i="20"/>
  <c r="Y141" i="20"/>
  <c r="Y128" i="20"/>
  <c r="Y120" i="20"/>
  <c r="Y106" i="20"/>
  <c r="D130" i="20"/>
  <c r="Y96" i="20"/>
  <c r="Y93" i="20"/>
  <c r="N46" i="20"/>
  <c r="N424" i="20" s="1"/>
  <c r="N431" i="20" s="1"/>
  <c r="C46" i="20"/>
  <c r="O45" i="20"/>
  <c r="U45" i="20"/>
  <c r="Y45" i="20" s="1"/>
  <c r="Y14" i="20"/>
  <c r="Y265" i="20"/>
  <c r="M256" i="20"/>
  <c r="M450" i="20" s="1"/>
  <c r="M496" i="20" s="1"/>
  <c r="E256" i="20"/>
  <c r="E450" i="20" s="1"/>
  <c r="E496" i="20" s="1"/>
  <c r="W200" i="20"/>
  <c r="O178" i="20"/>
  <c r="O180" i="20" s="1"/>
  <c r="Y153" i="20"/>
  <c r="U99" i="20"/>
  <c r="O99" i="20"/>
  <c r="O88" i="20"/>
  <c r="U88" i="20"/>
  <c r="Y86" i="20"/>
  <c r="Y61" i="20"/>
  <c r="Y18" i="20"/>
  <c r="Y8" i="20"/>
  <c r="Y262" i="20"/>
  <c r="X258" i="20"/>
  <c r="X263" i="20" s="1"/>
  <c r="K256" i="20"/>
  <c r="C256" i="20"/>
  <c r="W254" i="20"/>
  <c r="Y216" i="20"/>
  <c r="Y190" i="20"/>
  <c r="X208" i="20"/>
  <c r="Y143" i="20"/>
  <c r="Y133" i="20"/>
  <c r="Y123" i="20"/>
  <c r="Y112" i="20"/>
  <c r="Y118" i="20" s="1"/>
  <c r="Y108" i="20"/>
  <c r="Y105" i="20"/>
  <c r="W99" i="20"/>
  <c r="I101" i="20"/>
  <c r="W88" i="20"/>
  <c r="V101" i="20"/>
  <c r="V130" i="20" s="1"/>
  <c r="Y68" i="20"/>
  <c r="D46" i="20"/>
  <c r="D424" i="20" s="1"/>
  <c r="Y9" i="20"/>
  <c r="U235" i="20"/>
  <c r="Y220" i="20"/>
  <c r="O200" i="20"/>
  <c r="W174" i="20"/>
  <c r="Y151" i="20"/>
  <c r="Y136" i="20"/>
  <c r="U156" i="20"/>
  <c r="X156" i="20"/>
  <c r="W107" i="20"/>
  <c r="W82" i="20"/>
  <c r="Y78" i="20"/>
  <c r="Y59" i="20"/>
  <c r="O56" i="20"/>
  <c r="E80" i="20"/>
  <c r="Y22" i="20"/>
  <c r="Y245" i="20"/>
  <c r="Y224" i="20"/>
  <c r="V230" i="20"/>
  <c r="V239" i="20" s="1"/>
  <c r="O202" i="20"/>
  <c r="U202" i="20"/>
  <c r="Y202" i="20" s="1"/>
  <c r="Y188" i="20"/>
  <c r="Y200" i="20" s="1"/>
  <c r="Y206" i="20" s="1"/>
  <c r="Y208" i="20" s="1"/>
  <c r="Y164" i="20"/>
  <c r="O160" i="20"/>
  <c r="U160" i="20"/>
  <c r="Y160" i="20" s="1"/>
  <c r="Y87" i="20"/>
  <c r="O101" i="20"/>
  <c r="O130" i="20" s="1"/>
  <c r="Y60" i="20"/>
  <c r="O52" i="20"/>
  <c r="L80" i="20"/>
  <c r="K80" i="20"/>
  <c r="M46" i="20"/>
  <c r="M424" i="20" s="1"/>
  <c r="E46" i="20"/>
  <c r="E424" i="20" s="1"/>
  <c r="U67" i="20"/>
  <c r="Y67" i="20" s="1"/>
  <c r="U52" i="20"/>
  <c r="V43" i="20"/>
  <c r="V80" i="20" s="1"/>
  <c r="Y84" i="20"/>
  <c r="U43" i="20"/>
  <c r="AM47" i="14" l="1"/>
  <c r="J20" i="13"/>
  <c r="J54" i="6"/>
  <c r="D290" i="7"/>
  <c r="D291" i="7" s="1"/>
  <c r="D293" i="7"/>
  <c r="D211" i="7"/>
  <c r="E154" i="13"/>
  <c r="E550" i="7"/>
  <c r="E565" i="7"/>
  <c r="Q67" i="3"/>
  <c r="R115" i="14"/>
  <c r="R40" i="14" s="1"/>
  <c r="X450" i="20"/>
  <c r="X496" i="20" s="1"/>
  <c r="Y571" i="20"/>
  <c r="AE82" i="14"/>
  <c r="W113" i="13"/>
  <c r="G152" i="13"/>
  <c r="Q7" i="6"/>
  <c r="Q32" i="6"/>
  <c r="Q39" i="6" s="1"/>
  <c r="O39" i="6"/>
  <c r="J154" i="13"/>
  <c r="T17" i="14"/>
  <c r="F34" i="15"/>
  <c r="D135" i="13"/>
  <c r="F58" i="8"/>
  <c r="G448" i="7"/>
  <c r="V158" i="20"/>
  <c r="AJ165" i="13"/>
  <c r="AK165" i="13" s="1"/>
  <c r="AL165" i="13" s="1"/>
  <c r="AM165" i="13" s="1"/>
  <c r="AN165" i="13" s="1"/>
  <c r="AO165" i="13" s="1"/>
  <c r="AP165" i="13" s="1"/>
  <c r="AQ165" i="13" s="1"/>
  <c r="N154" i="13"/>
  <c r="V15" i="13"/>
  <c r="O15" i="13"/>
  <c r="Q15" i="13" s="1"/>
  <c r="P15" i="13"/>
  <c r="C135" i="13"/>
  <c r="AF15" i="13"/>
  <c r="AG15" i="13" s="1"/>
  <c r="AH15" i="13" s="1"/>
  <c r="AI15" i="13" s="1"/>
  <c r="AJ15" i="13" s="1"/>
  <c r="AK15" i="13" s="1"/>
  <c r="AL15" i="13" s="1"/>
  <c r="AM15" i="13" s="1"/>
  <c r="AN15" i="13" s="1"/>
  <c r="AO15" i="13" s="1"/>
  <c r="AP15" i="13" s="1"/>
  <c r="AQ15" i="13" s="1"/>
  <c r="Y34" i="13"/>
  <c r="L154" i="13"/>
  <c r="H154" i="13"/>
  <c r="P41" i="15"/>
  <c r="R41" i="15" s="1"/>
  <c r="R21" i="15"/>
  <c r="K140" i="13"/>
  <c r="G135" i="13"/>
  <c r="D166" i="13"/>
  <c r="H48" i="9"/>
  <c r="I207" i="7"/>
  <c r="I234" i="7" s="1"/>
  <c r="I282" i="7" s="1"/>
  <c r="D454" i="7"/>
  <c r="P448" i="7"/>
  <c r="F10" i="15"/>
  <c r="E64" i="3"/>
  <c r="G17" i="15"/>
  <c r="F67" i="8"/>
  <c r="D308" i="7"/>
  <c r="C376" i="20"/>
  <c r="D68" i="15"/>
  <c r="H10" i="15"/>
  <c r="G64" i="3"/>
  <c r="O51" i="9"/>
  <c r="P51" i="9"/>
  <c r="D31" i="15"/>
  <c r="Q25" i="8"/>
  <c r="O34" i="8"/>
  <c r="L67" i="8"/>
  <c r="O16" i="8"/>
  <c r="AI140" i="8"/>
  <c r="P131" i="7"/>
  <c r="D133" i="7"/>
  <c r="G10" i="15"/>
  <c r="F64" i="3"/>
  <c r="Y52" i="20"/>
  <c r="O206" i="20"/>
  <c r="O208" i="20" s="1"/>
  <c r="N80" i="20"/>
  <c r="Y138" i="20"/>
  <c r="V256" i="20"/>
  <c r="Y306" i="20"/>
  <c r="Y309" i="20" s="1"/>
  <c r="Y315" i="20" s="1"/>
  <c r="Y317" i="20" s="1"/>
  <c r="F448" i="20"/>
  <c r="I256" i="20"/>
  <c r="W255" i="20"/>
  <c r="M130" i="20"/>
  <c r="M422" i="20"/>
  <c r="W529" i="20"/>
  <c r="U445" i="20"/>
  <c r="Y441" i="20"/>
  <c r="Y445" i="20" s="1"/>
  <c r="Y513" i="20"/>
  <c r="AF44" i="14"/>
  <c r="AM44" i="14"/>
  <c r="Q61" i="15"/>
  <c r="H66" i="14"/>
  <c r="H80" i="14" s="1"/>
  <c r="H82" i="14"/>
  <c r="J63" i="14"/>
  <c r="Y481" i="20"/>
  <c r="D25" i="13"/>
  <c r="E52" i="15"/>
  <c r="AL164" i="13"/>
  <c r="AM164" i="13" s="1"/>
  <c r="AN164" i="13" s="1"/>
  <c r="AO164" i="13" s="1"/>
  <c r="AP164" i="13" s="1"/>
  <c r="AQ164" i="13" s="1"/>
  <c r="X164" i="13"/>
  <c r="N25" i="13"/>
  <c r="O52" i="15"/>
  <c r="Q87" i="13"/>
  <c r="Q89" i="13" s="1"/>
  <c r="I144" i="13"/>
  <c r="AA43" i="13"/>
  <c r="AF77" i="13"/>
  <c r="AG77" i="13" s="1"/>
  <c r="AH77" i="13" s="1"/>
  <c r="AI77" i="13" s="1"/>
  <c r="AJ77" i="13" s="1"/>
  <c r="AK77" i="13" s="1"/>
  <c r="AL77" i="13" s="1"/>
  <c r="AM77" i="13" s="1"/>
  <c r="AN77" i="13" s="1"/>
  <c r="AO77" i="13" s="1"/>
  <c r="AP77" i="13" s="1"/>
  <c r="AQ77" i="13" s="1"/>
  <c r="C89" i="13"/>
  <c r="C113" i="13"/>
  <c r="AD158" i="14"/>
  <c r="AD161" i="14" s="1"/>
  <c r="N152" i="13"/>
  <c r="AA84" i="13"/>
  <c r="E162" i="13"/>
  <c r="H152" i="13"/>
  <c r="Q15" i="6"/>
  <c r="AD43" i="14"/>
  <c r="AE43" i="14"/>
  <c r="AE23" i="14"/>
  <c r="X43" i="6"/>
  <c r="W192" i="13"/>
  <c r="AI192" i="13"/>
  <c r="AJ192" i="13" s="1"/>
  <c r="AK192" i="13" s="1"/>
  <c r="AL192" i="13" s="1"/>
  <c r="AM192" i="13" s="1"/>
  <c r="AN192" i="13" s="1"/>
  <c r="AO192" i="13" s="1"/>
  <c r="AP192" i="13" s="1"/>
  <c r="AQ192" i="13" s="1"/>
  <c r="Q9" i="6"/>
  <c r="E20" i="13"/>
  <c r="E54" i="6"/>
  <c r="AD48" i="14"/>
  <c r="AE48" i="14"/>
  <c r="O208" i="13"/>
  <c r="V46" i="6"/>
  <c r="V48" i="6" s="1"/>
  <c r="Q34" i="11"/>
  <c r="AB17" i="14"/>
  <c r="N34" i="15"/>
  <c r="Y32" i="13"/>
  <c r="L152" i="13"/>
  <c r="Q54" i="9"/>
  <c r="Q28" i="11"/>
  <c r="Q49" i="11" s="1"/>
  <c r="O49" i="11"/>
  <c r="Y15" i="13"/>
  <c r="L135" i="13"/>
  <c r="Q55" i="9"/>
  <c r="R70" i="15"/>
  <c r="Q23" i="4"/>
  <c r="P34" i="9"/>
  <c r="O34" i="9"/>
  <c r="Q34" i="9" s="1"/>
  <c r="F448" i="7"/>
  <c r="E58" i="8"/>
  <c r="O58" i="8" s="1"/>
  <c r="Q58" i="8" s="1"/>
  <c r="G20" i="15"/>
  <c r="F36" i="8"/>
  <c r="F38" i="8"/>
  <c r="D130" i="13"/>
  <c r="W130" i="13"/>
  <c r="T11" i="15"/>
  <c r="O17" i="15"/>
  <c r="N67" i="8"/>
  <c r="N48" i="9"/>
  <c r="N59" i="9" s="1"/>
  <c r="N21" i="13" s="1"/>
  <c r="O207" i="7"/>
  <c r="O234" i="7" s="1"/>
  <c r="O282" i="7" s="1"/>
  <c r="P58" i="8"/>
  <c r="P36" i="8"/>
  <c r="O62" i="3"/>
  <c r="O45" i="2"/>
  <c r="Q39" i="2"/>
  <c r="R50" i="15"/>
  <c r="C379" i="20"/>
  <c r="D30" i="15"/>
  <c r="E584" i="7"/>
  <c r="P582" i="7"/>
  <c r="P584" i="7" s="1"/>
  <c r="Q45" i="3"/>
  <c r="I50" i="9"/>
  <c r="J342" i="7"/>
  <c r="E48" i="9"/>
  <c r="F207" i="7"/>
  <c r="F234" i="7" s="1"/>
  <c r="F282" i="7" s="1"/>
  <c r="K50" i="9"/>
  <c r="L342" i="7"/>
  <c r="C381" i="20"/>
  <c r="F18" i="15"/>
  <c r="O18" i="15"/>
  <c r="Q37" i="3"/>
  <c r="Q43" i="3" s="1"/>
  <c r="I36" i="8"/>
  <c r="O10" i="15"/>
  <c r="N64" i="3"/>
  <c r="M81" i="20"/>
  <c r="M158" i="20"/>
  <c r="M135" i="13"/>
  <c r="R95" i="14"/>
  <c r="R37" i="14" s="1"/>
  <c r="AF10" i="13"/>
  <c r="AG10" i="13" s="1"/>
  <c r="AH10" i="13" s="1"/>
  <c r="AI10" i="13" s="1"/>
  <c r="AJ10" i="13" s="1"/>
  <c r="AK10" i="13" s="1"/>
  <c r="AL10" i="13" s="1"/>
  <c r="AM10" i="13" s="1"/>
  <c r="AN10" i="13" s="1"/>
  <c r="AO10" i="13" s="1"/>
  <c r="AP10" i="13" s="1"/>
  <c r="AQ10" i="13" s="1"/>
  <c r="V10" i="13"/>
  <c r="AA10" i="13" s="1"/>
  <c r="O10" i="13"/>
  <c r="Q10" i="13" s="1"/>
  <c r="C130" i="13"/>
  <c r="P10" i="13"/>
  <c r="N18" i="15"/>
  <c r="U101" i="20"/>
  <c r="U130" i="20" s="1"/>
  <c r="Y88" i="20"/>
  <c r="Y101" i="20" s="1"/>
  <c r="Y130" i="20" s="1"/>
  <c r="F315" i="20"/>
  <c r="F317" i="20" s="1"/>
  <c r="F461" i="20"/>
  <c r="F21" i="6"/>
  <c r="AD82" i="14"/>
  <c r="AM63" i="14"/>
  <c r="AF63" i="14"/>
  <c r="M144" i="13"/>
  <c r="Q208" i="13"/>
  <c r="S39" i="6"/>
  <c r="X32" i="6"/>
  <c r="G50" i="6"/>
  <c r="Y545" i="20"/>
  <c r="Y547" i="20" s="1"/>
  <c r="Y421" i="20"/>
  <c r="O50" i="10"/>
  <c r="Q31" i="10"/>
  <c r="AM76" i="14"/>
  <c r="AF76" i="14"/>
  <c r="L25" i="13"/>
  <c r="M52" i="15"/>
  <c r="Y291" i="20"/>
  <c r="W24" i="13"/>
  <c r="F144" i="13"/>
  <c r="R11" i="14"/>
  <c r="C24" i="13"/>
  <c r="D49" i="15"/>
  <c r="V163" i="13"/>
  <c r="AA163" i="13" s="1"/>
  <c r="O163" i="13"/>
  <c r="P163" i="13"/>
  <c r="AF163" i="13"/>
  <c r="AG163" i="13" s="1"/>
  <c r="AH163" i="13" s="1"/>
  <c r="AI163" i="13" s="1"/>
  <c r="AJ163" i="13" s="1"/>
  <c r="AK163" i="13" s="1"/>
  <c r="AL163" i="13" s="1"/>
  <c r="AM163" i="13" s="1"/>
  <c r="AM18" i="14"/>
  <c r="AF18" i="14"/>
  <c r="K152" i="13"/>
  <c r="AJ87" i="13"/>
  <c r="AK87" i="13" s="1"/>
  <c r="AL87" i="13" s="1"/>
  <c r="AM87" i="13" s="1"/>
  <c r="AN87" i="13" s="1"/>
  <c r="AO87" i="13" s="1"/>
  <c r="AP87" i="13" s="1"/>
  <c r="AQ87" i="13" s="1"/>
  <c r="AD155" i="14"/>
  <c r="K166" i="13"/>
  <c r="AD145" i="14"/>
  <c r="AE47" i="14"/>
  <c r="AF47" i="14" s="1"/>
  <c r="E397" i="20"/>
  <c r="E46" i="13"/>
  <c r="O46" i="13" s="1"/>
  <c r="Q46" i="13" s="1"/>
  <c r="Q32" i="9"/>
  <c r="I50" i="6"/>
  <c r="Y113" i="13"/>
  <c r="E9" i="15"/>
  <c r="D35" i="2"/>
  <c r="D9" i="13" s="1"/>
  <c r="D20" i="15"/>
  <c r="C38" i="8"/>
  <c r="C36" i="8"/>
  <c r="W208" i="13"/>
  <c r="K59" i="9"/>
  <c r="K21" i="13" s="1"/>
  <c r="N448" i="7"/>
  <c r="M58" i="8"/>
  <c r="Q7" i="2"/>
  <c r="Q14" i="2" s="1"/>
  <c r="O20" i="15"/>
  <c r="N38" i="8"/>
  <c r="N36" i="8"/>
  <c r="G34" i="13"/>
  <c r="L166" i="13"/>
  <c r="P11" i="15"/>
  <c r="R11" i="15" s="1"/>
  <c r="H50" i="9"/>
  <c r="I342" i="7"/>
  <c r="C378" i="20"/>
  <c r="D74" i="15"/>
  <c r="E56" i="8"/>
  <c r="F24" i="15" s="1"/>
  <c r="F143" i="7"/>
  <c r="H171" i="7"/>
  <c r="H173" i="7" s="1"/>
  <c r="H304" i="7"/>
  <c r="H308" i="7" s="1"/>
  <c r="H310" i="7" s="1"/>
  <c r="J50" i="9"/>
  <c r="K342" i="7"/>
  <c r="I20" i="15"/>
  <c r="H38" i="8"/>
  <c r="H36" i="8"/>
  <c r="P423" i="7"/>
  <c r="P425" i="7" s="1"/>
  <c r="P586" i="7"/>
  <c r="D590" i="7"/>
  <c r="O64" i="8"/>
  <c r="Q64" i="8" s="1"/>
  <c r="P64" i="8"/>
  <c r="C11" i="12"/>
  <c r="D57" i="7"/>
  <c r="D68" i="7"/>
  <c r="C377" i="20"/>
  <c r="D71" i="15"/>
  <c r="K450" i="20"/>
  <c r="J152" i="13"/>
  <c r="P35" i="2"/>
  <c r="D154" i="13"/>
  <c r="H17" i="15"/>
  <c r="G67" i="8"/>
  <c r="X130" i="13"/>
  <c r="H159" i="20"/>
  <c r="Y476" i="20"/>
  <c r="Y468" i="20"/>
  <c r="N448" i="20"/>
  <c r="O445" i="20"/>
  <c r="Y99" i="20"/>
  <c r="O255" i="20"/>
  <c r="U255" i="20"/>
  <c r="Y255" i="20" s="1"/>
  <c r="Y178" i="20"/>
  <c r="Y311" i="20"/>
  <c r="U470" i="20"/>
  <c r="Y467" i="20"/>
  <c r="Y470" i="20" s="1"/>
  <c r="Y390" i="20"/>
  <c r="X445" i="20"/>
  <c r="U491" i="20"/>
  <c r="Y487" i="20"/>
  <c r="AP27" i="14"/>
  <c r="AQ27" i="14"/>
  <c r="AF46" i="14"/>
  <c r="AM46" i="14"/>
  <c r="AB82" i="14"/>
  <c r="N61" i="15" s="1"/>
  <c r="T61" i="15" s="1"/>
  <c r="M142" i="13"/>
  <c r="Q42" i="10"/>
  <c r="O462" i="20"/>
  <c r="U462" i="20"/>
  <c r="Y462" i="20" s="1"/>
  <c r="Q16" i="10"/>
  <c r="Q28" i="10" s="1"/>
  <c r="O28" i="10"/>
  <c r="AD138" i="14"/>
  <c r="K96" i="13"/>
  <c r="AD159" i="14"/>
  <c r="V208" i="13"/>
  <c r="AF208" i="13"/>
  <c r="AG208" i="13" s="1"/>
  <c r="AH208" i="13" s="1"/>
  <c r="AI208" i="13" s="1"/>
  <c r="AJ208" i="13" s="1"/>
  <c r="AK208" i="13" s="1"/>
  <c r="AL208" i="13" s="1"/>
  <c r="AM208" i="13" s="1"/>
  <c r="AN208" i="13" s="1"/>
  <c r="AO208" i="13" s="1"/>
  <c r="AP208" i="13" s="1"/>
  <c r="AQ208" i="13" s="1"/>
  <c r="W142" i="13"/>
  <c r="X192" i="13"/>
  <c r="AE30" i="14"/>
  <c r="AD30" i="14"/>
  <c r="AD21" i="14"/>
  <c r="AE21" i="14"/>
  <c r="O28" i="4"/>
  <c r="Q7" i="4"/>
  <c r="AA164" i="13"/>
  <c r="M140" i="13"/>
  <c r="O165" i="13"/>
  <c r="Q165" i="13" s="1"/>
  <c r="Q47" i="12"/>
  <c r="AD25" i="14"/>
  <c r="AE25" i="14"/>
  <c r="O39" i="12"/>
  <c r="Q35" i="12"/>
  <c r="Q39" i="12" s="1"/>
  <c r="E21" i="9"/>
  <c r="S17" i="14"/>
  <c r="AD17" i="14" s="1"/>
  <c r="E34" i="15"/>
  <c r="K135" i="13"/>
  <c r="Q45" i="9"/>
  <c r="M96" i="13"/>
  <c r="Q47" i="9"/>
  <c r="Q17" i="2"/>
  <c r="Q23" i="2" s="1"/>
  <c r="O23" i="2"/>
  <c r="L20" i="15"/>
  <c r="K38" i="8"/>
  <c r="K36" i="8"/>
  <c r="Q21" i="15"/>
  <c r="R73" i="15"/>
  <c r="R89" i="14"/>
  <c r="O14" i="2"/>
  <c r="O35" i="2" s="1"/>
  <c r="Q40" i="2"/>
  <c r="Q26" i="8"/>
  <c r="P378" i="7"/>
  <c r="Q56" i="9"/>
  <c r="N143" i="7"/>
  <c r="M56" i="8"/>
  <c r="N24" i="15" s="1"/>
  <c r="P489" i="7"/>
  <c r="E491" i="7"/>
  <c r="Y9" i="13"/>
  <c r="Y12" i="13" s="1"/>
  <c r="L12" i="13"/>
  <c r="L129" i="13"/>
  <c r="L36" i="8"/>
  <c r="D173" i="7"/>
  <c r="P436" i="7"/>
  <c r="P370" i="7"/>
  <c r="P372" i="7" s="1"/>
  <c r="K53" i="8"/>
  <c r="L607" i="7"/>
  <c r="S141" i="14"/>
  <c r="S29" i="14" s="1"/>
  <c r="E57" i="15" s="1"/>
  <c r="N308" i="7"/>
  <c r="N310" i="7" s="1"/>
  <c r="T38" i="15"/>
  <c r="D53" i="8"/>
  <c r="E607" i="7"/>
  <c r="P636" i="7"/>
  <c r="C18" i="11"/>
  <c r="D147" i="7"/>
  <c r="D158" i="7"/>
  <c r="O22" i="3"/>
  <c r="O49" i="3" s="1"/>
  <c r="O64" i="3" s="1"/>
  <c r="O34" i="3"/>
  <c r="V438" i="20"/>
  <c r="G144" i="13"/>
  <c r="Y21" i="13"/>
  <c r="L141" i="13"/>
  <c r="O55" i="12"/>
  <c r="Q42" i="12"/>
  <c r="D678" i="7"/>
  <c r="O476" i="20"/>
  <c r="O13" i="10"/>
  <c r="Q7" i="10"/>
  <c r="N166" i="13"/>
  <c r="I130" i="20"/>
  <c r="I158" i="20" s="1"/>
  <c r="I422" i="20"/>
  <c r="W81" i="20"/>
  <c r="Y254" i="20"/>
  <c r="Y256" i="20" s="1"/>
  <c r="Y107" i="20"/>
  <c r="U206" i="20"/>
  <c r="U208" i="20" s="1"/>
  <c r="Y82" i="20"/>
  <c r="Y425" i="20"/>
  <c r="Y451" i="20"/>
  <c r="W158" i="20"/>
  <c r="W491" i="20"/>
  <c r="O491" i="20"/>
  <c r="L496" i="20"/>
  <c r="AQ13" i="14"/>
  <c r="AP13" i="14"/>
  <c r="AT66" i="14"/>
  <c r="AT80" i="14" s="1"/>
  <c r="AT82" i="14"/>
  <c r="AV63" i="14"/>
  <c r="Q37" i="10"/>
  <c r="D142" i="13"/>
  <c r="M110" i="13"/>
  <c r="M98" i="13"/>
  <c r="Y162" i="13"/>
  <c r="N144" i="13"/>
  <c r="P52" i="10"/>
  <c r="O52" i="10"/>
  <c r="W89" i="13"/>
  <c r="W110" i="13" s="1"/>
  <c r="K89" i="13"/>
  <c r="W165" i="13"/>
  <c r="H166" i="13"/>
  <c r="T123" i="13"/>
  <c r="AD123" i="13"/>
  <c r="X35" i="6"/>
  <c r="C34" i="13"/>
  <c r="Q25" i="12"/>
  <c r="O32" i="12"/>
  <c r="AD51" i="14"/>
  <c r="AE51" i="14"/>
  <c r="AD147" i="14"/>
  <c r="X32" i="13"/>
  <c r="I152" i="13"/>
  <c r="X23" i="14"/>
  <c r="AD23" i="14" s="1"/>
  <c r="J44" i="15"/>
  <c r="N20" i="13"/>
  <c r="N54" i="6"/>
  <c r="Q16" i="11"/>
  <c r="Q15" i="12"/>
  <c r="M152" i="13"/>
  <c r="H135" i="13"/>
  <c r="Q33" i="9"/>
  <c r="J59" i="9"/>
  <c r="J21" i="13" s="1"/>
  <c r="Q12" i="15"/>
  <c r="P12" i="15"/>
  <c r="R12" i="15" s="1"/>
  <c r="T12" i="15"/>
  <c r="W15" i="13"/>
  <c r="H12" i="13"/>
  <c r="H129" i="13"/>
  <c r="AF46" i="13"/>
  <c r="AG46" i="13" s="1"/>
  <c r="P46" i="13"/>
  <c r="C166" i="13"/>
  <c r="G15" i="9"/>
  <c r="F16" i="9"/>
  <c r="D507" i="7"/>
  <c r="P260" i="7"/>
  <c r="D264" i="7"/>
  <c r="P167" i="7"/>
  <c r="K607" i="7"/>
  <c r="J53" i="8"/>
  <c r="N58" i="8"/>
  <c r="O448" i="7"/>
  <c r="F308" i="7"/>
  <c r="F310" i="7" s="1"/>
  <c r="O43" i="8"/>
  <c r="C49" i="8"/>
  <c r="P43" i="8"/>
  <c r="P49" i="8" s="1"/>
  <c r="D49" i="3"/>
  <c r="AA141" i="14"/>
  <c r="AA29" i="14" s="1"/>
  <c r="M57" i="15" s="1"/>
  <c r="N57" i="8"/>
  <c r="N61" i="8" s="1"/>
  <c r="O395" i="7"/>
  <c r="E35" i="2"/>
  <c r="E9" i="13" s="1"/>
  <c r="N171" i="7"/>
  <c r="N173" i="7" s="1"/>
  <c r="K67" i="8"/>
  <c r="L53" i="8"/>
  <c r="M607" i="7"/>
  <c r="Q8" i="15"/>
  <c r="P8" i="15"/>
  <c r="T8" i="15"/>
  <c r="M48" i="9"/>
  <c r="M59" i="9" s="1"/>
  <c r="M21" i="13" s="1"/>
  <c r="N207" i="7"/>
  <c r="N234" i="7" s="1"/>
  <c r="N282" i="7" s="1"/>
  <c r="K12" i="13"/>
  <c r="K129" i="13"/>
  <c r="M67" i="8"/>
  <c r="F57" i="8"/>
  <c r="G395" i="7"/>
  <c r="H18" i="15"/>
  <c r="G61" i="8"/>
  <c r="Q22" i="3"/>
  <c r="J18" i="15"/>
  <c r="I61" i="8"/>
  <c r="L81" i="20"/>
  <c r="L158" i="20"/>
  <c r="O46" i="20"/>
  <c r="O80" i="20" s="1"/>
  <c r="O158" i="20" s="1"/>
  <c r="U46" i="20"/>
  <c r="C424" i="20"/>
  <c r="AP32" i="14"/>
  <c r="AQ32" i="14"/>
  <c r="AF55" i="14"/>
  <c r="AM55" i="14"/>
  <c r="K25" i="13"/>
  <c r="L52" i="15"/>
  <c r="D89" i="13"/>
  <c r="W46" i="13"/>
  <c r="F166" i="13"/>
  <c r="F154" i="13"/>
  <c r="Y110" i="13"/>
  <c r="M154" i="13"/>
  <c r="X129" i="13"/>
  <c r="X132" i="13" s="1"/>
  <c r="I132" i="13"/>
  <c r="F48" i="9"/>
  <c r="F59" i="9" s="1"/>
  <c r="F21" i="13" s="1"/>
  <c r="G207" i="7"/>
  <c r="G234" i="7" s="1"/>
  <c r="G282" i="7" s="1"/>
  <c r="M50" i="9"/>
  <c r="N342" i="7"/>
  <c r="Y156" i="20"/>
  <c r="Y11" i="14"/>
  <c r="J24" i="13"/>
  <c r="K49" i="15"/>
  <c r="X142" i="13"/>
  <c r="G98" i="13"/>
  <c r="G110" i="13"/>
  <c r="V92" i="13"/>
  <c r="AF92" i="13"/>
  <c r="C96" i="13"/>
  <c r="AF96" i="13" s="1"/>
  <c r="O92" i="13"/>
  <c r="P92" i="13"/>
  <c r="I166" i="13"/>
  <c r="X46" i="13"/>
  <c r="J397" i="20"/>
  <c r="W397" i="20" s="1"/>
  <c r="J46" i="13"/>
  <c r="N96" i="13"/>
  <c r="N110" i="13" s="1"/>
  <c r="H96" i="13"/>
  <c r="P192" i="13"/>
  <c r="Q192" i="13" s="1"/>
  <c r="AF192" i="13"/>
  <c r="AG192" i="13" s="1"/>
  <c r="AH192" i="13" s="1"/>
  <c r="V192" i="13"/>
  <c r="AA192" i="13" s="1"/>
  <c r="C46" i="6"/>
  <c r="C48" i="6" s="1"/>
  <c r="O42" i="6"/>
  <c r="P42" i="6"/>
  <c r="P46" i="6" s="1"/>
  <c r="P48" i="6" s="1"/>
  <c r="S42" i="6"/>
  <c r="L96" i="13"/>
  <c r="L110" i="13" s="1"/>
  <c r="Y92" i="13"/>
  <c r="Y96" i="13" s="1"/>
  <c r="W178" i="20"/>
  <c r="W180" i="20" s="1"/>
  <c r="C315" i="20"/>
  <c r="C317" i="20" s="1"/>
  <c r="C461" i="20"/>
  <c r="C21" i="6"/>
  <c r="C80" i="20"/>
  <c r="Y174" i="20"/>
  <c r="U178" i="20"/>
  <c r="U180" i="20" s="1"/>
  <c r="K81" i="20"/>
  <c r="K158" i="20"/>
  <c r="W256" i="20"/>
  <c r="D80" i="20"/>
  <c r="J81" i="20"/>
  <c r="J158" i="20"/>
  <c r="U256" i="20"/>
  <c r="D315" i="20"/>
  <c r="D317" i="20" s="1"/>
  <c r="D461" i="20"/>
  <c r="D21" i="6"/>
  <c r="D29" i="6" s="1"/>
  <c r="D50" i="6" s="1"/>
  <c r="F159" i="20"/>
  <c r="V159" i="20" s="1"/>
  <c r="O470" i="20"/>
  <c r="Y426" i="20"/>
  <c r="Y489" i="20"/>
  <c r="V431" i="20"/>
  <c r="H83" i="14"/>
  <c r="J64" i="14"/>
  <c r="J83" i="14" s="1"/>
  <c r="AF45" i="14"/>
  <c r="AM45" i="14"/>
  <c r="S11" i="14"/>
  <c r="D24" i="13"/>
  <c r="E49" i="15"/>
  <c r="I25" i="13"/>
  <c r="J52" i="15"/>
  <c r="O89" i="13"/>
  <c r="C25" i="13"/>
  <c r="D52" i="15"/>
  <c r="Q8" i="10"/>
  <c r="Q43" i="10"/>
  <c r="AA72" i="13"/>
  <c r="AA77" i="13" s="1"/>
  <c r="D450" i="20"/>
  <c r="W11" i="14"/>
  <c r="H24" i="13"/>
  <c r="I49" i="15"/>
  <c r="K144" i="13"/>
  <c r="Q43" i="13"/>
  <c r="V89" i="13"/>
  <c r="I89" i="13"/>
  <c r="AE16" i="14"/>
  <c r="AD16" i="14"/>
  <c r="G397" i="20"/>
  <c r="V397" i="20" s="1"/>
  <c r="G46" i="13"/>
  <c r="AF42" i="13"/>
  <c r="V42" i="13"/>
  <c r="AA42" i="13" s="1"/>
  <c r="P42" i="13"/>
  <c r="O42" i="13"/>
  <c r="C162" i="13"/>
  <c r="W92" i="13"/>
  <c r="W96" i="13" s="1"/>
  <c r="F96" i="13"/>
  <c r="F110" i="13" s="1"/>
  <c r="AD19" i="14"/>
  <c r="AE19" i="14"/>
  <c r="P49" i="11"/>
  <c r="AG42" i="13"/>
  <c r="AH42" i="13" s="1"/>
  <c r="AI42" i="13" s="1"/>
  <c r="AJ42" i="13" s="1"/>
  <c r="AK42" i="13" s="1"/>
  <c r="AL42" i="13" s="1"/>
  <c r="AM42" i="13" s="1"/>
  <c r="AN42" i="13" s="1"/>
  <c r="AO42" i="13" s="1"/>
  <c r="AP42" i="13" s="1"/>
  <c r="AQ42" i="13" s="1"/>
  <c r="D162" i="13"/>
  <c r="AA165" i="13"/>
  <c r="Q15" i="11"/>
  <c r="AD148" i="14"/>
  <c r="Q44" i="11"/>
  <c r="AE50" i="14"/>
  <c r="AD50" i="14"/>
  <c r="M397" i="20"/>
  <c r="X397" i="20" s="1"/>
  <c r="M46" i="13"/>
  <c r="I96" i="13"/>
  <c r="X92" i="13"/>
  <c r="X96" i="13" s="1"/>
  <c r="X110" i="13" s="1"/>
  <c r="X34" i="13"/>
  <c r="I154" i="13"/>
  <c r="S72" i="14"/>
  <c r="D113" i="13" s="1"/>
  <c r="D32" i="13"/>
  <c r="D92" i="13"/>
  <c r="E54" i="15"/>
  <c r="AD139" i="14"/>
  <c r="J135" i="13"/>
  <c r="E96" i="13"/>
  <c r="T21" i="15"/>
  <c r="E57" i="8"/>
  <c r="E61" i="8" s="1"/>
  <c r="F395" i="7"/>
  <c r="P383" i="7"/>
  <c r="D385" i="7"/>
  <c r="O397" i="20"/>
  <c r="U397" i="20"/>
  <c r="Q37" i="9"/>
  <c r="R67" i="15"/>
  <c r="D642" i="7"/>
  <c r="Q44" i="8"/>
  <c r="O143" i="8"/>
  <c r="Q143" i="8" s="1"/>
  <c r="P143" i="8"/>
  <c r="P431" i="7"/>
  <c r="P325" i="7"/>
  <c r="D330" i="7"/>
  <c r="M35" i="2"/>
  <c r="M9" i="13" s="1"/>
  <c r="I18" i="15"/>
  <c r="H61" i="8"/>
  <c r="P195" i="7"/>
  <c r="D197" i="7"/>
  <c r="D10" i="15"/>
  <c r="C64" i="3"/>
  <c r="F171" i="7"/>
  <c r="F173" i="7" s="1"/>
  <c r="J67" i="8"/>
  <c r="J171" i="7"/>
  <c r="J173" i="7" s="1"/>
  <c r="J304" i="7"/>
  <c r="J308" i="7" s="1"/>
  <c r="J310" i="7" s="1"/>
  <c r="I48" i="9"/>
  <c r="I59" i="9" s="1"/>
  <c r="I21" i="13" s="1"/>
  <c r="J207" i="7"/>
  <c r="J234" i="7" s="1"/>
  <c r="J282" i="7" s="1"/>
  <c r="J57" i="8"/>
  <c r="K395" i="7"/>
  <c r="N10" i="15"/>
  <c r="M64" i="3"/>
  <c r="R28" i="14"/>
  <c r="D55" i="15"/>
  <c r="Q63" i="8"/>
  <c r="G48" i="9"/>
  <c r="G59" i="9" s="1"/>
  <c r="G21" i="13" s="1"/>
  <c r="H207" i="7"/>
  <c r="H234" i="7" s="1"/>
  <c r="H282" i="7" s="1"/>
  <c r="E50" i="9"/>
  <c r="F342" i="7"/>
  <c r="G50" i="9"/>
  <c r="H342" i="7"/>
  <c r="Q57" i="3"/>
  <c r="Q62" i="3" s="1"/>
  <c r="K14" i="13"/>
  <c r="K66" i="3"/>
  <c r="I10" i="15"/>
  <c r="H64" i="3"/>
  <c r="I14" i="13"/>
  <c r="I17" i="13" s="1"/>
  <c r="I66" i="3"/>
  <c r="D86" i="7"/>
  <c r="D97" i="7"/>
  <c r="AN163" i="13"/>
  <c r="AO163" i="13" s="1"/>
  <c r="AP163" i="13" s="1"/>
  <c r="AQ163" i="13" s="1"/>
  <c r="O32" i="13"/>
  <c r="P32" i="13"/>
  <c r="AF32" i="13"/>
  <c r="C152" i="13"/>
  <c r="F256" i="20"/>
  <c r="F450" i="20" s="1"/>
  <c r="V87" i="13"/>
  <c r="AA85" i="13"/>
  <c r="Y43" i="20"/>
  <c r="X46" i="20"/>
  <c r="X80" i="20" s="1"/>
  <c r="X158" i="20" s="1"/>
  <c r="Y180" i="20"/>
  <c r="E81" i="20"/>
  <c r="E158" i="20"/>
  <c r="C450" i="20"/>
  <c r="W206" i="20"/>
  <c r="W208" i="20" s="1"/>
  <c r="O256" i="20"/>
  <c r="L315" i="20"/>
  <c r="L317" i="20" s="1"/>
  <c r="L461" i="20"/>
  <c r="L21" i="6"/>
  <c r="Y527" i="20"/>
  <c r="R53" i="14"/>
  <c r="AD154" i="14"/>
  <c r="Y434" i="20"/>
  <c r="Y438" i="20" s="1"/>
  <c r="AF22" i="13"/>
  <c r="AG22" i="13" s="1"/>
  <c r="AH22" i="13" s="1"/>
  <c r="AI22" i="13" s="1"/>
  <c r="AJ22" i="13" s="1"/>
  <c r="AK22" i="13" s="1"/>
  <c r="AL22" i="13" s="1"/>
  <c r="AM22" i="13" s="1"/>
  <c r="AN22" i="13" s="1"/>
  <c r="AO22" i="13" s="1"/>
  <c r="AP22" i="13" s="1"/>
  <c r="AQ22" i="13" s="1"/>
  <c r="V22" i="13"/>
  <c r="P22" i="13"/>
  <c r="O22" i="13"/>
  <c r="C142" i="13"/>
  <c r="AP24" i="14"/>
  <c r="AQ24" i="14"/>
  <c r="AD35" i="14"/>
  <c r="AE35" i="14"/>
  <c r="Y479" i="20"/>
  <c r="P50" i="10"/>
  <c r="Y22" i="13"/>
  <c r="L142" i="13"/>
  <c r="J25" i="13"/>
  <c r="K52" i="15"/>
  <c r="J89" i="13"/>
  <c r="E24" i="13"/>
  <c r="T11" i="14"/>
  <c r="F49" i="15"/>
  <c r="J96" i="13"/>
  <c r="H89" i="13"/>
  <c r="X9" i="6"/>
  <c r="O392" i="20"/>
  <c r="U392" i="20"/>
  <c r="Y392" i="20" s="1"/>
  <c r="W32" i="13"/>
  <c r="F152" i="13"/>
  <c r="G96" i="13"/>
  <c r="Q32" i="12"/>
  <c r="X7" i="6"/>
  <c r="K154" i="13"/>
  <c r="X34" i="6"/>
  <c r="Q43" i="12"/>
  <c r="V94" i="13"/>
  <c r="AA94" i="13" s="1"/>
  <c r="O94" i="13"/>
  <c r="Q94" i="13" s="1"/>
  <c r="AF94" i="13"/>
  <c r="AG94" i="13" s="1"/>
  <c r="AH94" i="13" s="1"/>
  <c r="AI94" i="13" s="1"/>
  <c r="AJ94" i="13" s="1"/>
  <c r="AK94" i="13" s="1"/>
  <c r="AL94" i="13" s="1"/>
  <c r="AM94" i="13" s="1"/>
  <c r="AN94" i="13" s="1"/>
  <c r="AO94" i="13" s="1"/>
  <c r="AP94" i="13" s="1"/>
  <c r="AQ94" i="13" s="1"/>
  <c r="P94" i="13"/>
  <c r="X113" i="13"/>
  <c r="C35" i="2"/>
  <c r="C9" i="13" s="1"/>
  <c r="D9" i="15"/>
  <c r="E135" i="13"/>
  <c r="N12" i="13"/>
  <c r="N129" i="13"/>
  <c r="O12" i="11"/>
  <c r="Q7" i="11"/>
  <c r="Q12" i="11" s="1"/>
  <c r="Q26" i="4"/>
  <c r="G35" i="2"/>
  <c r="G9" i="13" s="1"/>
  <c r="H9" i="15"/>
  <c r="E152" i="13"/>
  <c r="Q25" i="6"/>
  <c r="H140" i="13"/>
  <c r="G69" i="8"/>
  <c r="G23" i="13" s="1"/>
  <c r="F12" i="13"/>
  <c r="F129" i="13"/>
  <c r="Y130" i="13"/>
  <c r="M57" i="8"/>
  <c r="N395" i="7"/>
  <c r="D141" i="13"/>
  <c r="J12" i="13"/>
  <c r="J129" i="13"/>
  <c r="R97" i="14"/>
  <c r="C267" i="20"/>
  <c r="D32" i="15"/>
  <c r="X141" i="14"/>
  <c r="X29" i="14" s="1"/>
  <c r="J57" i="15" s="1"/>
  <c r="P284" i="7"/>
  <c r="Q28" i="15"/>
  <c r="P28" i="15"/>
  <c r="R28" i="15" s="1"/>
  <c r="T28" i="15"/>
  <c r="Y141" i="14"/>
  <c r="Y29" i="14" s="1"/>
  <c r="K57" i="15" s="1"/>
  <c r="H67" i="8"/>
  <c r="P191" i="7"/>
  <c r="AD135" i="14"/>
  <c r="R141" i="14"/>
  <c r="R29" i="14" s="1"/>
  <c r="X15" i="13"/>
  <c r="P22" i="3"/>
  <c r="P49" i="3" s="1"/>
  <c r="P64" i="3" s="1"/>
  <c r="P66" i="3" s="1"/>
  <c r="Q32" i="3"/>
  <c r="Q34" i="3" s="1"/>
  <c r="C13" i="12"/>
  <c r="D611" i="7"/>
  <c r="D622" i="7"/>
  <c r="Q41" i="9"/>
  <c r="D39" i="7"/>
  <c r="P37" i="7"/>
  <c r="O50" i="4"/>
  <c r="C55" i="4"/>
  <c r="O22" i="8"/>
  <c r="Q19" i="8"/>
  <c r="Q22" i="8" s="1"/>
  <c r="T125" i="14"/>
  <c r="T127" i="14" s="1"/>
  <c r="T42" i="14" s="1"/>
  <c r="E67" i="4"/>
  <c r="E65" i="8"/>
  <c r="D13" i="15"/>
  <c r="P476" i="7"/>
  <c r="P478" i="7" s="1"/>
  <c r="D478" i="7"/>
  <c r="AI143" i="8"/>
  <c r="J14" i="13"/>
  <c r="J66" i="3"/>
  <c r="G18" i="15"/>
  <c r="F61" i="8"/>
  <c r="L14" i="13"/>
  <c r="L66" i="3"/>
  <c r="N115" i="13" l="1"/>
  <c r="AM23" i="14"/>
  <c r="AF23" i="14"/>
  <c r="K27" i="13"/>
  <c r="G141" i="13"/>
  <c r="X21" i="13"/>
  <c r="I141" i="13"/>
  <c r="AM17" i="14"/>
  <c r="E69" i="8"/>
  <c r="E23" i="13" s="1"/>
  <c r="F141" i="13"/>
  <c r="L115" i="13"/>
  <c r="L117" i="13" s="1"/>
  <c r="F115" i="13"/>
  <c r="G12" i="13"/>
  <c r="G129" i="13"/>
  <c r="Q32" i="13"/>
  <c r="P54" i="15"/>
  <c r="R54" i="15" s="1"/>
  <c r="T54" i="15"/>
  <c r="Q54" i="15"/>
  <c r="K159" i="20"/>
  <c r="Q13" i="10"/>
  <c r="Y129" i="13"/>
  <c r="Y132" i="13" s="1"/>
  <c r="L132" i="13"/>
  <c r="Q34" i="15"/>
  <c r="T34" i="15"/>
  <c r="P34" i="15"/>
  <c r="D595" i="7"/>
  <c r="P590" i="7"/>
  <c r="I20" i="13"/>
  <c r="I54" i="6"/>
  <c r="AP44" i="14"/>
  <c r="AQ44" i="14"/>
  <c r="Q31" i="15"/>
  <c r="T31" i="15"/>
  <c r="P31" i="15"/>
  <c r="R31" i="15" s="1"/>
  <c r="Y154" i="13"/>
  <c r="Q42" i="6"/>
  <c r="Q46" i="6" s="1"/>
  <c r="Q48" i="6" s="1"/>
  <c r="O46" i="6"/>
  <c r="O48" i="6" s="1"/>
  <c r="W422" i="20"/>
  <c r="O422" i="20"/>
  <c r="I431" i="20"/>
  <c r="L18" i="15"/>
  <c r="K61" i="8"/>
  <c r="G154" i="13"/>
  <c r="D12" i="13"/>
  <c r="D129" i="13"/>
  <c r="Q163" i="13"/>
  <c r="N14" i="13"/>
  <c r="N66" i="3"/>
  <c r="E59" i="9"/>
  <c r="E21" i="13" s="1"/>
  <c r="F98" i="13"/>
  <c r="R105" i="14"/>
  <c r="D143" i="7"/>
  <c r="P133" i="7"/>
  <c r="C56" i="8"/>
  <c r="E459" i="7"/>
  <c r="E444" i="7"/>
  <c r="E567" i="7"/>
  <c r="D295" i="7"/>
  <c r="F17" i="15"/>
  <c r="E67" i="8"/>
  <c r="P39" i="7"/>
  <c r="D43" i="7"/>
  <c r="AE29" i="14"/>
  <c r="AD29" i="14"/>
  <c r="D57" i="15"/>
  <c r="W129" i="13"/>
  <c r="W132" i="13" s="1"/>
  <c r="F132" i="13"/>
  <c r="Q9" i="15"/>
  <c r="P9" i="15"/>
  <c r="T9" i="15"/>
  <c r="Q22" i="13"/>
  <c r="AD53" i="14"/>
  <c r="AE53" i="14"/>
  <c r="K134" i="13"/>
  <c r="M12" i="13"/>
  <c r="M129" i="13"/>
  <c r="C57" i="8"/>
  <c r="D395" i="7"/>
  <c r="P385" i="7"/>
  <c r="AG92" i="13"/>
  <c r="AH92" i="13" s="1"/>
  <c r="AI92" i="13" s="1"/>
  <c r="AJ92" i="13" s="1"/>
  <c r="AK92" i="13" s="1"/>
  <c r="AL92" i="13" s="1"/>
  <c r="AM92" i="13" s="1"/>
  <c r="AN92" i="13" s="1"/>
  <c r="AO92" i="13" s="1"/>
  <c r="AP92" i="13" s="1"/>
  <c r="AQ92" i="13" s="1"/>
  <c r="D96" i="13"/>
  <c r="AG96" i="13" s="1"/>
  <c r="AH96" i="13" s="1"/>
  <c r="AI96" i="13" s="1"/>
  <c r="AJ96" i="13" s="1"/>
  <c r="AK96" i="13" s="1"/>
  <c r="AL96" i="13" s="1"/>
  <c r="AM96" i="13" s="1"/>
  <c r="AN96" i="13" s="1"/>
  <c r="AO96" i="13" s="1"/>
  <c r="AP96" i="13" s="1"/>
  <c r="AQ96" i="13" s="1"/>
  <c r="AF19" i="14"/>
  <c r="AM19" i="14"/>
  <c r="H144" i="13"/>
  <c r="V25" i="13"/>
  <c r="O25" i="13"/>
  <c r="P25" i="13"/>
  <c r="AF25" i="13"/>
  <c r="AG25" i="13" s="1"/>
  <c r="AH25" i="13" s="1"/>
  <c r="AI25" i="13" s="1"/>
  <c r="AJ25" i="13" s="1"/>
  <c r="AK25" i="13" s="1"/>
  <c r="AL25" i="13" s="1"/>
  <c r="AM25" i="13" s="1"/>
  <c r="AN25" i="13" s="1"/>
  <c r="AO25" i="13" s="1"/>
  <c r="AP25" i="13" s="1"/>
  <c r="AQ25" i="13" s="1"/>
  <c r="C145" i="13"/>
  <c r="J166" i="13"/>
  <c r="D110" i="13"/>
  <c r="Q49" i="3"/>
  <c r="Q64" i="3" s="1"/>
  <c r="Q66" i="3" s="1"/>
  <c r="K17" i="13"/>
  <c r="M18" i="15"/>
  <c r="L61" i="8"/>
  <c r="E10" i="15"/>
  <c r="D64" i="3"/>
  <c r="E269" i="7"/>
  <c r="E254" i="7"/>
  <c r="P44" i="15"/>
  <c r="R44" i="15" s="1"/>
  <c r="T44" i="15"/>
  <c r="AM51" i="14"/>
  <c r="AF51" i="14"/>
  <c r="Q52" i="10"/>
  <c r="M115" i="13"/>
  <c r="M117" i="13"/>
  <c r="I159" i="20"/>
  <c r="E18" i="15"/>
  <c r="L17" i="13"/>
  <c r="E25" i="9"/>
  <c r="AM21" i="14"/>
  <c r="AF21" i="14"/>
  <c r="AA208" i="13"/>
  <c r="K496" i="20"/>
  <c r="N69" i="8"/>
  <c r="N23" i="13" s="1"/>
  <c r="AF82" i="14"/>
  <c r="Y135" i="13"/>
  <c r="J66" i="14"/>
  <c r="J80" i="14" s="1"/>
  <c r="J82" i="14"/>
  <c r="Y529" i="20"/>
  <c r="X422" i="20"/>
  <c r="X431" i="20" s="1"/>
  <c r="M431" i="20"/>
  <c r="Q51" i="9"/>
  <c r="J27" i="13"/>
  <c r="J140" i="13"/>
  <c r="O461" i="20"/>
  <c r="O464" i="20" s="1"/>
  <c r="U461" i="20"/>
  <c r="C464" i="20"/>
  <c r="C495" i="20"/>
  <c r="R91" i="14"/>
  <c r="R31" i="14" s="1"/>
  <c r="D145" i="13"/>
  <c r="D218" i="7"/>
  <c r="D215" i="7"/>
  <c r="D216" i="7" s="1"/>
  <c r="AF142" i="13"/>
  <c r="O142" i="13"/>
  <c r="Q142" i="13" s="1"/>
  <c r="V142" i="13"/>
  <c r="AA142" i="13" s="1"/>
  <c r="P142" i="13"/>
  <c r="E144" i="13"/>
  <c r="P330" i="7"/>
  <c r="D332" i="7"/>
  <c r="G166" i="13"/>
  <c r="AA92" i="13"/>
  <c r="AA96" i="13" s="1"/>
  <c r="V96" i="13"/>
  <c r="U424" i="20"/>
  <c r="O424" i="20"/>
  <c r="C431" i="20"/>
  <c r="J61" i="8"/>
  <c r="J69" i="8" s="1"/>
  <c r="J23" i="13" s="1"/>
  <c r="K18" i="15"/>
  <c r="AG142" i="13"/>
  <c r="AH142" i="13" s="1"/>
  <c r="AI142" i="13" s="1"/>
  <c r="AJ142" i="13" s="1"/>
  <c r="AK142" i="13" s="1"/>
  <c r="AL142" i="13" s="1"/>
  <c r="AM142" i="13" s="1"/>
  <c r="AN142" i="13" s="1"/>
  <c r="AO142" i="13" s="1"/>
  <c r="AP142" i="13" s="1"/>
  <c r="AQ142" i="13" s="1"/>
  <c r="O66" i="3"/>
  <c r="S64" i="3" s="1"/>
  <c r="K69" i="8"/>
  <c r="K23" i="13" s="1"/>
  <c r="AF30" i="14"/>
  <c r="AM30" i="14"/>
  <c r="H69" i="8"/>
  <c r="H23" i="13" s="1"/>
  <c r="W135" i="13"/>
  <c r="AH46" i="13"/>
  <c r="AI46" i="13" s="1"/>
  <c r="AJ46" i="13" s="1"/>
  <c r="AK46" i="13" s="1"/>
  <c r="AL46" i="13" s="1"/>
  <c r="AM46" i="13" s="1"/>
  <c r="AN46" i="13" s="1"/>
  <c r="AO46" i="13" s="1"/>
  <c r="AP46" i="13" s="1"/>
  <c r="AQ46" i="13" s="1"/>
  <c r="E166" i="13"/>
  <c r="V166" i="13" s="1"/>
  <c r="AA166" i="13" s="1"/>
  <c r="AP63" i="14"/>
  <c r="AM82" i="14"/>
  <c r="AQ63" i="14"/>
  <c r="I69" i="8"/>
  <c r="I23" i="13" s="1"/>
  <c r="AF113" i="13"/>
  <c r="P113" i="13"/>
  <c r="V113" i="13"/>
  <c r="AA113" i="13" s="1"/>
  <c r="O113" i="13"/>
  <c r="Q113" i="13" s="1"/>
  <c r="N81" i="20"/>
  <c r="N158" i="20"/>
  <c r="G14" i="13"/>
  <c r="G66" i="3"/>
  <c r="P308" i="7"/>
  <c r="P310" i="7" s="1"/>
  <c r="D310" i="7"/>
  <c r="H59" i="9"/>
  <c r="H21" i="13" s="1"/>
  <c r="AG135" i="13"/>
  <c r="AH135" i="13" s="1"/>
  <c r="AI135" i="13" s="1"/>
  <c r="AJ135" i="13" s="1"/>
  <c r="AK135" i="13" s="1"/>
  <c r="AL135" i="13" s="1"/>
  <c r="AM135" i="13" s="1"/>
  <c r="AN135" i="13" s="1"/>
  <c r="AO135" i="13" s="1"/>
  <c r="AP135" i="13" s="1"/>
  <c r="AQ135" i="13" s="1"/>
  <c r="K132" i="13"/>
  <c r="H15" i="9"/>
  <c r="G16" i="9"/>
  <c r="G19" i="9" s="1"/>
  <c r="G21" i="9" s="1"/>
  <c r="G25" i="9" s="1"/>
  <c r="Q20" i="15"/>
  <c r="P20" i="15"/>
  <c r="R20" i="15" s="1"/>
  <c r="T20" i="15"/>
  <c r="Y144" i="13"/>
  <c r="J132" i="13"/>
  <c r="M14" i="13"/>
  <c r="M66" i="3"/>
  <c r="Q52" i="15"/>
  <c r="T52" i="15"/>
  <c r="P52" i="15"/>
  <c r="AG32" i="13"/>
  <c r="AH32" i="13" s="1"/>
  <c r="AI32" i="13" s="1"/>
  <c r="AJ32" i="13" s="1"/>
  <c r="AK32" i="13" s="1"/>
  <c r="AL32" i="13" s="1"/>
  <c r="AM32" i="13" s="1"/>
  <c r="AN32" i="13" s="1"/>
  <c r="AO32" i="13" s="1"/>
  <c r="AP32" i="13" s="1"/>
  <c r="AQ32" i="13" s="1"/>
  <c r="D152" i="13"/>
  <c r="V152" i="13" s="1"/>
  <c r="N132" i="13"/>
  <c r="Y482" i="20"/>
  <c r="AA22" i="13"/>
  <c r="P152" i="13"/>
  <c r="AF152" i="13"/>
  <c r="O152" i="13"/>
  <c r="D88" i="7"/>
  <c r="C14" i="13"/>
  <c r="C66" i="3"/>
  <c r="AG113" i="13"/>
  <c r="AH113" i="13" s="1"/>
  <c r="AI113" i="13" s="1"/>
  <c r="AJ113" i="13" s="1"/>
  <c r="AK113" i="13" s="1"/>
  <c r="AL113" i="13" s="1"/>
  <c r="AM113" i="13" s="1"/>
  <c r="AN113" i="13" s="1"/>
  <c r="AO113" i="13" s="1"/>
  <c r="AP113" i="13" s="1"/>
  <c r="AQ113" i="13" s="1"/>
  <c r="M166" i="13"/>
  <c r="D496" i="20"/>
  <c r="J159" i="20"/>
  <c r="N98" i="13"/>
  <c r="W154" i="13"/>
  <c r="Y46" i="20"/>
  <c r="Y80" i="20" s="1"/>
  <c r="Y158" i="20" s="1"/>
  <c r="M141" i="13"/>
  <c r="Y141" i="13" s="1"/>
  <c r="E497" i="7"/>
  <c r="E512" i="7"/>
  <c r="V46" i="13"/>
  <c r="X152" i="13"/>
  <c r="D59" i="8"/>
  <c r="E501" i="7"/>
  <c r="P501" i="7" s="1"/>
  <c r="P491" i="7"/>
  <c r="AP46" i="14"/>
  <c r="AQ46" i="14"/>
  <c r="C380" i="20"/>
  <c r="D23" i="15"/>
  <c r="Q49" i="15"/>
  <c r="T49" i="15"/>
  <c r="P49" i="15"/>
  <c r="Y25" i="13"/>
  <c r="L145" i="13"/>
  <c r="G20" i="13"/>
  <c r="G54" i="6"/>
  <c r="M61" i="8"/>
  <c r="M69" i="8" s="1"/>
  <c r="M23" i="13" s="1"/>
  <c r="N141" i="13"/>
  <c r="AF48" i="14"/>
  <c r="AM48" i="14"/>
  <c r="AD72" i="14"/>
  <c r="N145" i="13"/>
  <c r="O36" i="8"/>
  <c r="V135" i="13"/>
  <c r="O135" i="13"/>
  <c r="Q135" i="13" s="1"/>
  <c r="P135" i="13"/>
  <c r="AF135" i="13"/>
  <c r="Y397" i="20"/>
  <c r="Q92" i="13"/>
  <c r="Q96" i="13" s="1"/>
  <c r="Q98" i="13" s="1"/>
  <c r="O96" i="13"/>
  <c r="O110" i="13" s="1"/>
  <c r="P166" i="13"/>
  <c r="AF166" i="13"/>
  <c r="AG166" i="13" s="1"/>
  <c r="O166" i="13"/>
  <c r="Q166" i="13" s="1"/>
  <c r="V9" i="13"/>
  <c r="O9" i="13"/>
  <c r="C12" i="13"/>
  <c r="P9" i="13"/>
  <c r="P12" i="13" s="1"/>
  <c r="C129" i="13"/>
  <c r="AF9" i="13"/>
  <c r="AG9" i="13" s="1"/>
  <c r="AH9" i="13" s="1"/>
  <c r="AI9" i="13" s="1"/>
  <c r="AJ9" i="13" s="1"/>
  <c r="AK9" i="13" s="1"/>
  <c r="AL9" i="13" s="1"/>
  <c r="AM9" i="13" s="1"/>
  <c r="AN9" i="13" s="1"/>
  <c r="AO9" i="13" s="1"/>
  <c r="AP9" i="13" s="1"/>
  <c r="AQ9" i="13" s="1"/>
  <c r="O98" i="13"/>
  <c r="J134" i="13"/>
  <c r="W9" i="13"/>
  <c r="W12" i="13" s="1"/>
  <c r="N17" i="13"/>
  <c r="H98" i="13"/>
  <c r="H110" i="13"/>
  <c r="J98" i="13"/>
  <c r="J110" i="13"/>
  <c r="C496" i="20"/>
  <c r="U450" i="20"/>
  <c r="Q10" i="15"/>
  <c r="P10" i="15"/>
  <c r="T10" i="15"/>
  <c r="E647" i="7"/>
  <c r="E632" i="7"/>
  <c r="X154" i="13"/>
  <c r="AF16" i="14"/>
  <c r="AM16" i="14"/>
  <c r="X25" i="13"/>
  <c r="I145" i="13"/>
  <c r="X166" i="13"/>
  <c r="J144" i="13"/>
  <c r="K145" i="13"/>
  <c r="O49" i="8"/>
  <c r="Q43" i="8"/>
  <c r="Q49" i="8" s="1"/>
  <c r="Q35" i="2"/>
  <c r="AE17" i="14"/>
  <c r="AF17" i="14" s="1"/>
  <c r="O24" i="13"/>
  <c r="Q24" i="13" s="1"/>
  <c r="P24" i="13"/>
  <c r="AF24" i="13"/>
  <c r="AG24" i="13" s="1"/>
  <c r="AH24" i="13" s="1"/>
  <c r="AI24" i="13" s="1"/>
  <c r="AJ24" i="13" s="1"/>
  <c r="AK24" i="13" s="1"/>
  <c r="AL24" i="13" s="1"/>
  <c r="AM24" i="13" s="1"/>
  <c r="AN24" i="13" s="1"/>
  <c r="AO24" i="13" s="1"/>
  <c r="AP24" i="13" s="1"/>
  <c r="AQ24" i="13" s="1"/>
  <c r="V24" i="13"/>
  <c r="C144" i="13"/>
  <c r="X39" i="6"/>
  <c r="Q45" i="2"/>
  <c r="AA87" i="13"/>
  <c r="AA89" i="13" s="1"/>
  <c r="AA110" i="13" s="1"/>
  <c r="AE72" i="14"/>
  <c r="X144" i="13"/>
  <c r="P61" i="15"/>
  <c r="R61" i="15" s="1"/>
  <c r="I450" i="20"/>
  <c r="Y142" i="13"/>
  <c r="K141" i="13"/>
  <c r="Y152" i="13"/>
  <c r="AQ45" i="14"/>
  <c r="AP45" i="14"/>
  <c r="N140" i="13"/>
  <c r="Y491" i="20"/>
  <c r="AD141" i="14"/>
  <c r="J17" i="13"/>
  <c r="F17" i="13"/>
  <c r="C382" i="20"/>
  <c r="D19" i="15"/>
  <c r="G143" i="13"/>
  <c r="W152" i="13"/>
  <c r="AF35" i="14"/>
  <c r="AM35" i="14"/>
  <c r="V21" i="6"/>
  <c r="V29" i="6" s="1"/>
  <c r="V50" i="6" s="1"/>
  <c r="V54" i="6" s="1"/>
  <c r="L29" i="6"/>
  <c r="L50" i="6" s="1"/>
  <c r="V32" i="13"/>
  <c r="X14" i="13"/>
  <c r="X17" i="13" s="1"/>
  <c r="I134" i="13"/>
  <c r="C48" i="9"/>
  <c r="D207" i="7"/>
  <c r="P197" i="7"/>
  <c r="AM50" i="14"/>
  <c r="AF50" i="14"/>
  <c r="O162" i="13"/>
  <c r="AF162" i="13"/>
  <c r="AG162" i="13" s="1"/>
  <c r="AH162" i="13" s="1"/>
  <c r="AI162" i="13" s="1"/>
  <c r="AJ162" i="13" s="1"/>
  <c r="AK162" i="13" s="1"/>
  <c r="AL162" i="13" s="1"/>
  <c r="AM162" i="13" s="1"/>
  <c r="AN162" i="13" s="1"/>
  <c r="AO162" i="13" s="1"/>
  <c r="AP162" i="13" s="1"/>
  <c r="AQ162" i="13" s="1"/>
  <c r="V162" i="13"/>
  <c r="AA162" i="13" s="1"/>
  <c r="P162" i="13"/>
  <c r="E98" i="13"/>
  <c r="D20" i="13"/>
  <c r="D54" i="6"/>
  <c r="D81" i="20"/>
  <c r="D158" i="20"/>
  <c r="C81" i="20"/>
  <c r="C158" i="20"/>
  <c r="I137" i="13"/>
  <c r="W34" i="13"/>
  <c r="AQ55" i="14"/>
  <c r="AP55" i="14"/>
  <c r="L159" i="20"/>
  <c r="E12" i="13"/>
  <c r="E129" i="13"/>
  <c r="X135" i="13"/>
  <c r="J141" i="13"/>
  <c r="AF34" i="13"/>
  <c r="AG34" i="13" s="1"/>
  <c r="AH34" i="13" s="1"/>
  <c r="AI34" i="13" s="1"/>
  <c r="AJ34" i="13" s="1"/>
  <c r="AK34" i="13" s="1"/>
  <c r="AL34" i="13" s="1"/>
  <c r="AM34" i="13" s="1"/>
  <c r="AN34" i="13" s="1"/>
  <c r="AO34" i="13" s="1"/>
  <c r="AP34" i="13" s="1"/>
  <c r="AQ34" i="13" s="1"/>
  <c r="V34" i="13"/>
  <c r="AA34" i="13" s="1"/>
  <c r="P34" i="13"/>
  <c r="C154" i="13"/>
  <c r="O34" i="13"/>
  <c r="Q34" i="13" s="1"/>
  <c r="AV82" i="14"/>
  <c r="AV66" i="14"/>
  <c r="AV80" i="14" s="1"/>
  <c r="C20" i="11"/>
  <c r="D680" i="7"/>
  <c r="D669" i="7"/>
  <c r="C268" i="20"/>
  <c r="D25" i="15"/>
  <c r="P171" i="7"/>
  <c r="P173" i="7" s="1"/>
  <c r="AF25" i="14"/>
  <c r="AM25" i="14"/>
  <c r="L98" i="13"/>
  <c r="N495" i="20"/>
  <c r="X448" i="20"/>
  <c r="Y166" i="13"/>
  <c r="AQ18" i="14"/>
  <c r="AP18" i="14"/>
  <c r="AD11" i="14"/>
  <c r="AE11" i="14"/>
  <c r="AP76" i="14"/>
  <c r="AQ76" i="14"/>
  <c r="T21" i="6"/>
  <c r="T29" i="6" s="1"/>
  <c r="T50" i="6" s="1"/>
  <c r="T54" i="6" s="1"/>
  <c r="F29" i="6"/>
  <c r="F50" i="6" s="1"/>
  <c r="AF130" i="13"/>
  <c r="AG130" i="13" s="1"/>
  <c r="AH130" i="13" s="1"/>
  <c r="AI130" i="13" s="1"/>
  <c r="AJ130" i="13" s="1"/>
  <c r="AK130" i="13" s="1"/>
  <c r="AL130" i="13" s="1"/>
  <c r="AM130" i="13" s="1"/>
  <c r="AN130" i="13" s="1"/>
  <c r="AO130" i="13" s="1"/>
  <c r="AP130" i="13" s="1"/>
  <c r="AQ130" i="13" s="1"/>
  <c r="O130" i="13"/>
  <c r="Q130" i="13" s="1"/>
  <c r="P130" i="13"/>
  <c r="V130" i="13"/>
  <c r="AA130" i="13" s="1"/>
  <c r="M159" i="20"/>
  <c r="F69" i="8"/>
  <c r="F23" i="13" s="1"/>
  <c r="E140" i="13"/>
  <c r="AM43" i="14"/>
  <c r="AF43" i="14"/>
  <c r="V448" i="20"/>
  <c r="F495" i="20"/>
  <c r="O448" i="20"/>
  <c r="F14" i="13"/>
  <c r="F66" i="3"/>
  <c r="C21" i="12"/>
  <c r="E14" i="13"/>
  <c r="E66" i="3"/>
  <c r="U80" i="20"/>
  <c r="U158" i="20" s="1"/>
  <c r="R99" i="14"/>
  <c r="R39" i="14" s="1"/>
  <c r="V450" i="20"/>
  <c r="V496" i="20" s="1"/>
  <c r="F496" i="20"/>
  <c r="Q13" i="15"/>
  <c r="P13" i="15"/>
  <c r="R13" i="15" s="1"/>
  <c r="T13" i="15"/>
  <c r="V110" i="13"/>
  <c r="L134" i="13"/>
  <c r="C57" i="4"/>
  <c r="O55" i="4"/>
  <c r="J145" i="13"/>
  <c r="X461" i="20"/>
  <c r="X464" i="20" s="1"/>
  <c r="L464" i="20"/>
  <c r="L495" i="20"/>
  <c r="E159" i="20"/>
  <c r="H14" i="13"/>
  <c r="H17" i="13" s="1"/>
  <c r="H66" i="3"/>
  <c r="Q42" i="13"/>
  <c r="I98" i="13"/>
  <c r="I110" i="13"/>
  <c r="E110" i="13"/>
  <c r="D144" i="13"/>
  <c r="D464" i="20"/>
  <c r="D495" i="20"/>
  <c r="P21" i="6"/>
  <c r="P29" i="6" s="1"/>
  <c r="P50" i="6" s="1"/>
  <c r="P54" i="6" s="1"/>
  <c r="O21" i="6"/>
  <c r="S21" i="6"/>
  <c r="C29" i="6"/>
  <c r="C50" i="6" s="1"/>
  <c r="X42" i="6"/>
  <c r="X46" i="6" s="1"/>
  <c r="S46" i="6"/>
  <c r="S48" i="6" s="1"/>
  <c r="P96" i="13"/>
  <c r="G115" i="13"/>
  <c r="W166" i="13"/>
  <c r="X81" i="20"/>
  <c r="R8" i="15"/>
  <c r="F19" i="9"/>
  <c r="H132" i="13"/>
  <c r="K110" i="13"/>
  <c r="K98" i="13"/>
  <c r="Q55" i="12"/>
  <c r="L69" i="8"/>
  <c r="L23" i="13" s="1"/>
  <c r="Q28" i="4"/>
  <c r="Y46" i="13"/>
  <c r="P38" i="8"/>
  <c r="O38" i="8"/>
  <c r="W144" i="13"/>
  <c r="Q50" i="10"/>
  <c r="F464" i="20"/>
  <c r="V461" i="20"/>
  <c r="V464" i="20" s="1"/>
  <c r="C98" i="13"/>
  <c r="AF89" i="13"/>
  <c r="AG89" i="13" s="1"/>
  <c r="AH89" i="13" s="1"/>
  <c r="AI89" i="13" s="1"/>
  <c r="AJ89" i="13" s="1"/>
  <c r="AK89" i="13" s="1"/>
  <c r="AL89" i="13" s="1"/>
  <c r="AM89" i="13" s="1"/>
  <c r="AN89" i="13" s="1"/>
  <c r="AO89" i="13" s="1"/>
  <c r="AP89" i="13" s="1"/>
  <c r="AQ89" i="13" s="1"/>
  <c r="C110" i="13"/>
  <c r="X24" i="13"/>
  <c r="Q34" i="8"/>
  <c r="Q36" i="8" s="1"/>
  <c r="AA15" i="13"/>
  <c r="P304" i="7"/>
  <c r="AP47" i="14"/>
  <c r="AQ47" i="14"/>
  <c r="C20" i="13" l="1"/>
  <c r="C54" i="6"/>
  <c r="AA152" i="13"/>
  <c r="X495" i="20"/>
  <c r="AQ82" i="14"/>
  <c r="L137" i="13"/>
  <c r="AP35" i="14"/>
  <c r="AQ35" i="14"/>
  <c r="M143" i="13"/>
  <c r="M27" i="13"/>
  <c r="M134" i="13"/>
  <c r="H141" i="13"/>
  <c r="H27" i="13"/>
  <c r="H29" i="13" s="1"/>
  <c r="R117" i="14"/>
  <c r="C50" i="9"/>
  <c r="D342" i="7"/>
  <c r="P332" i="7"/>
  <c r="M112" i="13"/>
  <c r="E271" i="7"/>
  <c r="D115" i="13"/>
  <c r="D117" i="13"/>
  <c r="AF29" i="14"/>
  <c r="AM29" i="14"/>
  <c r="D24" i="15"/>
  <c r="O56" i="8"/>
  <c r="Q56" i="8" s="1"/>
  <c r="P56" i="8"/>
  <c r="X20" i="13"/>
  <c r="X27" i="13" s="1"/>
  <c r="X29" i="13" s="1"/>
  <c r="I27" i="13"/>
  <c r="I140" i="13"/>
  <c r="R125" i="14"/>
  <c r="C67" i="4"/>
  <c r="O57" i="4"/>
  <c r="C65" i="8"/>
  <c r="W14" i="13"/>
  <c r="F134" i="13"/>
  <c r="AQ43" i="14"/>
  <c r="AP43" i="14"/>
  <c r="Q162" i="13"/>
  <c r="AP16" i="14"/>
  <c r="AQ16" i="14"/>
  <c r="R10" i="15"/>
  <c r="E514" i="7"/>
  <c r="AP82" i="14"/>
  <c r="Y424" i="20"/>
  <c r="U431" i="20"/>
  <c r="D14" i="13"/>
  <c r="V14" i="13" s="1"/>
  <c r="AA14" i="13" s="1"/>
  <c r="D66" i="3"/>
  <c r="Q25" i="13"/>
  <c r="R9" i="15"/>
  <c r="D17" i="11"/>
  <c r="E558" i="7"/>
  <c r="E569" i="7"/>
  <c r="N134" i="13"/>
  <c r="Y134" i="13" s="1"/>
  <c r="Y137" i="13" s="1"/>
  <c r="AP23" i="14"/>
  <c r="AQ23" i="14"/>
  <c r="C41" i="13"/>
  <c r="C57" i="12"/>
  <c r="AP17" i="14"/>
  <c r="AQ17" i="14"/>
  <c r="W17" i="13"/>
  <c r="AA46" i="13"/>
  <c r="G112" i="13"/>
  <c r="O495" i="20"/>
  <c r="Y98" i="13"/>
  <c r="E132" i="13"/>
  <c r="D27" i="13"/>
  <c r="D140" i="13"/>
  <c r="X134" i="13"/>
  <c r="X137" i="13" s="1"/>
  <c r="X48" i="6"/>
  <c r="AM72" i="14"/>
  <c r="AF72" i="14"/>
  <c r="G27" i="13"/>
  <c r="G140" i="13"/>
  <c r="O59" i="8"/>
  <c r="P59" i="8"/>
  <c r="O14" i="13"/>
  <c r="P14" i="13"/>
  <c r="P17" i="13" s="1"/>
  <c r="AF14" i="13"/>
  <c r="C134" i="13"/>
  <c r="J137" i="13"/>
  <c r="I15" i="9"/>
  <c r="H16" i="9"/>
  <c r="AP30" i="14"/>
  <c r="AQ30" i="14"/>
  <c r="D61" i="8"/>
  <c r="D69" i="8" s="1"/>
  <c r="D23" i="13" s="1"/>
  <c r="D98" i="13"/>
  <c r="AA25" i="13"/>
  <c r="R101" i="14"/>
  <c r="D53" i="7"/>
  <c r="P43" i="7"/>
  <c r="C54" i="8"/>
  <c r="P143" i="7"/>
  <c r="D149" i="7"/>
  <c r="D597" i="7"/>
  <c r="P595" i="7"/>
  <c r="F112" i="13"/>
  <c r="X141" i="13"/>
  <c r="N112" i="13"/>
  <c r="D159" i="20"/>
  <c r="G17" i="13"/>
  <c r="J115" i="13"/>
  <c r="J117" i="13"/>
  <c r="H143" i="13"/>
  <c r="Y23" i="13"/>
  <c r="L143" i="13"/>
  <c r="X21" i="6"/>
  <c r="X29" i="6" s="1"/>
  <c r="S29" i="6"/>
  <c r="S50" i="6" s="1"/>
  <c r="S54" i="6" s="1"/>
  <c r="E115" i="13"/>
  <c r="F21" i="9"/>
  <c r="G117" i="13"/>
  <c r="Q21" i="6"/>
  <c r="Q29" i="6" s="1"/>
  <c r="Q50" i="6" s="1"/>
  <c r="Q54" i="6" s="1"/>
  <c r="O29" i="6"/>
  <c r="O50" i="6" s="1"/>
  <c r="O54" i="6" s="1"/>
  <c r="I117" i="13"/>
  <c r="I115" i="13"/>
  <c r="AF11" i="14"/>
  <c r="AM11" i="14"/>
  <c r="AP25" i="14"/>
  <c r="AQ25" i="14"/>
  <c r="O154" i="13"/>
  <c r="P154" i="13"/>
  <c r="AF154" i="13"/>
  <c r="AG154" i="13" s="1"/>
  <c r="AH154" i="13" s="1"/>
  <c r="AI154" i="13" s="1"/>
  <c r="AJ154" i="13" s="1"/>
  <c r="AK154" i="13" s="1"/>
  <c r="AL154" i="13" s="1"/>
  <c r="AM154" i="13" s="1"/>
  <c r="AN154" i="13" s="1"/>
  <c r="AO154" i="13" s="1"/>
  <c r="AP154" i="13" s="1"/>
  <c r="AQ154" i="13" s="1"/>
  <c r="V154" i="13"/>
  <c r="AA154" i="13" s="1"/>
  <c r="E17" i="13"/>
  <c r="AQ50" i="14"/>
  <c r="AP50" i="14"/>
  <c r="W450" i="20"/>
  <c r="I496" i="20"/>
  <c r="V144" i="13"/>
  <c r="AA144" i="13" s="1"/>
  <c r="O144" i="13"/>
  <c r="AF144" i="13"/>
  <c r="AG144" i="13" s="1"/>
  <c r="AH144" i="13" s="1"/>
  <c r="AI144" i="13" s="1"/>
  <c r="AJ144" i="13" s="1"/>
  <c r="AK144" i="13" s="1"/>
  <c r="AL144" i="13" s="1"/>
  <c r="AM144" i="13" s="1"/>
  <c r="AN144" i="13" s="1"/>
  <c r="AO144" i="13" s="1"/>
  <c r="AP144" i="13" s="1"/>
  <c r="AQ144" i="13" s="1"/>
  <c r="P144" i="13"/>
  <c r="H115" i="13"/>
  <c r="V129" i="13"/>
  <c r="O129" i="13"/>
  <c r="C132" i="13"/>
  <c r="AF129" i="13"/>
  <c r="AG129" i="13" s="1"/>
  <c r="AH129" i="13" s="1"/>
  <c r="AI129" i="13" s="1"/>
  <c r="AJ129" i="13" s="1"/>
  <c r="AK129" i="13" s="1"/>
  <c r="AL129" i="13" s="1"/>
  <c r="AM129" i="13" s="1"/>
  <c r="AN129" i="13" s="1"/>
  <c r="AO129" i="13" s="1"/>
  <c r="AP129" i="13" s="1"/>
  <c r="AQ129" i="13" s="1"/>
  <c r="P129" i="13"/>
  <c r="P132" i="13" s="1"/>
  <c r="AQ48" i="14"/>
  <c r="AP48" i="14"/>
  <c r="Y145" i="13"/>
  <c r="E93" i="7"/>
  <c r="E78" i="7"/>
  <c r="K137" i="13"/>
  <c r="X23" i="13"/>
  <c r="I143" i="13"/>
  <c r="C19" i="11"/>
  <c r="D220" i="7"/>
  <c r="Y461" i="20"/>
  <c r="Y464" i="20" s="1"/>
  <c r="U464" i="20"/>
  <c r="U495" i="20"/>
  <c r="P395" i="7"/>
  <c r="D401" i="7"/>
  <c r="R107" i="14"/>
  <c r="R34" i="14" s="1"/>
  <c r="O431" i="20"/>
  <c r="R34" i="15"/>
  <c r="F117" i="13"/>
  <c r="AA9" i="13"/>
  <c r="AA12" i="13" s="1"/>
  <c r="V12" i="13"/>
  <c r="N143" i="13"/>
  <c r="N147" i="13" s="1"/>
  <c r="E141" i="13"/>
  <c r="AF110" i="13"/>
  <c r="AG110" i="13" s="1"/>
  <c r="AH110" i="13" s="1"/>
  <c r="AI110" i="13" s="1"/>
  <c r="AJ110" i="13" s="1"/>
  <c r="AK110" i="13" s="1"/>
  <c r="AL110" i="13" s="1"/>
  <c r="AM110" i="13" s="1"/>
  <c r="AN110" i="13" s="1"/>
  <c r="AO110" i="13" s="1"/>
  <c r="AP110" i="13" s="1"/>
  <c r="AQ110" i="13" s="1"/>
  <c r="C115" i="13"/>
  <c r="C117" i="13" s="1"/>
  <c r="AF117" i="13" s="1"/>
  <c r="Q38" i="8"/>
  <c r="X98" i="13"/>
  <c r="Y14" i="13"/>
  <c r="Y17" i="13" s="1"/>
  <c r="E27" i="13"/>
  <c r="F20" i="13"/>
  <c r="F54" i="6"/>
  <c r="AA24" i="13"/>
  <c r="O450" i="20"/>
  <c r="O496" i="20" s="1"/>
  <c r="R52" i="15"/>
  <c r="G134" i="13"/>
  <c r="K143" i="13"/>
  <c r="AP21" i="14"/>
  <c r="AQ21" i="14"/>
  <c r="AP51" i="14"/>
  <c r="AQ51" i="14"/>
  <c r="O57" i="8"/>
  <c r="P57" i="8"/>
  <c r="AM53" i="14"/>
  <c r="AF53" i="14"/>
  <c r="F137" i="13"/>
  <c r="E461" i="7"/>
  <c r="Q110" i="13"/>
  <c r="Y422" i="20"/>
  <c r="W431" i="20"/>
  <c r="N117" i="13"/>
  <c r="C270" i="20"/>
  <c r="R129" i="14"/>
  <c r="J29" i="13"/>
  <c r="L112" i="13"/>
  <c r="H134" i="13"/>
  <c r="P110" i="13"/>
  <c r="P98" i="13"/>
  <c r="Y448" i="20"/>
  <c r="V495" i="20"/>
  <c r="W23" i="13"/>
  <c r="F143" i="13"/>
  <c r="D671" i="7"/>
  <c r="C159" i="20"/>
  <c r="D213" i="7"/>
  <c r="E203" i="7" s="1"/>
  <c r="P207" i="7"/>
  <c r="D234" i="7"/>
  <c r="AA32" i="13"/>
  <c r="N27" i="13"/>
  <c r="N29" i="13" s="1"/>
  <c r="U496" i="20"/>
  <c r="AF12" i="13"/>
  <c r="AG12" i="13" s="1"/>
  <c r="AH12" i="13" s="1"/>
  <c r="AI12" i="13" s="1"/>
  <c r="AJ12" i="13" s="1"/>
  <c r="AK12" i="13" s="1"/>
  <c r="AL12" i="13" s="1"/>
  <c r="AM12" i="13" s="1"/>
  <c r="AN12" i="13" s="1"/>
  <c r="AO12" i="13" s="1"/>
  <c r="AP12" i="13" s="1"/>
  <c r="AQ12" i="13" s="1"/>
  <c r="C17" i="13"/>
  <c r="AA135" i="13"/>
  <c r="Q152" i="13"/>
  <c r="N159" i="20"/>
  <c r="AH166" i="13"/>
  <c r="AI166" i="13" s="1"/>
  <c r="AJ166" i="13"/>
  <c r="AK166" i="13" s="1"/>
  <c r="AL166" i="13" s="1"/>
  <c r="AM166" i="13" s="1"/>
  <c r="AN166" i="13" s="1"/>
  <c r="AO166" i="13" s="1"/>
  <c r="AP166" i="13" s="1"/>
  <c r="AQ166" i="13" s="1"/>
  <c r="W159" i="20"/>
  <c r="K29" i="13"/>
  <c r="AQ19" i="14"/>
  <c r="AP19" i="14"/>
  <c r="M132" i="13"/>
  <c r="C388" i="20"/>
  <c r="D132" i="13"/>
  <c r="K147" i="13"/>
  <c r="G132" i="13"/>
  <c r="W21" i="13"/>
  <c r="K115" i="13"/>
  <c r="E649" i="7"/>
  <c r="Q57" i="15"/>
  <c r="T57" i="15"/>
  <c r="P57" i="15"/>
  <c r="AF98" i="13"/>
  <c r="V98" i="13"/>
  <c r="E134" i="13"/>
  <c r="X159" i="20"/>
  <c r="U81" i="20"/>
  <c r="Y81" i="20" s="1"/>
  <c r="O81" i="20"/>
  <c r="O48" i="9"/>
  <c r="P48" i="9"/>
  <c r="C59" i="9"/>
  <c r="C21" i="13" s="1"/>
  <c r="L20" i="13"/>
  <c r="L54" i="6"/>
  <c r="X145" i="13"/>
  <c r="O12" i="13"/>
  <c r="Q9" i="13"/>
  <c r="Q12" i="13" s="1"/>
  <c r="R49" i="15"/>
  <c r="N137" i="13"/>
  <c r="AG152" i="13"/>
  <c r="AH152" i="13" s="1"/>
  <c r="AI152" i="13" s="1"/>
  <c r="AJ152" i="13" s="1"/>
  <c r="AK152" i="13" s="1"/>
  <c r="AL152" i="13" s="1"/>
  <c r="AM152" i="13" s="1"/>
  <c r="AN152" i="13" s="1"/>
  <c r="AO152" i="13" s="1"/>
  <c r="AP152" i="13" s="1"/>
  <c r="AQ152" i="13" s="1"/>
  <c r="J143" i="13"/>
  <c r="V145" i="13"/>
  <c r="O145" i="13"/>
  <c r="P145" i="13"/>
  <c r="AF145" i="13"/>
  <c r="AG145" i="13" s="1"/>
  <c r="AH145" i="13" s="1"/>
  <c r="AI145" i="13" s="1"/>
  <c r="AJ145" i="13" s="1"/>
  <c r="AK145" i="13" s="1"/>
  <c r="AL145" i="13" s="1"/>
  <c r="AM145" i="13" s="1"/>
  <c r="AN145" i="13" s="1"/>
  <c r="AO145" i="13" s="1"/>
  <c r="AP145" i="13" s="1"/>
  <c r="AQ145" i="13" s="1"/>
  <c r="M17" i="13"/>
  <c r="W98" i="13"/>
  <c r="E143" i="13"/>
  <c r="Q17" i="13" l="1"/>
  <c r="H19" i="9"/>
  <c r="AF41" i="13"/>
  <c r="C48" i="13"/>
  <c r="AF48" i="13" s="1"/>
  <c r="C161" i="13"/>
  <c r="E560" i="7"/>
  <c r="R127" i="14"/>
  <c r="R42" i="14" s="1"/>
  <c r="AD125" i="14"/>
  <c r="AD127" i="14" s="1"/>
  <c r="AG117" i="13"/>
  <c r="O17" i="13"/>
  <c r="V21" i="13"/>
  <c r="AA21" i="13" s="1"/>
  <c r="O21" i="13"/>
  <c r="P21" i="13"/>
  <c r="C141" i="13"/>
  <c r="AF21" i="13"/>
  <c r="AG21" i="13" s="1"/>
  <c r="AH21" i="13" s="1"/>
  <c r="AI21" i="13" s="1"/>
  <c r="AJ21" i="13" s="1"/>
  <c r="AK21" i="13" s="1"/>
  <c r="AL21" i="13" s="1"/>
  <c r="AM21" i="13" s="1"/>
  <c r="AN21" i="13" s="1"/>
  <c r="AO21" i="13" s="1"/>
  <c r="AP21" i="13" s="1"/>
  <c r="AQ21" i="13" s="1"/>
  <c r="D12" i="12"/>
  <c r="E640" i="7"/>
  <c r="E651" i="7"/>
  <c r="G137" i="13"/>
  <c r="AF17" i="13"/>
  <c r="Y495" i="20"/>
  <c r="AQ53" i="14"/>
  <c r="AP53" i="14"/>
  <c r="AA17" i="13"/>
  <c r="AQ11" i="14"/>
  <c r="AP11" i="14"/>
  <c r="Z29" i="6"/>
  <c r="X50" i="6"/>
  <c r="J112" i="13"/>
  <c r="R121" i="14"/>
  <c r="C53" i="8"/>
  <c r="D607" i="7"/>
  <c r="P597" i="7"/>
  <c r="J15" i="9"/>
  <c r="I16" i="9"/>
  <c r="I19" i="9" s="1"/>
  <c r="I21" i="9" s="1"/>
  <c r="I25" i="9" s="1"/>
  <c r="D267" i="20"/>
  <c r="E32" i="15"/>
  <c r="S113" i="14"/>
  <c r="P17" i="11"/>
  <c r="F27" i="13"/>
  <c r="W20" i="13"/>
  <c r="W27" i="13" s="1"/>
  <c r="W29" i="13" s="1"/>
  <c r="F140" i="13"/>
  <c r="M29" i="13"/>
  <c r="M137" i="13"/>
  <c r="V17" i="13"/>
  <c r="Q14" i="13"/>
  <c r="AA98" i="13"/>
  <c r="U159" i="20"/>
  <c r="Y159" i="20" s="1"/>
  <c r="O159" i="20"/>
  <c r="E391" i="7"/>
  <c r="E406" i="7"/>
  <c r="Y143" i="13"/>
  <c r="W134" i="13"/>
  <c r="W137" i="13" s="1"/>
  <c r="H137" i="13"/>
  <c r="D112" i="13"/>
  <c r="E112" i="13"/>
  <c r="C73" i="4"/>
  <c r="O67" i="4"/>
  <c r="K149" i="13"/>
  <c r="R103" i="14"/>
  <c r="R33" i="14" s="1"/>
  <c r="AP72" i="14"/>
  <c r="AQ72" i="14"/>
  <c r="Y431" i="20"/>
  <c r="Q48" i="9"/>
  <c r="Q59" i="9" s="1"/>
  <c r="O59" i="9"/>
  <c r="K112" i="13"/>
  <c r="E661" i="7"/>
  <c r="E676" i="7"/>
  <c r="Q57" i="8"/>
  <c r="E95" i="7"/>
  <c r="AF132" i="13"/>
  <c r="AG132" i="13" s="1"/>
  <c r="AH132" i="13" s="1"/>
  <c r="AI132" i="13" s="1"/>
  <c r="AJ132" i="13" s="1"/>
  <c r="AK132" i="13" s="1"/>
  <c r="AL132" i="13" s="1"/>
  <c r="AM132" i="13" s="1"/>
  <c r="AN132" i="13" s="1"/>
  <c r="AO132" i="13" s="1"/>
  <c r="AP132" i="13" s="1"/>
  <c r="AQ132" i="13" s="1"/>
  <c r="C137" i="13"/>
  <c r="Q144" i="13"/>
  <c r="Q154" i="13"/>
  <c r="F25" i="9"/>
  <c r="E139" i="7"/>
  <c r="E154" i="7"/>
  <c r="AG98" i="13"/>
  <c r="AH98" i="13" s="1"/>
  <c r="AI98" i="13" s="1"/>
  <c r="AJ98" i="13" s="1"/>
  <c r="AK98" i="13" s="1"/>
  <c r="AL98" i="13" s="1"/>
  <c r="AM98" i="13" s="1"/>
  <c r="AN98" i="13" s="1"/>
  <c r="AO98" i="13" s="1"/>
  <c r="AP98" i="13" s="1"/>
  <c r="AQ98" i="13" s="1"/>
  <c r="Q59" i="8"/>
  <c r="E137" i="13"/>
  <c r="D17" i="13"/>
  <c r="Q24" i="15"/>
  <c r="P24" i="15"/>
  <c r="T24" i="15"/>
  <c r="P342" i="7"/>
  <c r="D348" i="7"/>
  <c r="O20" i="13"/>
  <c r="P20" i="13"/>
  <c r="AF20" i="13"/>
  <c r="AG20" i="13" s="1"/>
  <c r="AH20" i="13" s="1"/>
  <c r="AI20" i="13" s="1"/>
  <c r="AJ20" i="13" s="1"/>
  <c r="AK20" i="13" s="1"/>
  <c r="AL20" i="13" s="1"/>
  <c r="AM20" i="13" s="1"/>
  <c r="AN20" i="13" s="1"/>
  <c r="AO20" i="13" s="1"/>
  <c r="AP20" i="13" s="1"/>
  <c r="AQ20" i="13" s="1"/>
  <c r="C140" i="13"/>
  <c r="V20" i="13"/>
  <c r="W496" i="20"/>
  <c r="H147" i="13"/>
  <c r="Y20" i="13"/>
  <c r="Y27" i="13" s="1"/>
  <c r="Y29" i="13" s="1"/>
  <c r="L27" i="13"/>
  <c r="L140" i="13"/>
  <c r="W141" i="13"/>
  <c r="Q145" i="13"/>
  <c r="N149" i="13"/>
  <c r="K117" i="13"/>
  <c r="Y112" i="13"/>
  <c r="Y115" i="13" s="1"/>
  <c r="Y117" i="13" s="1"/>
  <c r="C269" i="20"/>
  <c r="D27" i="15"/>
  <c r="C24" i="11"/>
  <c r="O132" i="13"/>
  <c r="Q129" i="13"/>
  <c r="Q132" i="13" s="1"/>
  <c r="E147" i="13"/>
  <c r="G29" i="13"/>
  <c r="D143" i="13"/>
  <c r="G147" i="13"/>
  <c r="D9" i="12"/>
  <c r="E505" i="7"/>
  <c r="E516" i="7"/>
  <c r="X140" i="13"/>
  <c r="I147" i="13"/>
  <c r="AP29" i="14"/>
  <c r="AQ29" i="14"/>
  <c r="E262" i="7"/>
  <c r="E273" i="7"/>
  <c r="P50" i="9"/>
  <c r="P59" i="9" s="1"/>
  <c r="O50" i="9"/>
  <c r="Q50" i="9" s="1"/>
  <c r="H112" i="13"/>
  <c r="D59" i="7"/>
  <c r="P53" i="7"/>
  <c r="AA145" i="13"/>
  <c r="R57" i="15"/>
  <c r="D282" i="7"/>
  <c r="P234" i="7"/>
  <c r="D240" i="7"/>
  <c r="W143" i="13"/>
  <c r="R131" i="14"/>
  <c r="R56" i="14" s="1"/>
  <c r="D33" i="15"/>
  <c r="D8" i="12"/>
  <c r="E463" i="7"/>
  <c r="E452" i="7"/>
  <c r="X143" i="13"/>
  <c r="AA129" i="13"/>
  <c r="AA132" i="13" s="1"/>
  <c r="V132" i="13"/>
  <c r="I112" i="13"/>
  <c r="E117" i="13"/>
  <c r="D22" i="15"/>
  <c r="O54" i="8"/>
  <c r="Q54" i="8" s="1"/>
  <c r="P54" i="8"/>
  <c r="O134" i="13"/>
  <c r="P134" i="13"/>
  <c r="P137" i="13" s="1"/>
  <c r="AF134" i="13"/>
  <c r="P65" i="8"/>
  <c r="P67" i="8" s="1"/>
  <c r="D17" i="15"/>
  <c r="O65" i="8"/>
  <c r="C67" i="8"/>
  <c r="R119" i="14"/>
  <c r="R36" i="14" s="1"/>
  <c r="J147" i="13"/>
  <c r="Y450" i="20"/>
  <c r="Y496" i="20" s="1"/>
  <c r="C112" i="13"/>
  <c r="AF115" i="13"/>
  <c r="AG115" i="13" s="1"/>
  <c r="AH115" i="13" s="1"/>
  <c r="AI115" i="13" s="1"/>
  <c r="AJ115" i="13" s="1"/>
  <c r="AK115" i="13" s="1"/>
  <c r="AL115" i="13" s="1"/>
  <c r="AM115" i="13" s="1"/>
  <c r="AN115" i="13" s="1"/>
  <c r="AO115" i="13" s="1"/>
  <c r="AP115" i="13" s="1"/>
  <c r="AQ115" i="13" s="1"/>
  <c r="H117" i="13"/>
  <c r="E29" i="13"/>
  <c r="D147" i="13"/>
  <c r="AG14" i="13"/>
  <c r="AH14" i="13" s="1"/>
  <c r="AI14" i="13" s="1"/>
  <c r="AJ14" i="13" s="1"/>
  <c r="AK14" i="13" s="1"/>
  <c r="AL14" i="13" s="1"/>
  <c r="AM14" i="13" s="1"/>
  <c r="AN14" i="13" s="1"/>
  <c r="AO14" i="13" s="1"/>
  <c r="AP14" i="13" s="1"/>
  <c r="AQ14" i="13" s="1"/>
  <c r="D134" i="13"/>
  <c r="AG134" i="13" s="1"/>
  <c r="AH134" i="13" s="1"/>
  <c r="AI134" i="13" s="1"/>
  <c r="AJ134" i="13" s="1"/>
  <c r="AK134" i="13" s="1"/>
  <c r="AL134" i="13" s="1"/>
  <c r="AM134" i="13" s="1"/>
  <c r="AN134" i="13" s="1"/>
  <c r="AO134" i="13" s="1"/>
  <c r="AP134" i="13" s="1"/>
  <c r="AQ134" i="13" s="1"/>
  <c r="I29" i="13"/>
  <c r="M147" i="13"/>
  <c r="E245" i="7" l="1"/>
  <c r="E230" i="7"/>
  <c r="L29" i="13"/>
  <c r="D381" i="20"/>
  <c r="S134" i="14"/>
  <c r="P12" i="12"/>
  <c r="AK117" i="13"/>
  <c r="AL117" i="13" s="1"/>
  <c r="AM117" i="13" s="1"/>
  <c r="AN117" i="13" s="1"/>
  <c r="AO117" i="13" s="1"/>
  <c r="AP117" i="13" s="1"/>
  <c r="AQ117" i="13" s="1"/>
  <c r="X112" i="13"/>
  <c r="X115" i="13" s="1"/>
  <c r="X117" i="13" s="1"/>
  <c r="Q32" i="15"/>
  <c r="R123" i="14"/>
  <c r="R41" i="14" s="1"/>
  <c r="Q17" i="15"/>
  <c r="P17" i="15"/>
  <c r="T17" i="15"/>
  <c r="V134" i="13"/>
  <c r="AA134" i="13" s="1"/>
  <c r="V137" i="13"/>
  <c r="P282" i="7"/>
  <c r="D288" i="7"/>
  <c r="E278" i="7" s="1"/>
  <c r="Q137" i="13"/>
  <c r="R24" i="15"/>
  <c r="J149" i="13"/>
  <c r="AF137" i="13"/>
  <c r="E678" i="7"/>
  <c r="V141" i="13"/>
  <c r="AA141" i="13" s="1"/>
  <c r="P141" i="13"/>
  <c r="AF141" i="13"/>
  <c r="AG141" i="13" s="1"/>
  <c r="AH141" i="13" s="1"/>
  <c r="AI141" i="13" s="1"/>
  <c r="AJ141" i="13" s="1"/>
  <c r="AK141" i="13" s="1"/>
  <c r="AL141" i="13" s="1"/>
  <c r="AM141" i="13" s="1"/>
  <c r="AN141" i="13" s="1"/>
  <c r="AO141" i="13" s="1"/>
  <c r="AP141" i="13" s="1"/>
  <c r="AQ141" i="13" s="1"/>
  <c r="O141" i="13"/>
  <c r="AD42" i="14"/>
  <c r="AE42" i="14"/>
  <c r="Q134" i="13"/>
  <c r="AA137" i="13"/>
  <c r="I149" i="13"/>
  <c r="O137" i="13"/>
  <c r="F29" i="13"/>
  <c r="F565" i="7"/>
  <c r="F550" i="7"/>
  <c r="W112" i="13"/>
  <c r="W115" i="13" s="1"/>
  <c r="W117" i="13" s="1"/>
  <c r="Q65" i="8"/>
  <c r="Q67" i="8" s="1"/>
  <c r="O67" i="8"/>
  <c r="X147" i="13"/>
  <c r="X149" i="13" s="1"/>
  <c r="C33" i="13"/>
  <c r="C51" i="11"/>
  <c r="Q20" i="13"/>
  <c r="E156" i="7"/>
  <c r="D137" i="13"/>
  <c r="H149" i="13"/>
  <c r="E408" i="7"/>
  <c r="M149" i="13"/>
  <c r="Y50" i="6"/>
  <c r="X54" i="6"/>
  <c r="G149" i="13"/>
  <c r="Q21" i="13"/>
  <c r="C456" i="20"/>
  <c r="C287" i="20"/>
  <c r="C289" i="20" s="1"/>
  <c r="D377" i="20"/>
  <c r="E71" i="15"/>
  <c r="S93" i="14"/>
  <c r="P8" i="12"/>
  <c r="Q22" i="15"/>
  <c r="P22" i="15"/>
  <c r="T22" i="15"/>
  <c r="AG17" i="13"/>
  <c r="AH17" i="13" s="1"/>
  <c r="AI17" i="13" s="1"/>
  <c r="AJ17" i="13" s="1"/>
  <c r="AK17" i="13" s="1"/>
  <c r="AL17" i="13" s="1"/>
  <c r="AM17" i="13" s="1"/>
  <c r="AN17" i="13" s="1"/>
  <c r="AO17" i="13" s="1"/>
  <c r="AP17" i="13" s="1"/>
  <c r="AQ17" i="13" s="1"/>
  <c r="D29" i="13"/>
  <c r="E86" i="7"/>
  <c r="E97" i="7"/>
  <c r="D78" i="4"/>
  <c r="D63" i="4"/>
  <c r="J16" i="9"/>
  <c r="J19" i="9" s="1"/>
  <c r="J21" i="9" s="1"/>
  <c r="J25" i="9" s="1"/>
  <c r="K15" i="9"/>
  <c r="AF161" i="13"/>
  <c r="C168" i="13"/>
  <c r="AF168" i="13" s="1"/>
  <c r="P140" i="13"/>
  <c r="AF140" i="13"/>
  <c r="AG140" i="13" s="1"/>
  <c r="AH140" i="13" s="1"/>
  <c r="V140" i="13"/>
  <c r="O140" i="13"/>
  <c r="F147" i="13"/>
  <c r="AI140" i="13"/>
  <c r="AJ140" i="13" s="1"/>
  <c r="AK140" i="13" s="1"/>
  <c r="AL140" i="13" s="1"/>
  <c r="AM140" i="13" s="1"/>
  <c r="AN140" i="13" s="1"/>
  <c r="W140" i="13"/>
  <c r="W147" i="13" s="1"/>
  <c r="W149" i="13" s="1"/>
  <c r="V112" i="13"/>
  <c r="O112" i="13"/>
  <c r="P112" i="13"/>
  <c r="P115" i="13" s="1"/>
  <c r="P117" i="13" s="1"/>
  <c r="AF112" i="13"/>
  <c r="AG112" i="13" s="1"/>
  <c r="AH112" i="13" s="1"/>
  <c r="AI112" i="13" s="1"/>
  <c r="AJ112" i="13" s="1"/>
  <c r="AK112" i="13" s="1"/>
  <c r="AL112" i="13" s="1"/>
  <c r="AM112" i="13" s="1"/>
  <c r="AN112" i="13" s="1"/>
  <c r="AO112" i="13" s="1"/>
  <c r="AP112" i="13" s="1"/>
  <c r="AQ112" i="13" s="1"/>
  <c r="E507" i="7"/>
  <c r="AO140" i="13"/>
  <c r="AP140" i="13" s="1"/>
  <c r="AQ140" i="13" s="1"/>
  <c r="Y140" i="13"/>
  <c r="Y147" i="13" s="1"/>
  <c r="Y149" i="13" s="1"/>
  <c r="L147" i="13"/>
  <c r="E149" i="13"/>
  <c r="H21" i="9"/>
  <c r="D18" i="15"/>
  <c r="O53" i="8"/>
  <c r="P53" i="8"/>
  <c r="P61" i="8" s="1"/>
  <c r="P69" i="8" s="1"/>
  <c r="C61" i="8"/>
  <c r="C69" i="8" s="1"/>
  <c r="C23" i="13" s="1"/>
  <c r="E49" i="7"/>
  <c r="E64" i="7"/>
  <c r="AH117" i="13"/>
  <c r="AI117" i="13" s="1"/>
  <c r="AJ117" i="13" s="1"/>
  <c r="E454" i="7"/>
  <c r="E264" i="7"/>
  <c r="D378" i="20"/>
  <c r="E74" i="15"/>
  <c r="P9" i="12"/>
  <c r="S97" i="14"/>
  <c r="AA20" i="13"/>
  <c r="E338" i="7"/>
  <c r="E353" i="7"/>
  <c r="S115" i="14"/>
  <c r="S40" i="14" s="1"/>
  <c r="P607" i="7"/>
  <c r="D613" i="7"/>
  <c r="E642" i="7"/>
  <c r="Q112" i="13" l="1"/>
  <c r="Q115" i="13" s="1"/>
  <c r="Q117" i="13" s="1"/>
  <c r="O115" i="13"/>
  <c r="O117" i="13" s="1"/>
  <c r="Q71" i="15"/>
  <c r="Q74" i="15"/>
  <c r="V115" i="13"/>
  <c r="V117" i="13" s="1"/>
  <c r="AA112" i="13"/>
  <c r="AA115" i="13" s="1"/>
  <c r="AA117" i="13" s="1"/>
  <c r="D20" i="11"/>
  <c r="E680" i="7"/>
  <c r="E669" i="7"/>
  <c r="E355" i="7"/>
  <c r="AA140" i="13"/>
  <c r="C290" i="20"/>
  <c r="C363" i="20"/>
  <c r="C374" i="20" s="1"/>
  <c r="AF33" i="13"/>
  <c r="C153" i="13"/>
  <c r="C36" i="13"/>
  <c r="AF36" i="13" s="1"/>
  <c r="F567" i="7"/>
  <c r="F269" i="7"/>
  <c r="F254" i="7"/>
  <c r="O23" i="13"/>
  <c r="P23" i="13"/>
  <c r="P27" i="13" s="1"/>
  <c r="P29" i="13" s="1"/>
  <c r="AF23" i="13"/>
  <c r="AG23" i="13" s="1"/>
  <c r="AH23" i="13" s="1"/>
  <c r="AI23" i="13" s="1"/>
  <c r="AJ23" i="13" s="1"/>
  <c r="AK23" i="13" s="1"/>
  <c r="AL23" i="13" s="1"/>
  <c r="AM23" i="13" s="1"/>
  <c r="AN23" i="13" s="1"/>
  <c r="AO23" i="13" s="1"/>
  <c r="AP23" i="13" s="1"/>
  <c r="AQ23" i="13" s="1"/>
  <c r="V23" i="13"/>
  <c r="C143" i="13"/>
  <c r="C27" i="13"/>
  <c r="K16" i="9"/>
  <c r="K19" i="9" s="1"/>
  <c r="K21" i="9" s="1"/>
  <c r="K25" i="9" s="1"/>
  <c r="L15" i="9"/>
  <c r="E88" i="7"/>
  <c r="R22" i="15"/>
  <c r="C457" i="20"/>
  <c r="C484" i="20" s="1"/>
  <c r="C493" i="20" s="1"/>
  <c r="D18" i="11"/>
  <c r="E147" i="7"/>
  <c r="E158" i="7"/>
  <c r="Q140" i="13"/>
  <c r="AG137" i="13"/>
  <c r="AH137" i="13" s="1"/>
  <c r="AI137" i="13" s="1"/>
  <c r="AJ137" i="13" s="1"/>
  <c r="AK137" i="13" s="1"/>
  <c r="AL137" i="13" s="1"/>
  <c r="AM137" i="13" s="1"/>
  <c r="AN137" i="13" s="1"/>
  <c r="AO137" i="13" s="1"/>
  <c r="AP137" i="13" s="1"/>
  <c r="AQ137" i="13" s="1"/>
  <c r="D149" i="13"/>
  <c r="E603" i="7"/>
  <c r="E618" i="7"/>
  <c r="H25" i="9"/>
  <c r="S28" i="14"/>
  <c r="E55" i="15"/>
  <c r="E247" i="7"/>
  <c r="F512" i="7"/>
  <c r="F497" i="7"/>
  <c r="Q53" i="8"/>
  <c r="Q61" i="8" s="1"/>
  <c r="Q69" i="8" s="1"/>
  <c r="O61" i="8"/>
  <c r="O69" i="8" s="1"/>
  <c r="AF42" i="14"/>
  <c r="AM42" i="14"/>
  <c r="R17" i="15"/>
  <c r="D71" i="4"/>
  <c r="D73" i="4" s="1"/>
  <c r="D80" i="4"/>
  <c r="F459" i="7"/>
  <c r="F444" i="7"/>
  <c r="S99" i="14"/>
  <c r="S39" i="14" s="1"/>
  <c r="Q18" i="15"/>
  <c r="P18" i="15"/>
  <c r="R18" i="15" s="1"/>
  <c r="T18" i="15"/>
  <c r="L149" i="13"/>
  <c r="D7" i="12"/>
  <c r="E399" i="7"/>
  <c r="E410" i="7"/>
  <c r="Q141" i="13"/>
  <c r="R59" i="14"/>
  <c r="F632" i="7"/>
  <c r="F647" i="7"/>
  <c r="E66" i="7"/>
  <c r="AE40" i="14"/>
  <c r="F149" i="13"/>
  <c r="S95" i="14"/>
  <c r="S37" i="14" s="1"/>
  <c r="E63" i="4" l="1"/>
  <c r="E78" i="4"/>
  <c r="AE28" i="14"/>
  <c r="E620" i="7"/>
  <c r="F271" i="7"/>
  <c r="F514" i="7"/>
  <c r="AF27" i="13"/>
  <c r="AG27" i="13" s="1"/>
  <c r="AH27" i="13" s="1"/>
  <c r="AI27" i="13" s="1"/>
  <c r="AJ27" i="13" s="1"/>
  <c r="AK27" i="13" s="1"/>
  <c r="AL27" i="13" s="1"/>
  <c r="AM27" i="13" s="1"/>
  <c r="AN27" i="13" s="1"/>
  <c r="AO27" i="13" s="1"/>
  <c r="AP27" i="13" s="1"/>
  <c r="AQ27" i="13" s="1"/>
  <c r="C29" i="13"/>
  <c r="E671" i="7"/>
  <c r="D10" i="12"/>
  <c r="E346" i="7"/>
  <c r="E357" i="7"/>
  <c r="AE37" i="14"/>
  <c r="AA23" i="13"/>
  <c r="AA27" i="13" s="1"/>
  <c r="AA29" i="13" s="1"/>
  <c r="V27" i="13"/>
  <c r="V29" i="13" s="1"/>
  <c r="C399" i="20"/>
  <c r="C498" i="20"/>
  <c r="D270" i="20"/>
  <c r="S129" i="14"/>
  <c r="P20" i="11"/>
  <c r="D11" i="12"/>
  <c r="E68" i="7"/>
  <c r="E57" i="7"/>
  <c r="E149" i="7"/>
  <c r="E17" i="11"/>
  <c r="F558" i="7"/>
  <c r="F569" i="7"/>
  <c r="R64" i="14"/>
  <c r="R61" i="14"/>
  <c r="F649" i="7"/>
  <c r="E249" i="7"/>
  <c r="E238" i="7"/>
  <c r="D268" i="20"/>
  <c r="E25" i="15"/>
  <c r="S105" i="14"/>
  <c r="P18" i="11"/>
  <c r="F78" i="7"/>
  <c r="F93" i="7"/>
  <c r="O143" i="13"/>
  <c r="P143" i="13"/>
  <c r="P147" i="13" s="1"/>
  <c r="P149" i="13" s="1"/>
  <c r="AF143" i="13"/>
  <c r="AG143" i="13" s="1"/>
  <c r="AH143" i="13" s="1"/>
  <c r="AI143" i="13" s="1"/>
  <c r="AJ143" i="13" s="1"/>
  <c r="AK143" i="13" s="1"/>
  <c r="AL143" i="13" s="1"/>
  <c r="AM143" i="13" s="1"/>
  <c r="AN143" i="13" s="1"/>
  <c r="AO143" i="13" s="1"/>
  <c r="AP143" i="13" s="1"/>
  <c r="AQ143" i="13" s="1"/>
  <c r="V143" i="13"/>
  <c r="C147" i="13"/>
  <c r="E401" i="7"/>
  <c r="AE39" i="14"/>
  <c r="Q23" i="13"/>
  <c r="Q27" i="13" s="1"/>
  <c r="Q29" i="13" s="1"/>
  <c r="O27" i="13"/>
  <c r="O29" i="13" s="1"/>
  <c r="AF153" i="13"/>
  <c r="C156" i="13"/>
  <c r="AF156" i="13" s="1"/>
  <c r="F461" i="7"/>
  <c r="D376" i="20"/>
  <c r="E68" i="15"/>
  <c r="S89" i="14"/>
  <c r="P7" i="12"/>
  <c r="AQ42" i="14"/>
  <c r="AP42" i="14"/>
  <c r="Q55" i="15"/>
  <c r="L16" i="9"/>
  <c r="L19" i="9" s="1"/>
  <c r="L21" i="9" s="1"/>
  <c r="L25" i="9" s="1"/>
  <c r="M15" i="9"/>
  <c r="F661" i="7" l="1"/>
  <c r="F676" i="7"/>
  <c r="Q68" i="15"/>
  <c r="F406" i="7"/>
  <c r="F391" i="7"/>
  <c r="D13" i="12"/>
  <c r="D21" i="12" s="1"/>
  <c r="E611" i="7"/>
  <c r="E622" i="7"/>
  <c r="F560" i="7"/>
  <c r="E59" i="7"/>
  <c r="S131" i="14"/>
  <c r="S56" i="14" s="1"/>
  <c r="E33" i="15"/>
  <c r="R83" i="14"/>
  <c r="D62" i="15" s="1"/>
  <c r="R66" i="14"/>
  <c r="R80" i="14" s="1"/>
  <c r="AF147" i="13"/>
  <c r="AG147" i="13" s="1"/>
  <c r="AH147" i="13" s="1"/>
  <c r="AI147" i="13" s="1"/>
  <c r="AJ147" i="13" s="1"/>
  <c r="AK147" i="13" s="1"/>
  <c r="AL147" i="13" s="1"/>
  <c r="AM147" i="13" s="1"/>
  <c r="AN147" i="13" s="1"/>
  <c r="AO147" i="13" s="1"/>
  <c r="AP147" i="13" s="1"/>
  <c r="AQ147" i="13" s="1"/>
  <c r="C149" i="13"/>
  <c r="F154" i="7"/>
  <c r="F139" i="7"/>
  <c r="E348" i="7"/>
  <c r="F95" i="7"/>
  <c r="S107" i="14"/>
  <c r="S34" i="14" s="1"/>
  <c r="E267" i="20"/>
  <c r="F32" i="15"/>
  <c r="T113" i="14"/>
  <c r="Q25" i="15"/>
  <c r="E12" i="12"/>
  <c r="F640" i="7"/>
  <c r="F651" i="7"/>
  <c r="D380" i="20"/>
  <c r="E23" i="15"/>
  <c r="S101" i="14"/>
  <c r="P11" i="12"/>
  <c r="E8" i="12"/>
  <c r="F452" i="7"/>
  <c r="F463" i="7"/>
  <c r="AA143" i="13"/>
  <c r="AA147" i="13" s="1"/>
  <c r="AA149" i="13" s="1"/>
  <c r="V147" i="13"/>
  <c r="V149" i="13" s="1"/>
  <c r="D379" i="20"/>
  <c r="E30" i="15"/>
  <c r="S117" i="14"/>
  <c r="P10" i="12"/>
  <c r="E9" i="12"/>
  <c r="F505" i="7"/>
  <c r="F516" i="7"/>
  <c r="E71" i="4"/>
  <c r="E80" i="4"/>
  <c r="E286" i="7"/>
  <c r="E240" i="7"/>
  <c r="F273" i="7"/>
  <c r="F262" i="7"/>
  <c r="N15" i="9"/>
  <c r="N16" i="9" s="1"/>
  <c r="M16" i="9"/>
  <c r="M19" i="9" s="1"/>
  <c r="M21" i="9" s="1"/>
  <c r="M25" i="9" s="1"/>
  <c r="S91" i="14"/>
  <c r="S31" i="14" s="1"/>
  <c r="Q143" i="13"/>
  <c r="Q147" i="13" s="1"/>
  <c r="Q149" i="13" s="1"/>
  <c r="O147" i="13"/>
  <c r="O149" i="13" s="1"/>
  <c r="AF29" i="13"/>
  <c r="AG29" i="13" s="1"/>
  <c r="AH29" i="13" s="1"/>
  <c r="AI29" i="13" s="1"/>
  <c r="AJ29" i="13" s="1"/>
  <c r="AK29" i="13" s="1"/>
  <c r="AL29" i="13" s="1"/>
  <c r="AM29" i="13" s="1"/>
  <c r="AN29" i="13" s="1"/>
  <c r="AO29" i="13" s="1"/>
  <c r="AP29" i="13" s="1"/>
  <c r="AQ29" i="13" s="1"/>
  <c r="C50" i="13"/>
  <c r="C38" i="13"/>
  <c r="D41" i="13" l="1"/>
  <c r="D57" i="12"/>
  <c r="F86" i="7"/>
  <c r="F97" i="7"/>
  <c r="AE56" i="14"/>
  <c r="S119" i="14"/>
  <c r="S36" i="14" s="1"/>
  <c r="S103" i="14"/>
  <c r="S33" i="14" s="1"/>
  <c r="U267" i="20"/>
  <c r="F353" i="7"/>
  <c r="F338" i="7"/>
  <c r="R168" i="14"/>
  <c r="C173" i="13"/>
  <c r="D63" i="15"/>
  <c r="F64" i="7"/>
  <c r="F49" i="7"/>
  <c r="AE31" i="14"/>
  <c r="F245" i="7"/>
  <c r="F230" i="7"/>
  <c r="Q30" i="15"/>
  <c r="Q23" i="15"/>
  <c r="F408" i="7"/>
  <c r="AF38" i="13"/>
  <c r="C411" i="20"/>
  <c r="G565" i="7"/>
  <c r="G550" i="7"/>
  <c r="R164" i="14"/>
  <c r="AF50" i="13"/>
  <c r="E290" i="7"/>
  <c r="E291" i="7" s="1"/>
  <c r="E293" i="7"/>
  <c r="E211" i="7"/>
  <c r="E288" i="7"/>
  <c r="F278" i="7" s="1"/>
  <c r="F156" i="7"/>
  <c r="N19" i="9"/>
  <c r="O16" i="9"/>
  <c r="Q16" i="9" s="1"/>
  <c r="F507" i="7"/>
  <c r="F454" i="7"/>
  <c r="C158" i="13"/>
  <c r="AF149" i="13"/>
  <c r="AG149" i="13" s="1"/>
  <c r="AH149" i="13" s="1"/>
  <c r="AI149" i="13" s="1"/>
  <c r="AJ149" i="13" s="1"/>
  <c r="AK149" i="13" s="1"/>
  <c r="AL149" i="13" s="1"/>
  <c r="AM149" i="13" s="1"/>
  <c r="AN149" i="13" s="1"/>
  <c r="AO149" i="13" s="1"/>
  <c r="AP149" i="13" s="1"/>
  <c r="AQ149" i="13" s="1"/>
  <c r="C170" i="13"/>
  <c r="AE34" i="14"/>
  <c r="E73" i="4"/>
  <c r="E378" i="20"/>
  <c r="F74" i="15"/>
  <c r="T97" i="14"/>
  <c r="E377" i="20"/>
  <c r="F71" i="15"/>
  <c r="T93" i="14"/>
  <c r="F642" i="7"/>
  <c r="T115" i="14"/>
  <c r="T40" i="14" s="1"/>
  <c r="E613" i="7"/>
  <c r="F678" i="7"/>
  <c r="F264" i="7"/>
  <c r="E381" i="20"/>
  <c r="T134" i="14"/>
  <c r="Q33" i="15"/>
  <c r="D382" i="20"/>
  <c r="D388" i="20" s="1"/>
  <c r="E19" i="15"/>
  <c r="S121" i="14"/>
  <c r="P13" i="12"/>
  <c r="P21" i="12" s="1"/>
  <c r="P57" i="12" s="1"/>
  <c r="S59" i="14" l="1"/>
  <c r="U381" i="20"/>
  <c r="U378" i="20"/>
  <c r="G567" i="7"/>
  <c r="F66" i="7"/>
  <c r="E20" i="11"/>
  <c r="F680" i="7"/>
  <c r="F669" i="7"/>
  <c r="F63" i="4"/>
  <c r="F78" i="4"/>
  <c r="C191" i="13"/>
  <c r="AF170" i="13"/>
  <c r="N21" i="9"/>
  <c r="O19" i="9"/>
  <c r="Q19" i="9" s="1"/>
  <c r="E218" i="7"/>
  <c r="E215" i="7"/>
  <c r="E216" i="7" s="1"/>
  <c r="E213" i="7"/>
  <c r="F203" i="7" s="1"/>
  <c r="F603" i="7"/>
  <c r="F618" i="7"/>
  <c r="T95" i="14"/>
  <c r="T37" i="14" s="1"/>
  <c r="E295" i="7"/>
  <c r="F247" i="7"/>
  <c r="AF173" i="13"/>
  <c r="C53" i="13"/>
  <c r="F88" i="7"/>
  <c r="AE33" i="14"/>
  <c r="E7" i="12"/>
  <c r="F399" i="7"/>
  <c r="F410" i="7"/>
  <c r="AF158" i="13"/>
  <c r="T28" i="14"/>
  <c r="F55" i="15"/>
  <c r="U377" i="20"/>
  <c r="G444" i="7"/>
  <c r="G459" i="7"/>
  <c r="F355" i="7"/>
  <c r="Q19" i="15"/>
  <c r="T99" i="14"/>
  <c r="T39" i="14" s="1"/>
  <c r="G512" i="7"/>
  <c r="G497" i="7"/>
  <c r="E18" i="11"/>
  <c r="F147" i="7"/>
  <c r="F158" i="7"/>
  <c r="AE36" i="14"/>
  <c r="S123" i="14"/>
  <c r="S41" i="14" s="1"/>
  <c r="G269" i="7"/>
  <c r="G254" i="7"/>
  <c r="G632" i="7"/>
  <c r="G647" i="7"/>
  <c r="AG41" i="13"/>
  <c r="D48" i="13"/>
  <c r="AG48" i="13" s="1"/>
  <c r="D161" i="13"/>
  <c r="P41" i="13"/>
  <c r="P48" i="13" s="1"/>
  <c r="G461" i="7" l="1"/>
  <c r="G93" i="7"/>
  <c r="G78" i="7"/>
  <c r="F238" i="7"/>
  <c r="F249" i="7"/>
  <c r="S61" i="14"/>
  <c r="S64" i="14"/>
  <c r="AE41" i="14"/>
  <c r="AE59" i="14" s="1"/>
  <c r="AE61" i="14" s="1"/>
  <c r="F149" i="7"/>
  <c r="E11" i="12"/>
  <c r="F57" i="7"/>
  <c r="F68" i="7"/>
  <c r="D168" i="13"/>
  <c r="AG168" i="13" s="1"/>
  <c r="AG161" i="13"/>
  <c r="P161" i="13"/>
  <c r="P168" i="13" s="1"/>
  <c r="G649" i="7"/>
  <c r="E268" i="20"/>
  <c r="F25" i="15"/>
  <c r="T105" i="14"/>
  <c r="C402" i="20"/>
  <c r="AF53" i="13"/>
  <c r="AF191" i="13"/>
  <c r="C194" i="13"/>
  <c r="F71" i="4"/>
  <c r="F73" i="4" s="1"/>
  <c r="F80" i="4"/>
  <c r="G514" i="7"/>
  <c r="F401" i="7"/>
  <c r="E10" i="12"/>
  <c r="F346" i="7"/>
  <c r="F357" i="7"/>
  <c r="E376" i="20"/>
  <c r="F68" i="15"/>
  <c r="T89" i="14"/>
  <c r="F620" i="7"/>
  <c r="D19" i="11"/>
  <c r="E220" i="7"/>
  <c r="F671" i="7"/>
  <c r="G271" i="7"/>
  <c r="N25" i="9"/>
  <c r="O21" i="9"/>
  <c r="F17" i="11"/>
  <c r="G569" i="7"/>
  <c r="G558" i="7"/>
  <c r="E270" i="20"/>
  <c r="T129" i="14"/>
  <c r="G63" i="4" l="1"/>
  <c r="G78" i="4"/>
  <c r="T107" i="14"/>
  <c r="T34" i="14" s="1"/>
  <c r="F8" i="12"/>
  <c r="G452" i="7"/>
  <c r="G463" i="7"/>
  <c r="Q21" i="9"/>
  <c r="Q25" i="9" s="1"/>
  <c r="O25" i="9"/>
  <c r="U376" i="20"/>
  <c r="G406" i="7"/>
  <c r="G391" i="7"/>
  <c r="U268" i="20"/>
  <c r="S83" i="14"/>
  <c r="E62" i="15" s="1"/>
  <c r="S66" i="14"/>
  <c r="S80" i="14" s="1"/>
  <c r="AE64" i="14"/>
  <c r="D269" i="20"/>
  <c r="E27" i="15"/>
  <c r="P19" i="11"/>
  <c r="P24" i="11" s="1"/>
  <c r="P51" i="11" s="1"/>
  <c r="D24" i="11"/>
  <c r="F59" i="7"/>
  <c r="C197" i="13"/>
  <c r="AF194" i="13"/>
  <c r="F12" i="12"/>
  <c r="G640" i="7"/>
  <c r="G651" i="7"/>
  <c r="E380" i="20"/>
  <c r="F23" i="15"/>
  <c r="T101" i="14"/>
  <c r="U270" i="20"/>
  <c r="G560" i="7"/>
  <c r="G273" i="7"/>
  <c r="G262" i="7"/>
  <c r="E13" i="12"/>
  <c r="F622" i="7"/>
  <c r="F611" i="7"/>
  <c r="F9" i="12"/>
  <c r="G516" i="7"/>
  <c r="G505" i="7"/>
  <c r="F286" i="7"/>
  <c r="F240" i="7"/>
  <c r="F348" i="7"/>
  <c r="G139" i="7"/>
  <c r="G154" i="7"/>
  <c r="T131" i="14"/>
  <c r="T56" i="14" s="1"/>
  <c r="F33" i="15"/>
  <c r="F267" i="20"/>
  <c r="G32" i="15"/>
  <c r="U113" i="14"/>
  <c r="G661" i="7"/>
  <c r="G676" i="7"/>
  <c r="T91" i="14"/>
  <c r="T31" i="14" s="1"/>
  <c r="E379" i="20"/>
  <c r="F30" i="15"/>
  <c r="T117" i="14"/>
  <c r="G95" i="7"/>
  <c r="G230" i="7" l="1"/>
  <c r="G245" i="7"/>
  <c r="AF197" i="13"/>
  <c r="C210" i="13"/>
  <c r="G71" i="4"/>
  <c r="G73" i="4" s="1"/>
  <c r="G80" i="4"/>
  <c r="T119" i="14"/>
  <c r="T36" i="14" s="1"/>
  <c r="F290" i="7"/>
  <c r="F291" i="7" s="1"/>
  <c r="F211" i="7"/>
  <c r="F293" i="7"/>
  <c r="F288" i="7"/>
  <c r="G278" i="7" s="1"/>
  <c r="G49" i="7"/>
  <c r="G64" i="7"/>
  <c r="D456" i="20"/>
  <c r="D287" i="20"/>
  <c r="D289" i="20" s="1"/>
  <c r="G507" i="7"/>
  <c r="H565" i="7"/>
  <c r="H567" i="7" s="1"/>
  <c r="H550" i="7"/>
  <c r="AE83" i="14"/>
  <c r="AE66" i="14"/>
  <c r="AE80" i="14" s="1"/>
  <c r="AE168" i="14" s="1"/>
  <c r="G454" i="7"/>
  <c r="U379" i="20"/>
  <c r="G156" i="7"/>
  <c r="G408" i="7"/>
  <c r="F377" i="20"/>
  <c r="G71" i="15"/>
  <c r="U93" i="14"/>
  <c r="F378" i="20"/>
  <c r="G74" i="15"/>
  <c r="U97" i="14"/>
  <c r="G642" i="7"/>
  <c r="F613" i="7"/>
  <c r="D33" i="13"/>
  <c r="D51" i="11"/>
  <c r="T103" i="14"/>
  <c r="T33" i="14" s="1"/>
  <c r="S168" i="14"/>
  <c r="D173" i="13"/>
  <c r="E63" i="15"/>
  <c r="G353" i="7"/>
  <c r="G338" i="7"/>
  <c r="F381" i="20"/>
  <c r="U134" i="14"/>
  <c r="Q62" i="15"/>
  <c r="G678" i="7"/>
  <c r="E388" i="20"/>
  <c r="G86" i="7"/>
  <c r="G97" i="7"/>
  <c r="E382" i="20"/>
  <c r="F19" i="15"/>
  <c r="T121" i="14"/>
  <c r="E21" i="12"/>
  <c r="G264" i="7"/>
  <c r="Q27" i="15"/>
  <c r="U115" i="14"/>
  <c r="U40" i="14" s="1"/>
  <c r="U380" i="20"/>
  <c r="H63" i="4" l="1"/>
  <c r="H78" i="4"/>
  <c r="H647" i="7"/>
  <c r="H649" i="7" s="1"/>
  <c r="H632" i="7"/>
  <c r="E41" i="13"/>
  <c r="E57" i="12"/>
  <c r="F18" i="11"/>
  <c r="G147" i="7"/>
  <c r="G158" i="7"/>
  <c r="D290" i="20"/>
  <c r="D363" i="20"/>
  <c r="D374" i="20" s="1"/>
  <c r="F295" i="7"/>
  <c r="U28" i="14"/>
  <c r="G55" i="15"/>
  <c r="AG33" i="13"/>
  <c r="D153" i="13"/>
  <c r="D36" i="13"/>
  <c r="P33" i="13"/>
  <c r="P36" i="13" s="1"/>
  <c r="U99" i="14"/>
  <c r="U39" i="14" s="1"/>
  <c r="G17" i="11"/>
  <c r="H558" i="7"/>
  <c r="H560" i="7" s="1"/>
  <c r="H569" i="7"/>
  <c r="D457" i="20"/>
  <c r="D484" i="20" s="1"/>
  <c r="D493" i="20" s="1"/>
  <c r="F215" i="7"/>
  <c r="F216" i="7" s="1"/>
  <c r="F218" i="7"/>
  <c r="F213" i="7"/>
  <c r="G203" i="7" s="1"/>
  <c r="AG173" i="13"/>
  <c r="D53" i="13"/>
  <c r="P173" i="13"/>
  <c r="T123" i="14"/>
  <c r="T41" i="14" s="1"/>
  <c r="G603" i="7"/>
  <c r="G618" i="7"/>
  <c r="H512" i="7"/>
  <c r="H514" i="7" s="1"/>
  <c r="H497" i="7"/>
  <c r="C175" i="13"/>
  <c r="AF210" i="13"/>
  <c r="H459" i="7"/>
  <c r="H444" i="7"/>
  <c r="U382" i="20"/>
  <c r="F20" i="11"/>
  <c r="G669" i="7"/>
  <c r="G680" i="7"/>
  <c r="G355" i="7"/>
  <c r="T59" i="14"/>
  <c r="G66" i="7"/>
  <c r="G88" i="7"/>
  <c r="U95" i="14"/>
  <c r="U37" i="14" s="1"/>
  <c r="Q63" i="15"/>
  <c r="G247" i="7"/>
  <c r="H254" i="7"/>
  <c r="H269" i="7"/>
  <c r="F7" i="12"/>
  <c r="G410" i="7"/>
  <c r="G399" i="7"/>
  <c r="I565" i="7" l="1"/>
  <c r="I567" i="7" s="1"/>
  <c r="I550" i="7"/>
  <c r="G401" i="7"/>
  <c r="F10" i="12"/>
  <c r="G357" i="7"/>
  <c r="G346" i="7"/>
  <c r="H461" i="7"/>
  <c r="G620" i="7"/>
  <c r="D402" i="20"/>
  <c r="AG53" i="13"/>
  <c r="P53" i="13"/>
  <c r="P38" i="13"/>
  <c r="P50" i="13"/>
  <c r="AH41" i="13"/>
  <c r="E48" i="13"/>
  <c r="AH48" i="13" s="1"/>
  <c r="E161" i="13"/>
  <c r="V41" i="13"/>
  <c r="G9" i="12"/>
  <c r="H505" i="7"/>
  <c r="H516" i="7"/>
  <c r="F11" i="12"/>
  <c r="G57" i="7"/>
  <c r="G68" i="7"/>
  <c r="AG36" i="13"/>
  <c r="D38" i="13"/>
  <c r="D50" i="13"/>
  <c r="F376" i="20"/>
  <c r="G68" i="15"/>
  <c r="U89" i="14"/>
  <c r="G671" i="7"/>
  <c r="D399" i="20"/>
  <c r="D411" i="20"/>
  <c r="D498" i="20"/>
  <c r="H271" i="7"/>
  <c r="F270" i="20"/>
  <c r="U129" i="14"/>
  <c r="C172" i="13"/>
  <c r="AF175" i="13"/>
  <c r="C177" i="13"/>
  <c r="AF177" i="13" s="1"/>
  <c r="G267" i="20"/>
  <c r="H32" i="15"/>
  <c r="V113" i="14"/>
  <c r="AG153" i="13"/>
  <c r="D156" i="13"/>
  <c r="P153" i="13"/>
  <c r="P156" i="13" s="1"/>
  <c r="U388" i="20"/>
  <c r="H507" i="7"/>
  <c r="E19" i="11"/>
  <c r="F220" i="7"/>
  <c r="G12" i="12"/>
  <c r="H651" i="7"/>
  <c r="H640" i="7"/>
  <c r="H642" i="7" s="1"/>
  <c r="G249" i="7"/>
  <c r="G238" i="7"/>
  <c r="H93" i="7"/>
  <c r="H78" i="7"/>
  <c r="G149" i="7"/>
  <c r="H71" i="4"/>
  <c r="H73" i="4" s="1"/>
  <c r="H80" i="4"/>
  <c r="T64" i="14"/>
  <c r="T61" i="14"/>
  <c r="F268" i="20"/>
  <c r="G25" i="15"/>
  <c r="U105" i="14"/>
  <c r="I63" i="4" l="1"/>
  <c r="I78" i="4"/>
  <c r="I647" i="7"/>
  <c r="I649" i="7" s="1"/>
  <c r="I632" i="7"/>
  <c r="F21" i="12"/>
  <c r="T83" i="14"/>
  <c r="F62" i="15" s="1"/>
  <c r="T66" i="14"/>
  <c r="T80" i="14" s="1"/>
  <c r="U107" i="14"/>
  <c r="U34" i="14" s="1"/>
  <c r="G286" i="7"/>
  <c r="G240" i="7"/>
  <c r="H154" i="7"/>
  <c r="H139" i="7"/>
  <c r="H273" i="7"/>
  <c r="H262" i="7"/>
  <c r="H264" i="7" s="1"/>
  <c r="AH161" i="13"/>
  <c r="E168" i="13"/>
  <c r="AH168" i="13" s="1"/>
  <c r="V161" i="13"/>
  <c r="G348" i="7"/>
  <c r="E269" i="20"/>
  <c r="F27" i="15"/>
  <c r="E24" i="11"/>
  <c r="AG156" i="13"/>
  <c r="D170" i="13"/>
  <c r="D158" i="13"/>
  <c r="G59" i="7"/>
  <c r="I512" i="7"/>
  <c r="I514" i="7" s="1"/>
  <c r="I497" i="7"/>
  <c r="AF172" i="13"/>
  <c r="C52" i="13"/>
  <c r="H406" i="7"/>
  <c r="H408" i="7" s="1"/>
  <c r="H391" i="7"/>
  <c r="F380" i="20"/>
  <c r="G23" i="15"/>
  <c r="U101" i="14"/>
  <c r="F379" i="20"/>
  <c r="G30" i="15"/>
  <c r="U117" i="14"/>
  <c r="G381" i="20"/>
  <c r="V134" i="14"/>
  <c r="V115" i="14"/>
  <c r="V40" i="14" s="1"/>
  <c r="H661" i="7"/>
  <c r="H676" i="7"/>
  <c r="U131" i="14"/>
  <c r="U56" i="14" s="1"/>
  <c r="G33" i="15"/>
  <c r="G378" i="20"/>
  <c r="H74" i="15"/>
  <c r="V97" i="14"/>
  <c r="H95" i="7"/>
  <c r="P170" i="13"/>
  <c r="P158" i="13"/>
  <c r="AG38" i="13"/>
  <c r="S164" i="14"/>
  <c r="AG50" i="13"/>
  <c r="F13" i="12"/>
  <c r="G611" i="7"/>
  <c r="G622" i="7"/>
  <c r="U91" i="14"/>
  <c r="U31" i="14" s="1"/>
  <c r="V48" i="13"/>
  <c r="G8" i="12"/>
  <c r="H452" i="7"/>
  <c r="H454" i="7" s="1"/>
  <c r="H463" i="7"/>
  <c r="H17" i="11"/>
  <c r="I569" i="7"/>
  <c r="I558" i="7"/>
  <c r="I560" i="7" s="1"/>
  <c r="J565" i="7" l="1"/>
  <c r="J567" i="7" s="1"/>
  <c r="J550" i="7"/>
  <c r="AG170" i="13"/>
  <c r="D191" i="13"/>
  <c r="G290" i="7"/>
  <c r="G291" i="7" s="1"/>
  <c r="G293" i="7"/>
  <c r="G211" i="7"/>
  <c r="G288" i="7"/>
  <c r="H278" i="7" s="1"/>
  <c r="H156" i="7"/>
  <c r="G377" i="20"/>
  <c r="H71" i="15"/>
  <c r="V93" i="14"/>
  <c r="V28" i="14"/>
  <c r="H55" i="15"/>
  <c r="G7" i="12"/>
  <c r="H399" i="7"/>
  <c r="H401" i="7" s="1"/>
  <c r="H410" i="7"/>
  <c r="E33" i="13"/>
  <c r="E51" i="11"/>
  <c r="U103" i="14"/>
  <c r="U33" i="14" s="1"/>
  <c r="C401" i="20"/>
  <c r="AF52" i="13"/>
  <c r="C55" i="13"/>
  <c r="D60" i="15"/>
  <c r="T168" i="14"/>
  <c r="E173" i="13"/>
  <c r="F63" i="15"/>
  <c r="H97" i="7"/>
  <c r="H86" i="7"/>
  <c r="H64" i="7"/>
  <c r="H49" i="7"/>
  <c r="I269" i="7"/>
  <c r="I254" i="7"/>
  <c r="F41" i="13"/>
  <c r="F57" i="12"/>
  <c r="U119" i="14"/>
  <c r="U36" i="14" s="1"/>
  <c r="V168" i="13"/>
  <c r="I444" i="7"/>
  <c r="I459" i="7"/>
  <c r="I461" i="7" s="1"/>
  <c r="E456" i="20"/>
  <c r="E287" i="20"/>
  <c r="E289" i="20" s="1"/>
  <c r="U269" i="20"/>
  <c r="G613" i="7"/>
  <c r="H678" i="7"/>
  <c r="H353" i="7"/>
  <c r="H355" i="7" s="1"/>
  <c r="H338" i="7"/>
  <c r="H230" i="7"/>
  <c r="H245" i="7"/>
  <c r="H247" i="7" s="1"/>
  <c r="H267" i="20"/>
  <c r="I32" i="15"/>
  <c r="W113" i="14"/>
  <c r="W115" i="14" s="1"/>
  <c r="W40" i="14" s="1"/>
  <c r="F382" i="20"/>
  <c r="G19" i="15"/>
  <c r="U121" i="14"/>
  <c r="V99" i="14"/>
  <c r="V39" i="14" s="1"/>
  <c r="AG158" i="13"/>
  <c r="I642" i="7"/>
  <c r="H12" i="12"/>
  <c r="I640" i="7"/>
  <c r="I651" i="7"/>
  <c r="I80" i="4"/>
  <c r="I71" i="4"/>
  <c r="H9" i="12"/>
  <c r="I516" i="7"/>
  <c r="I505" i="7"/>
  <c r="I507" i="7" s="1"/>
  <c r="I73" i="4"/>
  <c r="J512" i="7" l="1"/>
  <c r="J514" i="7" s="1"/>
  <c r="J497" i="7"/>
  <c r="I406" i="7"/>
  <c r="I408" i="7" s="1"/>
  <c r="I391" i="7"/>
  <c r="E457" i="20"/>
  <c r="E484" i="20" s="1"/>
  <c r="E493" i="20" s="1"/>
  <c r="U456" i="20"/>
  <c r="H378" i="20"/>
  <c r="V378" i="20" s="1"/>
  <c r="I74" i="15"/>
  <c r="W97" i="14"/>
  <c r="W99" i="14" s="1"/>
  <c r="W39" i="14" s="1"/>
  <c r="F388" i="20"/>
  <c r="G10" i="12"/>
  <c r="H346" i="7"/>
  <c r="H357" i="7"/>
  <c r="AI41" i="13"/>
  <c r="F48" i="13"/>
  <c r="AI48" i="13" s="1"/>
  <c r="F161" i="13"/>
  <c r="G215" i="7"/>
  <c r="G216" i="7" s="1"/>
  <c r="G218" i="7"/>
  <c r="G213" i="7"/>
  <c r="H203" i="7" s="1"/>
  <c r="H8" i="12"/>
  <c r="I452" i="7"/>
  <c r="I454" i="7" s="1"/>
  <c r="I463" i="7"/>
  <c r="R170" i="14"/>
  <c r="AF55" i="13"/>
  <c r="D64" i="15"/>
  <c r="C57" i="13"/>
  <c r="V95" i="14"/>
  <c r="V37" i="14" s="1"/>
  <c r="G295" i="7"/>
  <c r="I271" i="7"/>
  <c r="U287" i="20"/>
  <c r="U289" i="20" s="1"/>
  <c r="U363" i="20" s="1"/>
  <c r="U374" i="20" s="1"/>
  <c r="D194" i="13"/>
  <c r="AG191" i="13"/>
  <c r="P191" i="13"/>
  <c r="P194" i="13" s="1"/>
  <c r="AH173" i="13"/>
  <c r="E53" i="13"/>
  <c r="V173" i="13"/>
  <c r="AH33" i="13"/>
  <c r="E153" i="13"/>
  <c r="E36" i="13"/>
  <c r="V33" i="13"/>
  <c r="J63" i="4"/>
  <c r="J78" i="4"/>
  <c r="H381" i="20"/>
  <c r="V381" i="20" s="1"/>
  <c r="W134" i="14"/>
  <c r="V267" i="20"/>
  <c r="G20" i="11"/>
  <c r="H669" i="7"/>
  <c r="H680" i="7"/>
  <c r="H66" i="7"/>
  <c r="C403" i="20"/>
  <c r="G376" i="20"/>
  <c r="H68" i="15"/>
  <c r="V89" i="14"/>
  <c r="H238" i="7"/>
  <c r="H240" i="7" s="1"/>
  <c r="H249" i="7"/>
  <c r="H603" i="7"/>
  <c r="H618" i="7"/>
  <c r="E290" i="20"/>
  <c r="E363" i="20"/>
  <c r="E374" i="20" s="1"/>
  <c r="H88" i="7"/>
  <c r="G18" i="11"/>
  <c r="H147" i="7"/>
  <c r="H149" i="7" s="1"/>
  <c r="H158" i="7"/>
  <c r="U123" i="14"/>
  <c r="U41" i="14" s="1"/>
  <c r="J632" i="7"/>
  <c r="J647" i="7"/>
  <c r="J649" i="7" s="1"/>
  <c r="H348" i="7"/>
  <c r="I17" i="11"/>
  <c r="J558" i="7"/>
  <c r="J560" i="7" s="1"/>
  <c r="J569" i="7"/>
  <c r="I230" i="7" l="1"/>
  <c r="I245" i="7"/>
  <c r="I247" i="7" s="1"/>
  <c r="J459" i="7"/>
  <c r="J461" i="7" s="1"/>
  <c r="J444" i="7"/>
  <c r="K550" i="7"/>
  <c r="K565" i="7"/>
  <c r="K567" i="7" s="1"/>
  <c r="AF57" i="13"/>
  <c r="AF179" i="13" s="1"/>
  <c r="C179" i="13"/>
  <c r="D65" i="15"/>
  <c r="F168" i="13"/>
  <c r="AI168" i="13" s="1"/>
  <c r="AI161" i="13"/>
  <c r="I93" i="7"/>
  <c r="I95" i="7" s="1"/>
  <c r="I78" i="7"/>
  <c r="W28" i="14"/>
  <c r="I55" i="15"/>
  <c r="AH36" i="13"/>
  <c r="E50" i="13"/>
  <c r="E38" i="13"/>
  <c r="H377" i="20"/>
  <c r="V377" i="20" s="1"/>
  <c r="I71" i="15"/>
  <c r="W93" i="14"/>
  <c r="W95" i="14" s="1"/>
  <c r="W37" i="14" s="1"/>
  <c r="V91" i="14"/>
  <c r="V31" i="14" s="1"/>
  <c r="G11" i="12"/>
  <c r="H57" i="7"/>
  <c r="H59" i="7" s="1"/>
  <c r="H68" i="7"/>
  <c r="AH153" i="13"/>
  <c r="E156" i="13"/>
  <c r="V153" i="13"/>
  <c r="AG194" i="13"/>
  <c r="D197" i="13"/>
  <c r="U457" i="20"/>
  <c r="U484" i="20" s="1"/>
  <c r="U493" i="20" s="1"/>
  <c r="U498" i="20" s="1"/>
  <c r="U290" i="20"/>
  <c r="H286" i="7"/>
  <c r="J80" i="4"/>
  <c r="J71" i="4"/>
  <c r="J73" i="4" s="1"/>
  <c r="H671" i="7"/>
  <c r="U59" i="14"/>
  <c r="I267" i="20"/>
  <c r="J32" i="15"/>
  <c r="X113" i="14"/>
  <c r="X115" i="14" s="1"/>
  <c r="X40" i="14" s="1"/>
  <c r="H620" i="7"/>
  <c r="G270" i="20"/>
  <c r="V129" i="14"/>
  <c r="U399" i="20"/>
  <c r="F19" i="11"/>
  <c r="G220" i="7"/>
  <c r="I353" i="7"/>
  <c r="I355" i="7" s="1"/>
  <c r="I338" i="7"/>
  <c r="G379" i="20"/>
  <c r="H30" i="15"/>
  <c r="V117" i="14"/>
  <c r="H7" i="12"/>
  <c r="I410" i="7"/>
  <c r="I399" i="7"/>
  <c r="I401" i="7" s="1"/>
  <c r="G268" i="20"/>
  <c r="H25" i="15"/>
  <c r="V105" i="14"/>
  <c r="E399" i="20"/>
  <c r="E498" i="20"/>
  <c r="E411" i="20"/>
  <c r="R167" i="14"/>
  <c r="R172" i="14"/>
  <c r="I12" i="12"/>
  <c r="J640" i="7"/>
  <c r="J642" i="7" s="1"/>
  <c r="J651" i="7"/>
  <c r="I154" i="7"/>
  <c r="I156" i="7" s="1"/>
  <c r="I139" i="7"/>
  <c r="C405" i="20"/>
  <c r="V36" i="13"/>
  <c r="V50" i="13" s="1"/>
  <c r="E402" i="20"/>
  <c r="AH53" i="13"/>
  <c r="V53" i="13"/>
  <c r="J507" i="7"/>
  <c r="I273" i="7"/>
  <c r="I262" i="7"/>
  <c r="I264" i="7" s="1"/>
  <c r="I9" i="12"/>
  <c r="J505" i="7"/>
  <c r="J516" i="7"/>
  <c r="K632" i="7" l="1"/>
  <c r="K647" i="7"/>
  <c r="K649" i="7" s="1"/>
  <c r="J406" i="7"/>
  <c r="J408" i="7" s="1"/>
  <c r="J391" i="7"/>
  <c r="K63" i="4"/>
  <c r="K78" i="4"/>
  <c r="AH156" i="13"/>
  <c r="E170" i="13"/>
  <c r="E158" i="13"/>
  <c r="I149" i="7"/>
  <c r="H18" i="11"/>
  <c r="I158" i="7"/>
  <c r="I147" i="7"/>
  <c r="U402" i="20"/>
  <c r="F269" i="20"/>
  <c r="G27" i="15"/>
  <c r="F24" i="11"/>
  <c r="U61" i="14"/>
  <c r="U64" i="14"/>
  <c r="H211" i="7"/>
  <c r="H290" i="7"/>
  <c r="H291" i="7" s="1"/>
  <c r="H293" i="7"/>
  <c r="H288" i="7"/>
  <c r="I278" i="7" s="1"/>
  <c r="I288" i="7" s="1"/>
  <c r="J278" i="7" s="1"/>
  <c r="D210" i="13"/>
  <c r="AG197" i="13"/>
  <c r="P197" i="13"/>
  <c r="I49" i="7"/>
  <c r="I64" i="7"/>
  <c r="I66" i="7" s="1"/>
  <c r="I86" i="7"/>
  <c r="I88" i="7" s="1"/>
  <c r="I97" i="7"/>
  <c r="K497" i="7"/>
  <c r="K512" i="7"/>
  <c r="K514" i="7" s="1"/>
  <c r="I378" i="20"/>
  <c r="J74" i="15"/>
  <c r="X97" i="14"/>
  <c r="X99" i="14" s="1"/>
  <c r="X39" i="14" s="1"/>
  <c r="K560" i="7"/>
  <c r="G380" i="20"/>
  <c r="H23" i="15"/>
  <c r="V101" i="14"/>
  <c r="J17" i="11"/>
  <c r="K558" i="7"/>
  <c r="K569" i="7"/>
  <c r="J254" i="7"/>
  <c r="J269" i="7"/>
  <c r="J271" i="7" s="1"/>
  <c r="I381" i="20"/>
  <c r="X134" i="14"/>
  <c r="V156" i="13"/>
  <c r="V170" i="13" s="1"/>
  <c r="AH38" i="13"/>
  <c r="V38" i="13"/>
  <c r="C412" i="20"/>
  <c r="C409" i="20"/>
  <c r="H376" i="20"/>
  <c r="I68" i="15"/>
  <c r="W89" i="14"/>
  <c r="W91" i="14" s="1"/>
  <c r="W31" i="14" s="1"/>
  <c r="G13" i="12"/>
  <c r="H622" i="7"/>
  <c r="H611" i="7"/>
  <c r="H613" i="7" s="1"/>
  <c r="I661" i="7"/>
  <c r="I676" i="7"/>
  <c r="I678" i="7" s="1"/>
  <c r="T164" i="14"/>
  <c r="AH50" i="13"/>
  <c r="J454" i="7"/>
  <c r="I348" i="7"/>
  <c r="I8" i="12"/>
  <c r="J452" i="7"/>
  <c r="J463" i="7"/>
  <c r="V119" i="14"/>
  <c r="V36" i="14" s="1"/>
  <c r="H10" i="12"/>
  <c r="I357" i="7"/>
  <c r="I346" i="7"/>
  <c r="V131" i="14"/>
  <c r="V56" i="14" s="1"/>
  <c r="H33" i="15"/>
  <c r="D76" i="15"/>
  <c r="I238" i="7"/>
  <c r="I286" i="7" s="1"/>
  <c r="I249" i="7"/>
  <c r="V107" i="14"/>
  <c r="V34" i="14" s="1"/>
  <c r="I240" i="7"/>
  <c r="J93" i="7" l="1"/>
  <c r="J95" i="7" s="1"/>
  <c r="J78" i="7"/>
  <c r="H379" i="20"/>
  <c r="V379" i="20" s="1"/>
  <c r="I30" i="15"/>
  <c r="W117" i="14"/>
  <c r="W119" i="14" s="1"/>
  <c r="W36" i="14" s="1"/>
  <c r="G382" i="20"/>
  <c r="H19" i="15"/>
  <c r="V121" i="14"/>
  <c r="AH170" i="13"/>
  <c r="E191" i="13"/>
  <c r="D175" i="13"/>
  <c r="AG210" i="13"/>
  <c r="J230" i="7"/>
  <c r="J245" i="7"/>
  <c r="J247" i="7" s="1"/>
  <c r="L565" i="7"/>
  <c r="L567" i="7" s="1"/>
  <c r="L550" i="7"/>
  <c r="F33" i="13"/>
  <c r="F51" i="11"/>
  <c r="I618" i="7"/>
  <c r="I620" i="7" s="1"/>
  <c r="I603" i="7"/>
  <c r="J267" i="20"/>
  <c r="K32" i="15"/>
  <c r="Y113" i="14"/>
  <c r="Y115" i="14" s="1"/>
  <c r="Y40" i="14" s="1"/>
  <c r="K71" i="4"/>
  <c r="K73" i="4" s="1"/>
  <c r="K80" i="4"/>
  <c r="G21" i="12"/>
  <c r="H11" i="12"/>
  <c r="I57" i="7"/>
  <c r="I68" i="7"/>
  <c r="I293" i="7"/>
  <c r="I295" i="7" s="1"/>
  <c r="I211" i="7"/>
  <c r="I290" i="7"/>
  <c r="I291" i="7" s="1"/>
  <c r="I377" i="20"/>
  <c r="J71" i="15"/>
  <c r="X93" i="14"/>
  <c r="X95" i="14" s="1"/>
  <c r="X37" i="14" s="1"/>
  <c r="H20" i="11"/>
  <c r="I680" i="7"/>
  <c r="I669" i="7"/>
  <c r="I671" i="7" s="1"/>
  <c r="V376" i="20"/>
  <c r="X28" i="14"/>
  <c r="J55" i="15"/>
  <c r="I59" i="7"/>
  <c r="H295" i="7"/>
  <c r="F456" i="20"/>
  <c r="F287" i="20"/>
  <c r="F289" i="20" s="1"/>
  <c r="H268" i="20"/>
  <c r="I25" i="15"/>
  <c r="W105" i="14"/>
  <c r="W107" i="14" s="1"/>
  <c r="W34" i="14" s="1"/>
  <c r="I7" i="12"/>
  <c r="J399" i="7"/>
  <c r="J401" i="7" s="1"/>
  <c r="J410" i="7"/>
  <c r="J353" i="7"/>
  <c r="J355" i="7" s="1"/>
  <c r="J338" i="7"/>
  <c r="J12" i="12"/>
  <c r="K651" i="7"/>
  <c r="K640" i="7"/>
  <c r="K642" i="7" s="1"/>
  <c r="K634" i="7"/>
  <c r="P634" i="7" s="1"/>
  <c r="V103" i="14"/>
  <c r="V33" i="14" s="1"/>
  <c r="K459" i="7"/>
  <c r="K461" i="7" s="1"/>
  <c r="K444" i="7"/>
  <c r="J273" i="7"/>
  <c r="J262" i="7"/>
  <c r="H215" i="7"/>
  <c r="H216" i="7" s="1"/>
  <c r="H218" i="7"/>
  <c r="H213" i="7"/>
  <c r="I203" i="7" s="1"/>
  <c r="I213" i="7" s="1"/>
  <c r="J203" i="7" s="1"/>
  <c r="J154" i="7"/>
  <c r="J156" i="7" s="1"/>
  <c r="J139" i="7"/>
  <c r="J264" i="7"/>
  <c r="G388" i="20"/>
  <c r="J9" i="12"/>
  <c r="K505" i="7"/>
  <c r="K507" i="7" s="1"/>
  <c r="K516" i="7"/>
  <c r="P210" i="13"/>
  <c r="P195" i="13"/>
  <c r="U66" i="14"/>
  <c r="U80" i="14" s="1"/>
  <c r="U83" i="14"/>
  <c r="G62" i="15" s="1"/>
  <c r="AH158" i="13"/>
  <c r="V158" i="13"/>
  <c r="K391" i="7" l="1"/>
  <c r="K406" i="7"/>
  <c r="K408" i="7" s="1"/>
  <c r="L63" i="4"/>
  <c r="L78" i="4"/>
  <c r="J676" i="7"/>
  <c r="J678" i="7" s="1"/>
  <c r="J661" i="7"/>
  <c r="L512" i="7"/>
  <c r="L514" i="7" s="1"/>
  <c r="L497" i="7"/>
  <c r="L632" i="7"/>
  <c r="L647" i="7"/>
  <c r="L649" i="7" s="1"/>
  <c r="I10" i="12"/>
  <c r="J346" i="7"/>
  <c r="J357" i="7"/>
  <c r="J49" i="7"/>
  <c r="J64" i="7"/>
  <c r="J66" i="7" s="1"/>
  <c r="H380" i="20"/>
  <c r="I23" i="15"/>
  <c r="W101" i="14"/>
  <c r="W103" i="14" s="1"/>
  <c r="W33" i="14" s="1"/>
  <c r="AI33" i="13"/>
  <c r="F153" i="13"/>
  <c r="F36" i="13"/>
  <c r="AH191" i="13"/>
  <c r="E194" i="13"/>
  <c r="V191" i="13"/>
  <c r="J378" i="20"/>
  <c r="K74" i="15"/>
  <c r="Y97" i="14"/>
  <c r="Y99" i="14" s="1"/>
  <c r="Y39" i="14" s="1"/>
  <c r="G19" i="11"/>
  <c r="H220" i="7"/>
  <c r="G41" i="13"/>
  <c r="G57" i="12"/>
  <c r="K454" i="7"/>
  <c r="K17" i="11"/>
  <c r="L558" i="7"/>
  <c r="L560" i="7" s="1"/>
  <c r="L569" i="7"/>
  <c r="I376" i="20"/>
  <c r="J68" i="15"/>
  <c r="X89" i="14"/>
  <c r="X91" i="14" s="1"/>
  <c r="X31" i="14" s="1"/>
  <c r="F290" i="20"/>
  <c r="F363" i="20"/>
  <c r="F374" i="20" s="1"/>
  <c r="H13" i="12"/>
  <c r="I622" i="7"/>
  <c r="I611" i="7"/>
  <c r="I613" i="7"/>
  <c r="U168" i="14"/>
  <c r="F173" i="13"/>
  <c r="G63" i="15"/>
  <c r="J381" i="20"/>
  <c r="Y134" i="14"/>
  <c r="F457" i="20"/>
  <c r="F484" i="20" s="1"/>
  <c r="F493" i="20" s="1"/>
  <c r="I215" i="7"/>
  <c r="I216" i="7" s="1"/>
  <c r="I218" i="7"/>
  <c r="D172" i="13"/>
  <c r="AG175" i="13"/>
  <c r="D177" i="13"/>
  <c r="AG177" i="13" s="1"/>
  <c r="K269" i="7"/>
  <c r="K271" i="7" s="1"/>
  <c r="K254" i="7"/>
  <c r="J149" i="7"/>
  <c r="V123" i="14"/>
  <c r="V41" i="14" s="1"/>
  <c r="V59" i="14" s="1"/>
  <c r="J8" i="12"/>
  <c r="K463" i="7"/>
  <c r="K452" i="7"/>
  <c r="J238" i="7"/>
  <c r="J286" i="7" s="1"/>
  <c r="J249" i="7"/>
  <c r="J88" i="7"/>
  <c r="I18" i="11"/>
  <c r="J147" i="7"/>
  <c r="J158" i="7"/>
  <c r="J348" i="7"/>
  <c r="V268" i="20"/>
  <c r="H270" i="20"/>
  <c r="V270" i="20" s="1"/>
  <c r="W129" i="14"/>
  <c r="J97" i="7"/>
  <c r="J86" i="7"/>
  <c r="M550" i="7" l="1"/>
  <c r="M565" i="7"/>
  <c r="M567" i="7" s="1"/>
  <c r="V61" i="14"/>
  <c r="V64" i="14"/>
  <c r="I268" i="20"/>
  <c r="J25" i="15"/>
  <c r="X105" i="14"/>
  <c r="X107" i="14" s="1"/>
  <c r="X34" i="14" s="1"/>
  <c r="H19" i="11"/>
  <c r="I220" i="7"/>
  <c r="H388" i="20"/>
  <c r="V380" i="20"/>
  <c r="J293" i="7"/>
  <c r="J295" i="7" s="1"/>
  <c r="J211" i="7"/>
  <c r="J290" i="7"/>
  <c r="J291" i="7" s="1"/>
  <c r="J288" i="7"/>
  <c r="K278" i="7" s="1"/>
  <c r="K262" i="7"/>
  <c r="K264" i="7" s="1"/>
  <c r="K273" i="7"/>
  <c r="K267" i="20"/>
  <c r="L32" i="15"/>
  <c r="Z113" i="14"/>
  <c r="Z115" i="14" s="1"/>
  <c r="Z40" i="14" s="1"/>
  <c r="G48" i="13"/>
  <c r="AJ48" i="13" s="1"/>
  <c r="AJ41" i="13"/>
  <c r="G161" i="13"/>
  <c r="AI153" i="13"/>
  <c r="F156" i="13"/>
  <c r="L507" i="7"/>
  <c r="K9" i="12"/>
  <c r="L505" i="7"/>
  <c r="L516" i="7"/>
  <c r="I379" i="20"/>
  <c r="J30" i="15"/>
  <c r="X117" i="14"/>
  <c r="X119" i="14" s="1"/>
  <c r="X36" i="14" s="1"/>
  <c r="J377" i="20"/>
  <c r="K71" i="15"/>
  <c r="Y93" i="14"/>
  <c r="Y95" i="14" s="1"/>
  <c r="Y37" i="14" s="1"/>
  <c r="I20" i="11"/>
  <c r="J669" i="7"/>
  <c r="J671" i="7" s="1"/>
  <c r="J680" i="7"/>
  <c r="K338" i="7"/>
  <c r="K353" i="7"/>
  <c r="K355" i="7" s="1"/>
  <c r="Y28" i="14"/>
  <c r="K55" i="15"/>
  <c r="L459" i="7"/>
  <c r="L461" i="7" s="1"/>
  <c r="L444" i="7"/>
  <c r="H382" i="20"/>
  <c r="V382" i="20" s="1"/>
  <c r="I19" i="15"/>
  <c r="W121" i="14"/>
  <c r="W123" i="14" s="1"/>
  <c r="W41" i="14" s="1"/>
  <c r="H21" i="12"/>
  <c r="J240" i="7"/>
  <c r="AG172" i="13"/>
  <c r="D52" i="13"/>
  <c r="P172" i="13"/>
  <c r="P175" i="13" s="1"/>
  <c r="P177" i="13" s="1"/>
  <c r="G269" i="20"/>
  <c r="H27" i="15"/>
  <c r="G24" i="11"/>
  <c r="E197" i="13"/>
  <c r="AH194" i="13"/>
  <c r="V194" i="13"/>
  <c r="L71" i="4"/>
  <c r="L73" i="4" s="1"/>
  <c r="L80" i="4"/>
  <c r="K93" i="7"/>
  <c r="K95" i="7" s="1"/>
  <c r="K78" i="7"/>
  <c r="K154" i="7"/>
  <c r="K156" i="7" s="1"/>
  <c r="K139" i="7"/>
  <c r="F399" i="20"/>
  <c r="F498" i="20"/>
  <c r="I11" i="12"/>
  <c r="J57" i="7"/>
  <c r="J68" i="7"/>
  <c r="K12" i="12"/>
  <c r="L640" i="7"/>
  <c r="L651" i="7"/>
  <c r="J7" i="12"/>
  <c r="K399" i="7"/>
  <c r="K410" i="7"/>
  <c r="W131" i="14"/>
  <c r="W56" i="14" s="1"/>
  <c r="W59" i="14" s="1"/>
  <c r="I33" i="15"/>
  <c r="AI173" i="13"/>
  <c r="F53" i="13"/>
  <c r="J618" i="7"/>
  <c r="J620" i="7" s="1"/>
  <c r="J603" i="7"/>
  <c r="AI36" i="13"/>
  <c r="F50" i="13"/>
  <c r="F38" i="13"/>
  <c r="J59" i="7"/>
  <c r="L642" i="7"/>
  <c r="K401" i="7"/>
  <c r="L269" i="7" l="1"/>
  <c r="L271" i="7" s="1"/>
  <c r="L254" i="7"/>
  <c r="W61" i="14"/>
  <c r="W64" i="14"/>
  <c r="K676" i="7"/>
  <c r="K678" i="7" s="1"/>
  <c r="K661" i="7"/>
  <c r="M63" i="4"/>
  <c r="M78" i="4"/>
  <c r="L406" i="7"/>
  <c r="L408" i="7" s="1"/>
  <c r="L391" i="7"/>
  <c r="M647" i="7"/>
  <c r="M649" i="7" s="1"/>
  <c r="M632" i="7"/>
  <c r="K49" i="7"/>
  <c r="K64" i="7"/>
  <c r="K66" i="7" s="1"/>
  <c r="G33" i="13"/>
  <c r="G51" i="11"/>
  <c r="D401" i="20"/>
  <c r="AG52" i="13"/>
  <c r="D55" i="13"/>
  <c r="E60" i="15"/>
  <c r="P52" i="13"/>
  <c r="P55" i="13" s="1"/>
  <c r="P57" i="13" s="1"/>
  <c r="P179" i="13" s="1"/>
  <c r="J10" i="12"/>
  <c r="K346" i="7"/>
  <c r="K348" i="7" s="1"/>
  <c r="K357" i="7"/>
  <c r="AI38" i="13"/>
  <c r="I380" i="20"/>
  <c r="J23" i="15"/>
  <c r="X101" i="14"/>
  <c r="X103" i="14" s="1"/>
  <c r="X33" i="14" s="1"/>
  <c r="AI156" i="13"/>
  <c r="F158" i="13"/>
  <c r="F170" i="13"/>
  <c r="J215" i="7"/>
  <c r="J216" i="7" s="1"/>
  <c r="J218" i="7"/>
  <c r="J213" i="7"/>
  <c r="K203" i="7" s="1"/>
  <c r="AI50" i="13"/>
  <c r="U164" i="14"/>
  <c r="G456" i="20"/>
  <c r="G287" i="20"/>
  <c r="G289" i="20" s="1"/>
  <c r="K230" i="7"/>
  <c r="K245" i="7"/>
  <c r="K247" i="7" s="1"/>
  <c r="J18" i="11"/>
  <c r="K158" i="7"/>
  <c r="K147" i="7"/>
  <c r="I13" i="12"/>
  <c r="J611" i="7"/>
  <c r="J613" i="7" s="1"/>
  <c r="J622" i="7"/>
  <c r="J376" i="20"/>
  <c r="K68" i="15"/>
  <c r="Y89" i="14"/>
  <c r="Y91" i="14" s="1"/>
  <c r="Y31" i="14" s="1"/>
  <c r="F411" i="20"/>
  <c r="W267" i="20"/>
  <c r="E210" i="13"/>
  <c r="AH197" i="13"/>
  <c r="V197" i="13"/>
  <c r="F402" i="20"/>
  <c r="AI53" i="13"/>
  <c r="L454" i="7"/>
  <c r="I270" i="20"/>
  <c r="X129" i="14"/>
  <c r="K149" i="7"/>
  <c r="H41" i="13"/>
  <c r="H57" i="12"/>
  <c r="K8" i="12"/>
  <c r="L452" i="7"/>
  <c r="L463" i="7"/>
  <c r="V388" i="20"/>
  <c r="V66" i="14"/>
  <c r="V80" i="14" s="1"/>
  <c r="V83" i="14"/>
  <c r="H62" i="15" s="1"/>
  <c r="K378" i="20"/>
  <c r="W378" i="20" s="1"/>
  <c r="L74" i="15"/>
  <c r="Z97" i="14"/>
  <c r="Z99" i="14" s="1"/>
  <c r="Z39" i="14" s="1"/>
  <c r="G168" i="13"/>
  <c r="AJ168" i="13" s="1"/>
  <c r="AJ161" i="13"/>
  <c r="K381" i="20"/>
  <c r="W381" i="20" s="1"/>
  <c r="Z134" i="14"/>
  <c r="L17" i="11"/>
  <c r="M558" i="7"/>
  <c r="M560" i="7" s="1"/>
  <c r="M569" i="7"/>
  <c r="M497" i="7"/>
  <c r="M512" i="7"/>
  <c r="M514" i="7" s="1"/>
  <c r="K86" i="7"/>
  <c r="K88" i="7" s="1"/>
  <c r="K97" i="7"/>
  <c r="H269" i="20"/>
  <c r="I27" i="15"/>
  <c r="H24" i="11"/>
  <c r="L78" i="7" l="1"/>
  <c r="L93" i="7"/>
  <c r="L95" i="7" s="1"/>
  <c r="L353" i="7"/>
  <c r="L355" i="7" s="1"/>
  <c r="L338" i="7"/>
  <c r="N565" i="7"/>
  <c r="N567" i="7" s="1"/>
  <c r="N550" i="7"/>
  <c r="K603" i="7"/>
  <c r="K618" i="7"/>
  <c r="K620" i="7" s="1"/>
  <c r="K377" i="20"/>
  <c r="W377" i="20" s="1"/>
  <c r="L71" i="15"/>
  <c r="Z93" i="14"/>
  <c r="Z95" i="14" s="1"/>
  <c r="Z37" i="14" s="1"/>
  <c r="I19" i="11"/>
  <c r="J220" i="7"/>
  <c r="L9" i="12"/>
  <c r="M505" i="7"/>
  <c r="M516" i="7"/>
  <c r="H33" i="13"/>
  <c r="W33" i="13" s="1"/>
  <c r="H51" i="11"/>
  <c r="M507" i="7"/>
  <c r="V168" i="14"/>
  <c r="G173" i="13"/>
  <c r="H63" i="15"/>
  <c r="L154" i="7"/>
  <c r="L156" i="7" s="1"/>
  <c r="L139" i="7"/>
  <c r="G290" i="20"/>
  <c r="G363" i="20"/>
  <c r="G374" i="20" s="1"/>
  <c r="AI170" i="13"/>
  <c r="F191" i="13"/>
  <c r="AJ33" i="13"/>
  <c r="G153" i="13"/>
  <c r="G36" i="13"/>
  <c r="M71" i="4"/>
  <c r="M80" i="4"/>
  <c r="X131" i="14"/>
  <c r="X56" i="14" s="1"/>
  <c r="J33" i="15"/>
  <c r="G457" i="20"/>
  <c r="G484" i="20" s="1"/>
  <c r="G493" i="20" s="1"/>
  <c r="V456" i="20"/>
  <c r="AI158" i="13"/>
  <c r="J11" i="12"/>
  <c r="K68" i="7"/>
  <c r="K57" i="7"/>
  <c r="K59" i="7" s="1"/>
  <c r="M73" i="4"/>
  <c r="J20" i="11"/>
  <c r="K680" i="7"/>
  <c r="K669" i="7"/>
  <c r="V195" i="13"/>
  <c r="H287" i="20"/>
  <c r="H289" i="20" s="1"/>
  <c r="H456" i="20"/>
  <c r="H457" i="20" s="1"/>
  <c r="H484" i="20" s="1"/>
  <c r="H493" i="20" s="1"/>
  <c r="K671" i="7"/>
  <c r="L267" i="20"/>
  <c r="M32" i="15"/>
  <c r="AA113" i="14"/>
  <c r="AA115" i="14" s="1"/>
  <c r="AA40" i="14" s="1"/>
  <c r="M459" i="7"/>
  <c r="M461" i="7" s="1"/>
  <c r="M444" i="7"/>
  <c r="J268" i="20"/>
  <c r="K25" i="15"/>
  <c r="Y105" i="14"/>
  <c r="Y107" i="14" s="1"/>
  <c r="Y34" i="14" s="1"/>
  <c r="Q60" i="15"/>
  <c r="K238" i="7"/>
  <c r="K286" i="7" s="1"/>
  <c r="K249" i="7"/>
  <c r="S170" i="14"/>
  <c r="AG55" i="13"/>
  <c r="E64" i="15"/>
  <c r="D57" i="13"/>
  <c r="W66" i="14"/>
  <c r="W80" i="14" s="1"/>
  <c r="W83" i="14"/>
  <c r="I62" i="15" s="1"/>
  <c r="L12" i="12"/>
  <c r="M640" i="7"/>
  <c r="M642" i="7" s="1"/>
  <c r="M651" i="7"/>
  <c r="D403" i="20"/>
  <c r="Z28" i="14"/>
  <c r="L55" i="15"/>
  <c r="H48" i="13"/>
  <c r="AK48" i="13" s="1"/>
  <c r="AK41" i="13"/>
  <c r="H161" i="13"/>
  <c r="W41" i="13"/>
  <c r="E175" i="13"/>
  <c r="AH210" i="13"/>
  <c r="V210" i="13"/>
  <c r="I382" i="20"/>
  <c r="J19" i="15"/>
  <c r="X121" i="14"/>
  <c r="X123" i="14" s="1"/>
  <c r="X41" i="14" s="1"/>
  <c r="V269" i="20"/>
  <c r="I21" i="12"/>
  <c r="J379" i="20"/>
  <c r="K30" i="15"/>
  <c r="Y117" i="14"/>
  <c r="Y119" i="14" s="1"/>
  <c r="Y36" i="14" s="1"/>
  <c r="K7" i="12"/>
  <c r="L399" i="7"/>
  <c r="L401" i="7" s="1"/>
  <c r="L410" i="7"/>
  <c r="L262" i="7"/>
  <c r="L264" i="7" s="1"/>
  <c r="L273" i="7"/>
  <c r="M269" i="7" l="1"/>
  <c r="M271" i="7" s="1"/>
  <c r="M254" i="7"/>
  <c r="L49" i="7"/>
  <c r="L64" i="7"/>
  <c r="L66" i="7" s="1"/>
  <c r="W36" i="13"/>
  <c r="W50" i="13" s="1"/>
  <c r="M391" i="7"/>
  <c r="M406" i="7"/>
  <c r="M408" i="7" s="1"/>
  <c r="N647" i="7"/>
  <c r="N649" i="7" s="1"/>
  <c r="N632" i="7"/>
  <c r="K290" i="7"/>
  <c r="K291" i="7" s="1"/>
  <c r="K293" i="7"/>
  <c r="K295" i="7" s="1"/>
  <c r="K211" i="7"/>
  <c r="K288" i="7"/>
  <c r="L278" i="7" s="1"/>
  <c r="W168" i="14"/>
  <c r="H173" i="13"/>
  <c r="I63" i="15"/>
  <c r="AJ36" i="13"/>
  <c r="G38" i="13"/>
  <c r="G50" i="13"/>
  <c r="D405" i="20"/>
  <c r="K240" i="7"/>
  <c r="AG57" i="13"/>
  <c r="AG179" i="13" s="1"/>
  <c r="D179" i="13"/>
  <c r="E65" i="15"/>
  <c r="L661" i="7"/>
  <c r="L676" i="7"/>
  <c r="L678" i="7" s="1"/>
  <c r="H290" i="20"/>
  <c r="V290" i="20" s="1"/>
  <c r="H363" i="20"/>
  <c r="H374" i="20" s="1"/>
  <c r="J13" i="12"/>
  <c r="K611" i="7"/>
  <c r="K613" i="7" s="1"/>
  <c r="K622" i="7"/>
  <c r="AH175" i="13"/>
  <c r="E172" i="13"/>
  <c r="E177" i="13"/>
  <c r="AH177" i="13" s="1"/>
  <c r="Q64" i="15"/>
  <c r="X59" i="14"/>
  <c r="K18" i="11"/>
  <c r="L147" i="7"/>
  <c r="L149" i="7" s="1"/>
  <c r="L158" i="7"/>
  <c r="V457" i="20"/>
  <c r="V484" i="20" s="1"/>
  <c r="V493" i="20" s="1"/>
  <c r="K376" i="20"/>
  <c r="L68" i="15"/>
  <c r="Z89" i="14"/>
  <c r="Z91" i="14" s="1"/>
  <c r="Z31" i="14" s="1"/>
  <c r="I57" i="12"/>
  <c r="I41" i="13"/>
  <c r="W48" i="13"/>
  <c r="AJ173" i="13"/>
  <c r="G53" i="13"/>
  <c r="W173" i="13"/>
  <c r="M17" i="11"/>
  <c r="N558" i="7"/>
  <c r="N560" i="7" s="1"/>
  <c r="N569" i="7"/>
  <c r="J380" i="20"/>
  <c r="K23" i="15"/>
  <c r="Y101" i="14"/>
  <c r="Y103" i="14" s="1"/>
  <c r="Y33" i="14" s="1"/>
  <c r="J21" i="12"/>
  <c r="AI191" i="13"/>
  <c r="F194" i="13"/>
  <c r="L378" i="20"/>
  <c r="M74" i="15"/>
  <c r="AA97" i="14"/>
  <c r="AA99" i="14" s="1"/>
  <c r="AA39" i="14" s="1"/>
  <c r="V287" i="20"/>
  <c r="V289" i="20" s="1"/>
  <c r="V363" i="20" s="1"/>
  <c r="V374" i="20" s="1"/>
  <c r="H168" i="13"/>
  <c r="AK168" i="13" s="1"/>
  <c r="AK161" i="13"/>
  <c r="W161" i="13"/>
  <c r="L381" i="20"/>
  <c r="AA134" i="14"/>
  <c r="S167" i="14"/>
  <c r="S172" i="14"/>
  <c r="AE170" i="14"/>
  <c r="AE167" i="14" s="1"/>
  <c r="M463" i="7"/>
  <c r="L8" i="12"/>
  <c r="M452" i="7"/>
  <c r="M454" i="7" s="1"/>
  <c r="G411" i="20"/>
  <c r="G498" i="20"/>
  <c r="G399" i="20"/>
  <c r="I269" i="20"/>
  <c r="J27" i="15"/>
  <c r="I24" i="11"/>
  <c r="L348" i="7"/>
  <c r="N512" i="7"/>
  <c r="N514" i="7" s="1"/>
  <c r="N497" i="7"/>
  <c r="K10" i="12"/>
  <c r="L346" i="7"/>
  <c r="L357" i="7"/>
  <c r="I388" i="20"/>
  <c r="J270" i="20"/>
  <c r="Y129" i="14"/>
  <c r="L86" i="7"/>
  <c r="L88" i="7" s="1"/>
  <c r="L97" i="7"/>
  <c r="N63" i="4"/>
  <c r="N78" i="4"/>
  <c r="AJ153" i="13"/>
  <c r="G156" i="13"/>
  <c r="AK33" i="13"/>
  <c r="H153" i="13"/>
  <c r="W153" i="13" s="1"/>
  <c r="H36" i="13"/>
  <c r="M93" i="7" l="1"/>
  <c r="M95" i="7" s="1"/>
  <c r="M78" i="7"/>
  <c r="N459" i="7"/>
  <c r="N461" i="7" s="1"/>
  <c r="N444" i="7"/>
  <c r="W156" i="13"/>
  <c r="O565" i="7"/>
  <c r="O550" i="7"/>
  <c r="M139" i="7"/>
  <c r="M154" i="7"/>
  <c r="M156" i="7" s="1"/>
  <c r="L618" i="7"/>
  <c r="L620" i="7" s="1"/>
  <c r="L603" i="7"/>
  <c r="Y131" i="14"/>
  <c r="Y56" i="14" s="1"/>
  <c r="K33" i="15"/>
  <c r="M338" i="7"/>
  <c r="M353" i="7"/>
  <c r="M355" i="7" s="1"/>
  <c r="L377" i="20"/>
  <c r="M71" i="15"/>
  <c r="AA93" i="14"/>
  <c r="AA95" i="14" s="1"/>
  <c r="AA37" i="14" s="1"/>
  <c r="I33" i="13"/>
  <c r="I51" i="11"/>
  <c r="K268" i="20"/>
  <c r="L25" i="15"/>
  <c r="Z105" i="14"/>
  <c r="Z107" i="14" s="1"/>
  <c r="Z34" i="14" s="1"/>
  <c r="L7" i="12"/>
  <c r="M399" i="7"/>
  <c r="M410" i="7"/>
  <c r="G402" i="20"/>
  <c r="AJ53" i="13"/>
  <c r="X64" i="14"/>
  <c r="X61" i="14"/>
  <c r="Q65" i="15"/>
  <c r="Q76" i="15" s="1"/>
  <c r="E76" i="15"/>
  <c r="M401" i="7"/>
  <c r="V399" i="20"/>
  <c r="V498" i="20"/>
  <c r="W376" i="20"/>
  <c r="K215" i="7"/>
  <c r="K216" i="7" s="1"/>
  <c r="K218" i="7"/>
  <c r="K213" i="7"/>
  <c r="L203" i="7" s="1"/>
  <c r="AI194" i="13"/>
  <c r="F197" i="13"/>
  <c r="V164" i="14"/>
  <c r="AJ50" i="13"/>
  <c r="AK153" i="13"/>
  <c r="H156" i="13"/>
  <c r="J41" i="13"/>
  <c r="J57" i="12"/>
  <c r="AJ156" i="13"/>
  <c r="G158" i="13"/>
  <c r="G170" i="13"/>
  <c r="D412" i="20"/>
  <c r="D409" i="20"/>
  <c r="J382" i="20"/>
  <c r="J388" i="20" s="1"/>
  <c r="K19" i="15"/>
  <c r="Y121" i="14"/>
  <c r="Y123" i="14" s="1"/>
  <c r="Y41" i="14" s="1"/>
  <c r="Y59" i="14" s="1"/>
  <c r="N71" i="4"/>
  <c r="O71" i="4" s="1"/>
  <c r="N80" i="4"/>
  <c r="O78" i="4"/>
  <c r="K379" i="20"/>
  <c r="W379" i="20" s="1"/>
  <c r="L30" i="15"/>
  <c r="Z117" i="14"/>
  <c r="Z119" i="14" s="1"/>
  <c r="Z36" i="14" s="1"/>
  <c r="L245" i="7"/>
  <c r="L247" i="7" s="1"/>
  <c r="L230" i="7"/>
  <c r="AJ38" i="13"/>
  <c r="K11" i="12"/>
  <c r="L57" i="7"/>
  <c r="L68" i="7"/>
  <c r="M9" i="12"/>
  <c r="N505" i="7"/>
  <c r="N507" i="7" s="1"/>
  <c r="N516" i="7"/>
  <c r="I456" i="20"/>
  <c r="I287" i="20"/>
  <c r="I289" i="20" s="1"/>
  <c r="AK36" i="13"/>
  <c r="H50" i="13"/>
  <c r="H38" i="13"/>
  <c r="AK38" i="13" s="1"/>
  <c r="N73" i="4"/>
  <c r="AA28" i="14"/>
  <c r="M55" i="15"/>
  <c r="I48" i="13"/>
  <c r="AL48" i="13" s="1"/>
  <c r="AL41" i="13"/>
  <c r="I161" i="13"/>
  <c r="H411" i="20"/>
  <c r="H399" i="20"/>
  <c r="H498" i="20"/>
  <c r="L59" i="7"/>
  <c r="M267" i="20"/>
  <c r="N32" i="15"/>
  <c r="AB113" i="14"/>
  <c r="AB115" i="14" s="1"/>
  <c r="AB40" i="14" s="1"/>
  <c r="AH172" i="13"/>
  <c r="E52" i="13"/>
  <c r="V172" i="13"/>
  <c r="N642" i="7"/>
  <c r="W168" i="13"/>
  <c r="K20" i="11"/>
  <c r="L669" i="7"/>
  <c r="L671" i="7" s="1"/>
  <c r="L680" i="7"/>
  <c r="AK173" i="13"/>
  <c r="H53" i="13"/>
  <c r="W53" i="13" s="1"/>
  <c r="M12" i="12"/>
  <c r="N640" i="7"/>
  <c r="N651" i="7"/>
  <c r="M262" i="7"/>
  <c r="M264" i="7" s="1"/>
  <c r="M273" i="7"/>
  <c r="M661" i="7" l="1"/>
  <c r="M676" i="7"/>
  <c r="M678" i="7" s="1"/>
  <c r="Y61" i="14"/>
  <c r="Y64" i="14"/>
  <c r="N269" i="7"/>
  <c r="N271" i="7" s="1"/>
  <c r="N254" i="7"/>
  <c r="O512" i="7"/>
  <c r="O497" i="7"/>
  <c r="L238" i="7"/>
  <c r="L286" i="7" s="1"/>
  <c r="L249" i="7"/>
  <c r="F210" i="13"/>
  <c r="AI197" i="13"/>
  <c r="AL161" i="13"/>
  <c r="I168" i="13"/>
  <c r="AL168" i="13" s="1"/>
  <c r="M378" i="20"/>
  <c r="N74" i="15"/>
  <c r="AB97" i="14"/>
  <c r="AB99" i="14" s="1"/>
  <c r="AB39" i="14" s="1"/>
  <c r="W164" i="14"/>
  <c r="AK50" i="13"/>
  <c r="AK156" i="13"/>
  <c r="H170" i="13"/>
  <c r="H158" i="13"/>
  <c r="N406" i="7"/>
  <c r="N408" i="7" s="1"/>
  <c r="N391" i="7"/>
  <c r="L376" i="20"/>
  <c r="M68" i="15"/>
  <c r="AA89" i="14"/>
  <c r="AA91" i="14" s="1"/>
  <c r="AA31" i="14" s="1"/>
  <c r="L613" i="7"/>
  <c r="K13" i="12"/>
  <c r="L611" i="7"/>
  <c r="L622" i="7"/>
  <c r="W170" i="13"/>
  <c r="H402" i="20"/>
  <c r="V402" i="20" s="1"/>
  <c r="AK53" i="13"/>
  <c r="O632" i="7"/>
  <c r="O647" i="7"/>
  <c r="K380" i="20"/>
  <c r="L23" i="15"/>
  <c r="Z101" i="14"/>
  <c r="Z103" i="14" s="1"/>
  <c r="Z33" i="14" s="1"/>
  <c r="J19" i="11"/>
  <c r="K220" i="7"/>
  <c r="M8" i="12"/>
  <c r="N452" i="7"/>
  <c r="N454" i="7" s="1"/>
  <c r="N463" i="7"/>
  <c r="I290" i="20"/>
  <c r="I363" i="20"/>
  <c r="I374" i="20" s="1"/>
  <c r="M49" i="7"/>
  <c r="M64" i="7"/>
  <c r="M66" i="7" s="1"/>
  <c r="I457" i="20"/>
  <c r="I484" i="20" s="1"/>
  <c r="I493" i="20" s="1"/>
  <c r="W38" i="13"/>
  <c r="AJ170" i="13"/>
  <c r="G191" i="13"/>
  <c r="V175" i="13"/>
  <c r="V177" i="13" s="1"/>
  <c r="AJ158" i="13"/>
  <c r="W158" i="13"/>
  <c r="L10" i="12"/>
  <c r="M346" i="7"/>
  <c r="M357" i="7"/>
  <c r="K270" i="20"/>
  <c r="W270" i="20" s="1"/>
  <c r="Z129" i="14"/>
  <c r="L18" i="11"/>
  <c r="M147" i="7"/>
  <c r="M149" i="7" s="1"/>
  <c r="M158" i="7"/>
  <c r="M381" i="20"/>
  <c r="AB134" i="14"/>
  <c r="E401" i="20"/>
  <c r="AH52" i="13"/>
  <c r="E55" i="13"/>
  <c r="F60" i="15"/>
  <c r="V52" i="13"/>
  <c r="W268" i="20"/>
  <c r="M348" i="7"/>
  <c r="M86" i="7"/>
  <c r="M88" i="7" s="1"/>
  <c r="M97" i="7"/>
  <c r="O567" i="7"/>
  <c r="P565" i="7"/>
  <c r="P567" i="7" s="1"/>
  <c r="AM41" i="13"/>
  <c r="J48" i="13"/>
  <c r="AM48" i="13" s="1"/>
  <c r="J161" i="13"/>
  <c r="X83" i="14"/>
  <c r="J62" i="15" s="1"/>
  <c r="X66" i="14"/>
  <c r="X80" i="14" s="1"/>
  <c r="I153" i="13"/>
  <c r="AL33" i="13"/>
  <c r="I36" i="13"/>
  <c r="K21" i="12"/>
  <c r="O444" i="7" l="1"/>
  <c r="O459" i="7"/>
  <c r="N78" i="7"/>
  <c r="N93" i="7"/>
  <c r="N95" i="7" s="1"/>
  <c r="N154" i="7"/>
  <c r="N156" i="7" s="1"/>
  <c r="N139" i="7"/>
  <c r="M603" i="7"/>
  <c r="M618" i="7"/>
  <c r="M620" i="7" s="1"/>
  <c r="L290" i="7"/>
  <c r="L291" i="7" s="1"/>
  <c r="L293" i="7"/>
  <c r="L295" i="7" s="1"/>
  <c r="L211" i="7"/>
  <c r="L288" i="7"/>
  <c r="M278" i="7" s="1"/>
  <c r="AL36" i="13"/>
  <c r="I50" i="13"/>
  <c r="I38" i="13"/>
  <c r="AB28" i="14"/>
  <c r="N55" i="15"/>
  <c r="N353" i="7"/>
  <c r="N355" i="7" s="1"/>
  <c r="N338" i="7"/>
  <c r="L11" i="12"/>
  <c r="M68" i="7"/>
  <c r="M57" i="7"/>
  <c r="W380" i="20"/>
  <c r="O514" i="7"/>
  <c r="P512" i="7"/>
  <c r="P514" i="7" s="1"/>
  <c r="AL153" i="13"/>
  <c r="I156" i="13"/>
  <c r="M59" i="7"/>
  <c r="V55" i="13"/>
  <c r="V57" i="13" s="1"/>
  <c r="V179" i="13" s="1"/>
  <c r="X168" i="14"/>
  <c r="I173" i="13"/>
  <c r="J63" i="15"/>
  <c r="I399" i="20"/>
  <c r="I411" i="20"/>
  <c r="I498" i="20"/>
  <c r="K382" i="20"/>
  <c r="W382" i="20" s="1"/>
  <c r="L19" i="15"/>
  <c r="Z121" i="14"/>
  <c r="Z123" i="14" s="1"/>
  <c r="Z41" i="14" s="1"/>
  <c r="Y66" i="14"/>
  <c r="Y80" i="14" s="1"/>
  <c r="Y83" i="14"/>
  <c r="K62" i="15" s="1"/>
  <c r="L379" i="20"/>
  <c r="M30" i="15"/>
  <c r="AA117" i="14"/>
  <c r="AA119" i="14" s="1"/>
  <c r="AA36" i="14" s="1"/>
  <c r="N273" i="7"/>
  <c r="N262" i="7"/>
  <c r="N264" i="7" s="1"/>
  <c r="N17" i="11"/>
  <c r="O569" i="7"/>
  <c r="O558" i="7"/>
  <c r="L268" i="20"/>
  <c r="M25" i="15"/>
  <c r="AA105" i="14"/>
  <c r="AA107" i="14" s="1"/>
  <c r="AA34" i="14" s="1"/>
  <c r="N401" i="7"/>
  <c r="T170" i="14"/>
  <c r="AH55" i="13"/>
  <c r="F64" i="15"/>
  <c r="E57" i="13"/>
  <c r="O649" i="7"/>
  <c r="P647" i="7"/>
  <c r="P649" i="7" s="1"/>
  <c r="M7" i="12"/>
  <c r="N399" i="7"/>
  <c r="N410" i="7"/>
  <c r="F175" i="13"/>
  <c r="AI210" i="13"/>
  <c r="K41" i="13"/>
  <c r="K57" i="12"/>
  <c r="AJ191" i="13"/>
  <c r="G194" i="13"/>
  <c r="Z131" i="14"/>
  <c r="Z56" i="14" s="1"/>
  <c r="L33" i="15"/>
  <c r="J269" i="20"/>
  <c r="K27" i="15"/>
  <c r="J24" i="11"/>
  <c r="AK158" i="13"/>
  <c r="L20" i="11"/>
  <c r="M680" i="7"/>
  <c r="M669" i="7"/>
  <c r="M671" i="7" s="1"/>
  <c r="AK170" i="13"/>
  <c r="H191" i="13"/>
  <c r="J168" i="13"/>
  <c r="AM168" i="13" s="1"/>
  <c r="AM161" i="13"/>
  <c r="E403" i="20"/>
  <c r="U401" i="20"/>
  <c r="L240" i="7"/>
  <c r="M377" i="20"/>
  <c r="N71" i="15"/>
  <c r="AB93" i="14"/>
  <c r="AB95" i="14" s="1"/>
  <c r="AB37" i="14" s="1"/>
  <c r="O269" i="7" l="1"/>
  <c r="O254" i="7"/>
  <c r="N676" i="7"/>
  <c r="N678" i="7" s="1"/>
  <c r="N661" i="7"/>
  <c r="M245" i="7"/>
  <c r="M247" i="7" s="1"/>
  <c r="M230" i="7"/>
  <c r="AK191" i="13"/>
  <c r="H194" i="13"/>
  <c r="J33" i="13"/>
  <c r="J51" i="11"/>
  <c r="L380" i="20"/>
  <c r="M23" i="15"/>
  <c r="AA101" i="14"/>
  <c r="AA103" i="14" s="1"/>
  <c r="AA33" i="14" s="1"/>
  <c r="AH57" i="13"/>
  <c r="AH179" i="13" s="1"/>
  <c r="E179" i="13"/>
  <c r="F65" i="15"/>
  <c r="M18" i="11"/>
  <c r="N147" i="7"/>
  <c r="N149" i="7" s="1"/>
  <c r="N158" i="7"/>
  <c r="N9" i="12"/>
  <c r="O516" i="7"/>
  <c r="O505" i="7"/>
  <c r="L218" i="7"/>
  <c r="L215" i="7"/>
  <c r="L216" i="7" s="1"/>
  <c r="L213" i="7"/>
  <c r="M203" i="7" s="1"/>
  <c r="N86" i="7"/>
  <c r="N97" i="7"/>
  <c r="E405" i="20"/>
  <c r="U403" i="20"/>
  <c r="W191" i="13"/>
  <c r="N64" i="7"/>
  <c r="N66" i="7" s="1"/>
  <c r="N49" i="7"/>
  <c r="M10" i="12"/>
  <c r="N346" i="7"/>
  <c r="N348" i="7" s="1"/>
  <c r="N357" i="7"/>
  <c r="N88" i="7"/>
  <c r="L270" i="20"/>
  <c r="AA129" i="14"/>
  <c r="G197" i="13"/>
  <c r="AJ194" i="13"/>
  <c r="W194" i="13"/>
  <c r="T167" i="14"/>
  <c r="T172" i="14"/>
  <c r="P558" i="7"/>
  <c r="P560" i="7" s="1"/>
  <c r="O560" i="7"/>
  <c r="K388" i="20"/>
  <c r="L21" i="12"/>
  <c r="N12" i="12"/>
  <c r="O640" i="7"/>
  <c r="O651" i="7"/>
  <c r="J287" i="20"/>
  <c r="J289" i="20" s="1"/>
  <c r="J456" i="20"/>
  <c r="M376" i="20"/>
  <c r="N68" i="15"/>
  <c r="AB89" i="14"/>
  <c r="AB91" i="14" s="1"/>
  <c r="AB31" i="14" s="1"/>
  <c r="O406" i="7"/>
  <c r="O391" i="7"/>
  <c r="W388" i="20"/>
  <c r="L13" i="12"/>
  <c r="M622" i="7"/>
  <c r="M611" i="7"/>
  <c r="AN41" i="13"/>
  <c r="K161" i="13"/>
  <c r="K48" i="13"/>
  <c r="AN48" i="13" s="1"/>
  <c r="X41" i="13"/>
  <c r="AI175" i="13"/>
  <c r="F172" i="13"/>
  <c r="F177" i="13"/>
  <c r="AI177" i="13" s="1"/>
  <c r="Z59" i="14"/>
  <c r="N267" i="20"/>
  <c r="O32" i="15"/>
  <c r="AC113" i="14"/>
  <c r="O17" i="11"/>
  <c r="Y168" i="14"/>
  <c r="J173" i="13"/>
  <c r="K63" i="15"/>
  <c r="AL173" i="13"/>
  <c r="I53" i="13"/>
  <c r="AL156" i="13"/>
  <c r="I158" i="13"/>
  <c r="I170" i="13"/>
  <c r="AL38" i="13"/>
  <c r="M613" i="7"/>
  <c r="O461" i="7"/>
  <c r="P459" i="7"/>
  <c r="P461" i="7" s="1"/>
  <c r="X164" i="14"/>
  <c r="AL50" i="13"/>
  <c r="O353" i="7" l="1"/>
  <c r="O338" i="7"/>
  <c r="O139" i="7"/>
  <c r="O154" i="7"/>
  <c r="N603" i="7"/>
  <c r="N618" i="7"/>
  <c r="N620" i="7" s="1"/>
  <c r="AJ197" i="13"/>
  <c r="G210" i="13"/>
  <c r="AM173" i="13"/>
  <c r="J53" i="13"/>
  <c r="AL170" i="13"/>
  <c r="I191" i="13"/>
  <c r="AI172" i="13"/>
  <c r="F52" i="13"/>
  <c r="L382" i="20"/>
  <c r="L388" i="20" s="1"/>
  <c r="M19" i="15"/>
  <c r="AA121" i="14"/>
  <c r="AA123" i="14" s="1"/>
  <c r="AA41" i="14" s="1"/>
  <c r="P640" i="7"/>
  <c r="P642" i="7" s="1"/>
  <c r="O642" i="7"/>
  <c r="O93" i="7"/>
  <c r="O78" i="7"/>
  <c r="P505" i="7"/>
  <c r="P507" i="7" s="1"/>
  <c r="O507" i="7"/>
  <c r="AL158" i="13"/>
  <c r="Q17" i="11"/>
  <c r="N381" i="20"/>
  <c r="AC134" i="14"/>
  <c r="O12" i="12"/>
  <c r="Q12" i="12" s="1"/>
  <c r="E412" i="20"/>
  <c r="E409" i="20"/>
  <c r="AC115" i="14"/>
  <c r="AC40" i="14" s="1"/>
  <c r="AD40" i="14" s="1"/>
  <c r="AD113" i="14"/>
  <c r="AD115" i="14" s="1"/>
  <c r="L41" i="13"/>
  <c r="L57" i="12"/>
  <c r="N378" i="20"/>
  <c r="O74" i="15"/>
  <c r="AC97" i="14"/>
  <c r="O9" i="12"/>
  <c r="Q9" i="12" s="1"/>
  <c r="P32" i="15"/>
  <c r="R32" i="15" s="1"/>
  <c r="T32" i="15"/>
  <c r="O267" i="20"/>
  <c r="X267" i="20"/>
  <c r="O408" i="7"/>
  <c r="P406" i="7"/>
  <c r="P408" i="7" s="1"/>
  <c r="AE164" i="14"/>
  <c r="AE172" i="14" s="1"/>
  <c r="X48" i="13"/>
  <c r="M249" i="7"/>
  <c r="M238" i="7"/>
  <c r="M286" i="7" s="1"/>
  <c r="I402" i="20"/>
  <c r="AL53" i="13"/>
  <c r="M379" i="20"/>
  <c r="N30" i="15"/>
  <c r="AB117" i="14"/>
  <c r="AB119" i="14" s="1"/>
  <c r="AB36" i="14" s="1"/>
  <c r="N8" i="12"/>
  <c r="O452" i="7"/>
  <c r="O463" i="7"/>
  <c r="AN161" i="13"/>
  <c r="K168" i="13"/>
  <c r="AN168" i="13" s="1"/>
  <c r="X161" i="13"/>
  <c r="F76" i="15"/>
  <c r="J457" i="20"/>
  <c r="J484" i="20" s="1"/>
  <c r="J493" i="20" s="1"/>
  <c r="M20" i="11"/>
  <c r="N680" i="7"/>
  <c r="N669" i="7"/>
  <c r="N671" i="7" s="1"/>
  <c r="Z61" i="14"/>
  <c r="Z64" i="14"/>
  <c r="J290" i="20"/>
  <c r="J363" i="20"/>
  <c r="J374" i="20" s="1"/>
  <c r="AA131" i="14"/>
  <c r="AA56" i="14" s="1"/>
  <c r="AA59" i="14" s="1"/>
  <c r="M33" i="15"/>
  <c r="K19" i="11"/>
  <c r="L220" i="7"/>
  <c r="M268" i="20"/>
  <c r="N25" i="15"/>
  <c r="AB105" i="14"/>
  <c r="AB107" i="14" s="1"/>
  <c r="AB34" i="14" s="1"/>
  <c r="AM33" i="13"/>
  <c r="J153" i="13"/>
  <c r="J36" i="13"/>
  <c r="M11" i="12"/>
  <c r="N57" i="7"/>
  <c r="N59" i="7" s="1"/>
  <c r="N68" i="7"/>
  <c r="U405" i="20"/>
  <c r="U409" i="20" s="1"/>
  <c r="AK194" i="13"/>
  <c r="H197" i="13"/>
  <c r="O271" i="7"/>
  <c r="P269" i="7"/>
  <c r="P271" i="7" s="1"/>
  <c r="O49" i="7" l="1"/>
  <c r="O64" i="7"/>
  <c r="O661" i="7"/>
  <c r="O676" i="7"/>
  <c r="AA61" i="14"/>
  <c r="AA64" i="14"/>
  <c r="I194" i="13"/>
  <c r="AL191" i="13"/>
  <c r="O273" i="7"/>
  <c r="O262" i="7"/>
  <c r="M380" i="20"/>
  <c r="N23" i="15"/>
  <c r="AB101" i="14"/>
  <c r="AB103" i="14" s="1"/>
  <c r="AB33" i="14" s="1"/>
  <c r="O378" i="20"/>
  <c r="X378" i="20"/>
  <c r="Y378" i="20" s="1"/>
  <c r="M13" i="12"/>
  <c r="M21" i="12" s="1"/>
  <c r="N622" i="7"/>
  <c r="N611" i="7"/>
  <c r="AK197" i="13"/>
  <c r="H210" i="13"/>
  <c r="Z83" i="14"/>
  <c r="L62" i="15" s="1"/>
  <c r="Z66" i="14"/>
  <c r="Z80" i="14" s="1"/>
  <c r="N613" i="7"/>
  <c r="J411" i="20"/>
  <c r="J498" i="20"/>
  <c r="J399" i="20"/>
  <c r="P74" i="15"/>
  <c r="R74" i="15" s="1"/>
  <c r="T74" i="15"/>
  <c r="AC28" i="14"/>
  <c r="O55" i="15"/>
  <c r="AD134" i="14"/>
  <c r="O156" i="7"/>
  <c r="P154" i="7"/>
  <c r="P156" i="7" s="1"/>
  <c r="AM36" i="13"/>
  <c r="J38" i="13"/>
  <c r="J50" i="13"/>
  <c r="K269" i="20"/>
  <c r="L27" i="15"/>
  <c r="K24" i="11"/>
  <c r="O381" i="20"/>
  <c r="X381" i="20"/>
  <c r="Y381" i="20" s="1"/>
  <c r="AM153" i="13"/>
  <c r="J156" i="13"/>
  <c r="P452" i="7"/>
  <c r="P454" i="7" s="1"/>
  <c r="O454" i="7"/>
  <c r="N7" i="12"/>
  <c r="O410" i="7"/>
  <c r="O399" i="7"/>
  <c r="AF40" i="14"/>
  <c r="AM40" i="14"/>
  <c r="F401" i="20"/>
  <c r="AI52" i="13"/>
  <c r="F55" i="13"/>
  <c r="G60" i="15"/>
  <c r="X168" i="13"/>
  <c r="AO41" i="13"/>
  <c r="L48" i="13"/>
  <c r="AO48" i="13" s="1"/>
  <c r="L161" i="13"/>
  <c r="J402" i="20"/>
  <c r="AM53" i="13"/>
  <c r="M270" i="20"/>
  <c r="AB129" i="14"/>
  <c r="N377" i="20"/>
  <c r="O71" i="15"/>
  <c r="AC93" i="14"/>
  <c r="O8" i="12"/>
  <c r="Q8" i="12" s="1"/>
  <c r="M290" i="7"/>
  <c r="M291" i="7" s="1"/>
  <c r="M293" i="7"/>
  <c r="M295" i="7" s="1"/>
  <c r="M211" i="7"/>
  <c r="M288" i="7"/>
  <c r="N278" i="7" s="1"/>
  <c r="Y267" i="20"/>
  <c r="M240" i="7"/>
  <c r="O95" i="7"/>
  <c r="P93" i="7"/>
  <c r="P95" i="7" s="1"/>
  <c r="W197" i="13"/>
  <c r="O355" i="7"/>
  <c r="P353" i="7"/>
  <c r="P355" i="7" s="1"/>
  <c r="AC99" i="14"/>
  <c r="AC39" i="14" s="1"/>
  <c r="AD39" i="14" s="1"/>
  <c r="AD97" i="14"/>
  <c r="AD99" i="14" s="1"/>
  <c r="G175" i="13"/>
  <c r="AJ210" i="13"/>
  <c r="W210" i="13"/>
  <c r="M41" i="13" l="1"/>
  <c r="M57" i="12"/>
  <c r="W195" i="13"/>
  <c r="M218" i="7"/>
  <c r="M215" i="7"/>
  <c r="M216" i="7" s="1"/>
  <c r="M213" i="7"/>
  <c r="N203" i="7" s="1"/>
  <c r="K33" i="13"/>
  <c r="K51" i="11"/>
  <c r="H175" i="13"/>
  <c r="AK210" i="13"/>
  <c r="AQ40" i="14"/>
  <c r="AP40" i="14"/>
  <c r="O603" i="7"/>
  <c r="O618" i="7"/>
  <c r="AL194" i="13"/>
  <c r="I197" i="13"/>
  <c r="AJ175" i="13"/>
  <c r="G172" i="13"/>
  <c r="G177" i="13"/>
  <c r="AJ177" i="13" s="1"/>
  <c r="O86" i="7"/>
  <c r="O97" i="7"/>
  <c r="AM156" i="13"/>
  <c r="J158" i="13"/>
  <c r="J170" i="13"/>
  <c r="K456" i="20"/>
  <c r="K287" i="20"/>
  <c r="K289" i="20" s="1"/>
  <c r="W269" i="20"/>
  <c r="T55" i="15"/>
  <c r="P55" i="15"/>
  <c r="R55" i="15" s="1"/>
  <c r="AD28" i="14"/>
  <c r="P399" i="7"/>
  <c r="P401" i="7" s="1"/>
  <c r="O401" i="7"/>
  <c r="Y164" i="14"/>
  <c r="AM50" i="13"/>
  <c r="Z168" i="14"/>
  <c r="K173" i="13"/>
  <c r="L63" i="15"/>
  <c r="AA83" i="14"/>
  <c r="M62" i="15" s="1"/>
  <c r="AA66" i="14"/>
  <c r="AA80" i="14" s="1"/>
  <c r="AM39" i="14"/>
  <c r="AF39" i="14"/>
  <c r="N245" i="7"/>
  <c r="N247" i="7" s="1"/>
  <c r="N230" i="7"/>
  <c r="AC95" i="14"/>
  <c r="AC37" i="14" s="1"/>
  <c r="AD37" i="14" s="1"/>
  <c r="AD93" i="14"/>
  <c r="AD95" i="14" s="1"/>
  <c r="AO161" i="13"/>
  <c r="L168" i="13"/>
  <c r="AO168" i="13" s="1"/>
  <c r="U170" i="14"/>
  <c r="AI55" i="13"/>
  <c r="G64" i="15"/>
  <c r="F57" i="13"/>
  <c r="AM38" i="13"/>
  <c r="M382" i="20"/>
  <c r="N19" i="15"/>
  <c r="AB121" i="14"/>
  <c r="AB123" i="14" s="1"/>
  <c r="AB41" i="14" s="1"/>
  <c r="T71" i="15"/>
  <c r="P71" i="15"/>
  <c r="R71" i="15" s="1"/>
  <c r="N376" i="20"/>
  <c r="O68" i="15"/>
  <c r="AC89" i="14"/>
  <c r="O7" i="12"/>
  <c r="P262" i="7"/>
  <c r="P264" i="7" s="1"/>
  <c r="O264" i="7"/>
  <c r="O678" i="7"/>
  <c r="P676" i="7"/>
  <c r="P678" i="7" s="1"/>
  <c r="O377" i="20"/>
  <c r="X377" i="20"/>
  <c r="Y377" i="20" s="1"/>
  <c r="N10" i="12"/>
  <c r="O357" i="7"/>
  <c r="O346" i="7"/>
  <c r="AB131" i="14"/>
  <c r="AB56" i="14" s="1"/>
  <c r="N33" i="15"/>
  <c r="F403" i="20"/>
  <c r="N18" i="11"/>
  <c r="O147" i="7"/>
  <c r="O158" i="7"/>
  <c r="O66" i="7"/>
  <c r="P64" i="7"/>
  <c r="P66" i="7" s="1"/>
  <c r="N238" i="7" l="1"/>
  <c r="N286" i="7" s="1"/>
  <c r="N249" i="7"/>
  <c r="AA168" i="14"/>
  <c r="L173" i="13"/>
  <c r="M63" i="15"/>
  <c r="W287" i="20"/>
  <c r="W289" i="20" s="1"/>
  <c r="W363" i="20" s="1"/>
  <c r="W374" i="20" s="1"/>
  <c r="P147" i="7"/>
  <c r="P149" i="7" s="1"/>
  <c r="O149" i="7"/>
  <c r="P346" i="7"/>
  <c r="P348" i="7" s="1"/>
  <c r="O348" i="7"/>
  <c r="N20" i="11"/>
  <c r="O669" i="7"/>
  <c r="O680" i="7"/>
  <c r="K290" i="20"/>
  <c r="W290" i="20" s="1"/>
  <c r="K363" i="20"/>
  <c r="K374" i="20" s="1"/>
  <c r="AJ172" i="13"/>
  <c r="G52" i="13"/>
  <c r="F405" i="20"/>
  <c r="N268" i="20"/>
  <c r="O25" i="15"/>
  <c r="AC105" i="14"/>
  <c r="O18" i="11"/>
  <c r="K457" i="20"/>
  <c r="K484" i="20" s="1"/>
  <c r="K493" i="20" s="1"/>
  <c r="W456" i="20"/>
  <c r="L19" i="11"/>
  <c r="M220" i="7"/>
  <c r="N379" i="20"/>
  <c r="O30" i="15"/>
  <c r="AC117" i="14"/>
  <c r="O10" i="12"/>
  <c r="Q10" i="12" s="1"/>
  <c r="AI57" i="13"/>
  <c r="AI179" i="13" s="1"/>
  <c r="F179" i="13"/>
  <c r="G65" i="15"/>
  <c r="AN173" i="13"/>
  <c r="K53" i="13"/>
  <c r="X173" i="13"/>
  <c r="J191" i="13"/>
  <c r="AM170" i="13"/>
  <c r="I210" i="13"/>
  <c r="AL197" i="13"/>
  <c r="P68" i="15"/>
  <c r="R68" i="15" s="1"/>
  <c r="T68" i="15"/>
  <c r="O376" i="20"/>
  <c r="X376" i="20"/>
  <c r="AF37" i="14"/>
  <c r="AM37" i="14"/>
  <c r="Q7" i="12"/>
  <c r="AF28" i="14"/>
  <c r="AM28" i="14"/>
  <c r="AM158" i="13"/>
  <c r="AK175" i="13"/>
  <c r="H172" i="13"/>
  <c r="H177" i="13"/>
  <c r="AK177" i="13" s="1"/>
  <c r="AC91" i="14"/>
  <c r="AC31" i="14" s="1"/>
  <c r="AD89" i="14"/>
  <c r="AD91" i="14" s="1"/>
  <c r="U167" i="14"/>
  <c r="U172" i="14"/>
  <c r="O620" i="7"/>
  <c r="P618" i="7"/>
  <c r="P620" i="7" s="1"/>
  <c r="AN33" i="13"/>
  <c r="K153" i="13"/>
  <c r="K36" i="13"/>
  <c r="X33" i="13"/>
  <c r="N11" i="12"/>
  <c r="O57" i="7"/>
  <c r="O68" i="7"/>
  <c r="AB59" i="14"/>
  <c r="M388" i="20"/>
  <c r="AQ39" i="14"/>
  <c r="AP39" i="14"/>
  <c r="P86" i="7"/>
  <c r="P88" i="7" s="1"/>
  <c r="O88" i="7"/>
  <c r="P603" i="7"/>
  <c r="AP41" i="13"/>
  <c r="M48" i="13"/>
  <c r="AP48" i="13" s="1"/>
  <c r="M161" i="13"/>
  <c r="O268" i="20" l="1"/>
  <c r="X268" i="20"/>
  <c r="AN36" i="13"/>
  <c r="K38" i="13"/>
  <c r="K50" i="13"/>
  <c r="AP37" i="14"/>
  <c r="AQ37" i="14"/>
  <c r="I175" i="13"/>
  <c r="AL210" i="13"/>
  <c r="G76" i="15"/>
  <c r="L269" i="20"/>
  <c r="M27" i="15"/>
  <c r="L24" i="11"/>
  <c r="AN153" i="13"/>
  <c r="K156" i="13"/>
  <c r="X153" i="13"/>
  <c r="AP28" i="14"/>
  <c r="AQ28" i="14"/>
  <c r="W457" i="20"/>
  <c r="W484" i="20" s="1"/>
  <c r="W493" i="20" s="1"/>
  <c r="W498" i="20" s="1"/>
  <c r="F409" i="20"/>
  <c r="F412" i="20"/>
  <c r="W399" i="20"/>
  <c r="N380" i="20"/>
  <c r="O23" i="15"/>
  <c r="AC101" i="14"/>
  <c r="O11" i="12"/>
  <c r="K402" i="20"/>
  <c r="W402" i="20" s="1"/>
  <c r="AN53" i="13"/>
  <c r="X53" i="13"/>
  <c r="X36" i="13"/>
  <c r="X50" i="13" s="1"/>
  <c r="AD31" i="14"/>
  <c r="P25" i="15"/>
  <c r="R25" i="15" s="1"/>
  <c r="T25" i="15"/>
  <c r="P669" i="7"/>
  <c r="P671" i="7" s="1"/>
  <c r="O671" i="7"/>
  <c r="AB64" i="14"/>
  <c r="AB61" i="14"/>
  <c r="N240" i="7"/>
  <c r="AM191" i="13"/>
  <c r="J194" i="13"/>
  <c r="N270" i="20"/>
  <c r="AC129" i="14"/>
  <c r="O20" i="11"/>
  <c r="Q20" i="11" s="1"/>
  <c r="N13" i="12"/>
  <c r="N21" i="12" s="1"/>
  <c r="O611" i="7"/>
  <c r="O622" i="7"/>
  <c r="AK172" i="13"/>
  <c r="H52" i="13"/>
  <c r="AC119" i="14"/>
  <c r="AC36" i="14" s="1"/>
  <c r="AD36" i="14" s="1"/>
  <c r="AD117" i="14"/>
  <c r="AD119" i="14" s="1"/>
  <c r="Q18" i="11"/>
  <c r="W172" i="13"/>
  <c r="AO173" i="13"/>
  <c r="L53" i="13"/>
  <c r="Y376" i="20"/>
  <c r="P57" i="7"/>
  <c r="P59" i="7" s="1"/>
  <c r="O59" i="7"/>
  <c r="P30" i="15"/>
  <c r="R30" i="15" s="1"/>
  <c r="T30" i="15"/>
  <c r="AC107" i="14"/>
  <c r="AC34" i="14" s="1"/>
  <c r="AD34" i="14" s="1"/>
  <c r="AD105" i="14"/>
  <c r="AD107" i="14" s="1"/>
  <c r="G401" i="20"/>
  <c r="G55" i="13"/>
  <c r="AJ52" i="13"/>
  <c r="H60" i="15"/>
  <c r="W52" i="13"/>
  <c r="O379" i="20"/>
  <c r="X379" i="20"/>
  <c r="Y379" i="20" s="1"/>
  <c r="M168" i="13"/>
  <c r="AP168" i="13" s="1"/>
  <c r="AP161" i="13"/>
  <c r="K498" i="20"/>
  <c r="K399" i="20"/>
  <c r="N290" i="7"/>
  <c r="N291" i="7" s="1"/>
  <c r="N211" i="7"/>
  <c r="N293" i="7"/>
  <c r="N295" i="7" s="1"/>
  <c r="N288" i="7"/>
  <c r="O278" i="7" s="1"/>
  <c r="N41" i="13" l="1"/>
  <c r="N57" i="12"/>
  <c r="N215" i="7"/>
  <c r="N216" i="7" s="1"/>
  <c r="N218" i="7"/>
  <c r="N213" i="7"/>
  <c r="O203" i="7" s="1"/>
  <c r="AF34" i="14"/>
  <c r="AM34" i="14"/>
  <c r="AC131" i="14"/>
  <c r="AC56" i="14" s="1"/>
  <c r="AD56" i="14" s="1"/>
  <c r="O33" i="15"/>
  <c r="AD129" i="14"/>
  <c r="AD131" i="14" s="1"/>
  <c r="AB83" i="14"/>
  <c r="N62" i="15" s="1"/>
  <c r="AB66" i="14"/>
  <c r="AB80" i="14" s="1"/>
  <c r="X156" i="13"/>
  <c r="X170" i="13" s="1"/>
  <c r="AN38" i="13"/>
  <c r="X38" i="13"/>
  <c r="AF36" i="14"/>
  <c r="AM36" i="14"/>
  <c r="O270" i="20"/>
  <c r="X270" i="20"/>
  <c r="Y270" i="20" s="1"/>
  <c r="AN156" i="13"/>
  <c r="K158" i="13"/>
  <c r="K170" i="13"/>
  <c r="V170" i="14"/>
  <c r="AJ55" i="13"/>
  <c r="H64" i="15"/>
  <c r="G57" i="13"/>
  <c r="AC103" i="14"/>
  <c r="AC33" i="14" s="1"/>
  <c r="AD101" i="14"/>
  <c r="AD103" i="14" s="1"/>
  <c r="W55" i="13"/>
  <c r="W57" i="13" s="1"/>
  <c r="W179" i="13" s="1"/>
  <c r="L402" i="20"/>
  <c r="AO53" i="13"/>
  <c r="H401" i="20"/>
  <c r="H403" i="20" s="1"/>
  <c r="H405" i="20" s="1"/>
  <c r="H55" i="13"/>
  <c r="AK52" i="13"/>
  <c r="I60" i="15"/>
  <c r="Y268" i="20"/>
  <c r="K411" i="20"/>
  <c r="AM194" i="13"/>
  <c r="J197" i="13"/>
  <c r="AL175" i="13"/>
  <c r="I172" i="13"/>
  <c r="I177" i="13"/>
  <c r="AL177" i="13" s="1"/>
  <c r="Q11" i="12"/>
  <c r="Q21" i="12" s="1"/>
  <c r="Q57" i="12" s="1"/>
  <c r="O21" i="12"/>
  <c r="O57" i="12" s="1"/>
  <c r="L33" i="13"/>
  <c r="L51" i="11"/>
  <c r="W175" i="13"/>
  <c r="W177" i="13" s="1"/>
  <c r="G403" i="20"/>
  <c r="N382" i="20"/>
  <c r="O19" i="15"/>
  <c r="AC121" i="14"/>
  <c r="O13" i="12"/>
  <c r="Q13" i="12" s="1"/>
  <c r="O230" i="7"/>
  <c r="O245" i="7"/>
  <c r="AF31" i="14"/>
  <c r="AM31" i="14"/>
  <c r="T23" i="15"/>
  <c r="P23" i="15"/>
  <c r="R23" i="15" s="1"/>
  <c r="L456" i="20"/>
  <c r="L287" i="20"/>
  <c r="L289" i="20" s="1"/>
  <c r="P611" i="7"/>
  <c r="P613" i="7" s="1"/>
  <c r="O613" i="7"/>
  <c r="O380" i="20"/>
  <c r="X380" i="20"/>
  <c r="Y380" i="20" s="1"/>
  <c r="Z164" i="14"/>
  <c r="AN50" i="13"/>
  <c r="O382" i="20" l="1"/>
  <c r="X382" i="20"/>
  <c r="Y382" i="20" s="1"/>
  <c r="Y388" i="20" s="1"/>
  <c r="AM56" i="14"/>
  <c r="AF56" i="14"/>
  <c r="L457" i="20"/>
  <c r="L484" i="20" s="1"/>
  <c r="L493" i="20" s="1"/>
  <c r="O247" i="7"/>
  <c r="P245" i="7"/>
  <c r="P247" i="7" s="1"/>
  <c r="V401" i="20"/>
  <c r="AJ57" i="13"/>
  <c r="AJ179" i="13" s="1"/>
  <c r="G179" i="13"/>
  <c r="H65" i="15"/>
  <c r="AP34" i="14"/>
  <c r="AQ34" i="14"/>
  <c r="L290" i="20"/>
  <c r="L363" i="20"/>
  <c r="L374" i="20" s="1"/>
  <c r="AD33" i="14"/>
  <c r="AM197" i="13"/>
  <c r="J210" i="13"/>
  <c r="O388" i="20"/>
  <c r="G405" i="20"/>
  <c r="V403" i="20"/>
  <c r="AL172" i="13"/>
  <c r="I52" i="13"/>
  <c r="N388" i="20"/>
  <c r="AC123" i="14"/>
  <c r="AC41" i="14" s="1"/>
  <c r="AD41" i="14" s="1"/>
  <c r="AD121" i="14"/>
  <c r="AD123" i="14" s="1"/>
  <c r="V167" i="14"/>
  <c r="V172" i="14"/>
  <c r="AP36" i="14"/>
  <c r="AQ36" i="14"/>
  <c r="AB168" i="14"/>
  <c r="M173" i="13"/>
  <c r="N63" i="15"/>
  <c r="M19" i="11"/>
  <c r="N220" i="7"/>
  <c r="P19" i="15"/>
  <c r="T19" i="15"/>
  <c r="W170" i="14"/>
  <c r="AK55" i="13"/>
  <c r="I64" i="15"/>
  <c r="H57" i="13"/>
  <c r="K191" i="13"/>
  <c r="AN170" i="13"/>
  <c r="H409" i="20"/>
  <c r="AN158" i="13"/>
  <c r="X158" i="13"/>
  <c r="AO33" i="13"/>
  <c r="L153" i="13"/>
  <c r="L36" i="13"/>
  <c r="AP31" i="14"/>
  <c r="AQ31" i="14"/>
  <c r="T33" i="15"/>
  <c r="P33" i="15"/>
  <c r="R33" i="15" s="1"/>
  <c r="AQ41" i="13"/>
  <c r="N48" i="13"/>
  <c r="AQ48" i="13" s="1"/>
  <c r="N161" i="13"/>
  <c r="O41" i="13"/>
  <c r="Y41" i="13"/>
  <c r="AK57" i="13" l="1"/>
  <c r="AK179" i="13" s="1"/>
  <c r="H179" i="13"/>
  <c r="I65" i="15"/>
  <c r="I76" i="15" s="1"/>
  <c r="AQ56" i="14"/>
  <c r="AP56" i="14"/>
  <c r="O48" i="13"/>
  <c r="Q41" i="13"/>
  <c r="Q48" i="13" s="1"/>
  <c r="H412" i="20"/>
  <c r="W167" i="14"/>
  <c r="W172" i="14"/>
  <c r="AM41" i="14"/>
  <c r="AF41" i="14"/>
  <c r="I401" i="20"/>
  <c r="I55" i="13"/>
  <c r="AL52" i="13"/>
  <c r="J60" i="15"/>
  <c r="L399" i="20"/>
  <c r="L498" i="20"/>
  <c r="AQ161" i="13"/>
  <c r="N168" i="13"/>
  <c r="AQ168" i="13" s="1"/>
  <c r="O161" i="13"/>
  <c r="Y161" i="13"/>
  <c r="X388" i="20"/>
  <c r="AM210" i="13"/>
  <c r="J175" i="13"/>
  <c r="O249" i="7"/>
  <c r="O238" i="7"/>
  <c r="R19" i="15"/>
  <c r="M269" i="20"/>
  <c r="N27" i="15"/>
  <c r="M24" i="11"/>
  <c r="AO36" i="13"/>
  <c r="L50" i="13"/>
  <c r="L38" i="13"/>
  <c r="AO153" i="13"/>
  <c r="L156" i="13"/>
  <c r="K194" i="13"/>
  <c r="AN191" i="13"/>
  <c r="X191" i="13"/>
  <c r="V405" i="20"/>
  <c r="V409" i="20" s="1"/>
  <c r="H76" i="15"/>
  <c r="AC59" i="14"/>
  <c r="G409" i="20"/>
  <c r="G412" i="20"/>
  <c r="Y48" i="13"/>
  <c r="AA41" i="13"/>
  <c r="AA48" i="13" s="1"/>
  <c r="AP173" i="13"/>
  <c r="M53" i="13"/>
  <c r="AF33" i="14"/>
  <c r="AM33" i="14"/>
  <c r="AD59" i="14"/>
  <c r="AO38" i="13" l="1"/>
  <c r="AD61" i="14"/>
  <c r="AM59" i="14"/>
  <c r="AM61" i="14" s="1"/>
  <c r="AA164" i="14"/>
  <c r="AO50" i="13"/>
  <c r="AP33" i="14"/>
  <c r="AP59" i="14" s="1"/>
  <c r="AP61" i="14" s="1"/>
  <c r="AQ33" i="14"/>
  <c r="O286" i="7"/>
  <c r="P238" i="7"/>
  <c r="P240" i="7" s="1"/>
  <c r="O240" i="7"/>
  <c r="Y168" i="13"/>
  <c r="AA161" i="13"/>
  <c r="AA168" i="13" s="1"/>
  <c r="O168" i="13"/>
  <c r="Q161" i="13"/>
  <c r="Q168" i="13" s="1"/>
  <c r="AL55" i="13"/>
  <c r="X170" i="14"/>
  <c r="J64" i="15"/>
  <c r="I57" i="13"/>
  <c r="AC61" i="14"/>
  <c r="AC64" i="14"/>
  <c r="AN194" i="13"/>
  <c r="K197" i="13"/>
  <c r="X194" i="13"/>
  <c r="M33" i="13"/>
  <c r="M51" i="11"/>
  <c r="M402" i="20"/>
  <c r="AP53" i="13"/>
  <c r="AO156" i="13"/>
  <c r="L170" i="13"/>
  <c r="L158" i="13"/>
  <c r="I403" i="20"/>
  <c r="M456" i="20"/>
  <c r="M287" i="20"/>
  <c r="M289" i="20" s="1"/>
  <c r="J172" i="13"/>
  <c r="AM175" i="13"/>
  <c r="J177" i="13"/>
  <c r="AM177" i="13" s="1"/>
  <c r="AF59" i="14"/>
  <c r="AF61" i="14" s="1"/>
  <c r="L411" i="20"/>
  <c r="AQ41" i="14"/>
  <c r="AP41" i="14"/>
  <c r="M290" i="20" l="1"/>
  <c r="M363" i="20"/>
  <c r="M374" i="20" s="1"/>
  <c r="AC66" i="14"/>
  <c r="AC80" i="14" s="1"/>
  <c r="AC83" i="14"/>
  <c r="O62" i="15" s="1"/>
  <c r="AD64" i="14"/>
  <c r="AQ59" i="14"/>
  <c r="AQ61" i="14" s="1"/>
  <c r="M457" i="20"/>
  <c r="M484" i="20" s="1"/>
  <c r="M493" i="20" s="1"/>
  <c r="I405" i="20"/>
  <c r="AL57" i="13"/>
  <c r="AL179" i="13" s="1"/>
  <c r="I179" i="13"/>
  <c r="J65" i="15"/>
  <c r="J76" i="15" s="1"/>
  <c r="AP33" i="13"/>
  <c r="M153" i="13"/>
  <c r="M36" i="13"/>
  <c r="X167" i="14"/>
  <c r="X172" i="14"/>
  <c r="O290" i="7"/>
  <c r="O291" i="7" s="1"/>
  <c r="O293" i="7"/>
  <c r="O211" i="7"/>
  <c r="P286" i="7"/>
  <c r="O288" i="7"/>
  <c r="AO158" i="13"/>
  <c r="AM172" i="13"/>
  <c r="J52" i="13"/>
  <c r="AO170" i="13"/>
  <c r="L191" i="13"/>
  <c r="AN197" i="13"/>
  <c r="K210" i="13"/>
  <c r="X197" i="13"/>
  <c r="AP36" i="13" l="1"/>
  <c r="M38" i="13"/>
  <c r="M411" i="20" s="1"/>
  <c r="M50" i="13"/>
  <c r="J401" i="20"/>
  <c r="AM52" i="13"/>
  <c r="J55" i="13"/>
  <c r="K60" i="15"/>
  <c r="O295" i="7"/>
  <c r="P293" i="7"/>
  <c r="AD83" i="14"/>
  <c r="AF64" i="14"/>
  <c r="AM64" i="14"/>
  <c r="AD66" i="14"/>
  <c r="AD80" i="14" s="1"/>
  <c r="AD168" i="14" s="1"/>
  <c r="AF168" i="14" s="1"/>
  <c r="AC168" i="14"/>
  <c r="N173" i="13"/>
  <c r="O63" i="15"/>
  <c r="X195" i="13"/>
  <c r="AN210" i="13"/>
  <c r="K175" i="13"/>
  <c r="X210" i="13"/>
  <c r="L194" i="13"/>
  <c r="AO191" i="13"/>
  <c r="P62" i="15"/>
  <c r="R62" i="15" s="1"/>
  <c r="T62" i="15"/>
  <c r="P211" i="7"/>
  <c r="P213" i="7" s="1"/>
  <c r="P288" i="7"/>
  <c r="AP153" i="13"/>
  <c r="M156" i="13"/>
  <c r="I409" i="20"/>
  <c r="I412" i="20"/>
  <c r="M399" i="20"/>
  <c r="M498" i="20"/>
  <c r="O215" i="7"/>
  <c r="O216" i="7" s="1"/>
  <c r="O218" i="7"/>
  <c r="O213" i="7"/>
  <c r="AO194" i="13" l="1"/>
  <c r="L197" i="13"/>
  <c r="AQ173" i="13"/>
  <c r="N53" i="13"/>
  <c r="O173" i="13"/>
  <c r="Q173" i="13" s="1"/>
  <c r="Y173" i="13"/>
  <c r="AA173" i="13" s="1"/>
  <c r="O220" i="7"/>
  <c r="N19" i="11"/>
  <c r="P218" i="7"/>
  <c r="AP156" i="13"/>
  <c r="M170" i="13"/>
  <c r="M158" i="13"/>
  <c r="K172" i="13"/>
  <c r="AN175" i="13"/>
  <c r="K177" i="13"/>
  <c r="AN177" i="13" s="1"/>
  <c r="AP64" i="14"/>
  <c r="AM83" i="14"/>
  <c r="AQ64" i="14"/>
  <c r="AM66" i="14"/>
  <c r="AM80" i="14" s="1"/>
  <c r="AB164" i="14"/>
  <c r="AP50" i="13"/>
  <c r="Y170" i="14"/>
  <c r="AM55" i="13"/>
  <c r="K64" i="15"/>
  <c r="J57" i="13"/>
  <c r="AF83" i="14"/>
  <c r="AF66" i="14"/>
  <c r="AF80" i="14" s="1"/>
  <c r="J403" i="20"/>
  <c r="AP38" i="13"/>
  <c r="T63" i="15"/>
  <c r="P63" i="15"/>
  <c r="R63" i="15" s="1"/>
  <c r="J405" i="20" l="1"/>
  <c r="AN172" i="13"/>
  <c r="K52" i="13"/>
  <c r="X172" i="13"/>
  <c r="AM57" i="13"/>
  <c r="AM179" i="13" s="1"/>
  <c r="J179" i="13"/>
  <c r="K65" i="15"/>
  <c r="K76" i="15" s="1"/>
  <c r="AP158" i="13"/>
  <c r="N402" i="20"/>
  <c r="AQ53" i="13"/>
  <c r="O53" i="13"/>
  <c r="Q53" i="13" s="1"/>
  <c r="Y53" i="13"/>
  <c r="AA53" i="13" s="1"/>
  <c r="Y167" i="14"/>
  <c r="Y172" i="14"/>
  <c r="AQ83" i="14"/>
  <c r="AQ66" i="14"/>
  <c r="AQ80" i="14" s="1"/>
  <c r="M191" i="13"/>
  <c r="AP170" i="13"/>
  <c r="L210" i="13"/>
  <c r="AO197" i="13"/>
  <c r="AP83" i="14"/>
  <c r="AP66" i="14"/>
  <c r="AP80" i="14" s="1"/>
  <c r="N269" i="20"/>
  <c r="O27" i="15"/>
  <c r="O19" i="11"/>
  <c r="N24" i="11"/>
  <c r="Q19" i="11" l="1"/>
  <c r="Q24" i="11" s="1"/>
  <c r="Q51" i="11" s="1"/>
  <c r="O24" i="11"/>
  <c r="O51" i="11" s="1"/>
  <c r="X175" i="13"/>
  <c r="X177" i="13" s="1"/>
  <c r="AP191" i="13"/>
  <c r="M194" i="13"/>
  <c r="O269" i="20"/>
  <c r="O287" i="20" s="1"/>
  <c r="O289" i="20" s="1"/>
  <c r="O363" i="20" s="1"/>
  <c r="O374" i="20" s="1"/>
  <c r="N287" i="20"/>
  <c r="N289" i="20" s="1"/>
  <c r="N456" i="20"/>
  <c r="X269" i="20"/>
  <c r="O402" i="20"/>
  <c r="X402" i="20"/>
  <c r="Y402" i="20" s="1"/>
  <c r="N33" i="13"/>
  <c r="N51" i="11"/>
  <c r="P27" i="15"/>
  <c r="T27" i="15"/>
  <c r="K401" i="20"/>
  <c r="AN52" i="13"/>
  <c r="K55" i="13"/>
  <c r="L60" i="15"/>
  <c r="X52" i="13"/>
  <c r="L175" i="13"/>
  <c r="AO210" i="13"/>
  <c r="J412" i="20"/>
  <c r="J409" i="20"/>
  <c r="O399" i="20" l="1"/>
  <c r="X55" i="13"/>
  <c r="X57" i="13" s="1"/>
  <c r="X179" i="13" s="1"/>
  <c r="K403" i="20"/>
  <c r="W401" i="20"/>
  <c r="Y269" i="20"/>
  <c r="Y287" i="20" s="1"/>
  <c r="Y289" i="20" s="1"/>
  <c r="Y363" i="20" s="1"/>
  <c r="Y374" i="20" s="1"/>
  <c r="X287" i="20"/>
  <c r="X289" i="20" s="1"/>
  <c r="X363" i="20" s="1"/>
  <c r="X374" i="20" s="1"/>
  <c r="L172" i="13"/>
  <c r="AO175" i="13"/>
  <c r="L177" i="13"/>
  <c r="AO177" i="13" s="1"/>
  <c r="R27" i="15"/>
  <c r="N457" i="20"/>
  <c r="N484" i="20" s="1"/>
  <c r="N493" i="20" s="1"/>
  <c r="O456" i="20"/>
  <c r="O457" i="20" s="1"/>
  <c r="O484" i="20" s="1"/>
  <c r="O493" i="20" s="1"/>
  <c r="O498" i="20" s="1"/>
  <c r="X456" i="20"/>
  <c r="AQ33" i="13"/>
  <c r="N153" i="13"/>
  <c r="N36" i="13"/>
  <c r="O33" i="13"/>
  <c r="Y33" i="13"/>
  <c r="AP194" i="13"/>
  <c r="M197" i="13"/>
  <c r="Z170" i="14"/>
  <c r="AN55" i="13"/>
  <c r="L64" i="15"/>
  <c r="K57" i="13"/>
  <c r="N290" i="20"/>
  <c r="N363" i="20"/>
  <c r="N374" i="20" s="1"/>
  <c r="M210" i="13" l="1"/>
  <c r="AP197" i="13"/>
  <c r="Y399" i="20"/>
  <c r="O290" i="20"/>
  <c r="X290" i="20"/>
  <c r="Y290" i="20" s="1"/>
  <c r="N399" i="20"/>
  <c r="N498" i="20"/>
  <c r="Q33" i="13"/>
  <c r="Q36" i="13" s="1"/>
  <c r="O36" i="13"/>
  <c r="Y36" i="13"/>
  <c r="Y50" i="13" s="1"/>
  <c r="AA33" i="13"/>
  <c r="AA36" i="13" s="1"/>
  <c r="AA50" i="13" s="1"/>
  <c r="K405" i="20"/>
  <c r="W403" i="20"/>
  <c r="AN57" i="13"/>
  <c r="AN179" i="13" s="1"/>
  <c r="K179" i="13"/>
  <c r="L65" i="15"/>
  <c r="L76" i="15" s="1"/>
  <c r="AQ36" i="13"/>
  <c r="N50" i="13"/>
  <c r="N38" i="13"/>
  <c r="AQ153" i="13"/>
  <c r="N156" i="13"/>
  <c r="O153" i="13"/>
  <c r="Y153" i="13"/>
  <c r="Z167" i="14"/>
  <c r="Z172" i="14"/>
  <c r="AO172" i="13"/>
  <c r="L52" i="13"/>
  <c r="X457" i="20"/>
  <c r="X484" i="20" s="1"/>
  <c r="X493" i="20" s="1"/>
  <c r="X498" i="20" s="1"/>
  <c r="Y456" i="20"/>
  <c r="Y457" i="20" s="1"/>
  <c r="Y484" i="20" s="1"/>
  <c r="Y493" i="20" s="1"/>
  <c r="Y498" i="20" s="1"/>
  <c r="X399" i="20"/>
  <c r="AQ38" i="13" l="1"/>
  <c r="Y38" i="13"/>
  <c r="AA38" i="13" s="1"/>
  <c r="K412" i="20"/>
  <c r="K409" i="20"/>
  <c r="AC164" i="14"/>
  <c r="AQ50" i="13"/>
  <c r="O38" i="13"/>
  <c r="O411" i="20" s="1"/>
  <c r="O50" i="13"/>
  <c r="Y156" i="13"/>
  <c r="Y170" i="13" s="1"/>
  <c r="AA153" i="13"/>
  <c r="AA156" i="13" s="1"/>
  <c r="AA170" i="13" s="1"/>
  <c r="Q38" i="13"/>
  <c r="Q50" i="13"/>
  <c r="Q153" i="13"/>
  <c r="Q156" i="13" s="1"/>
  <c r="O156" i="13"/>
  <c r="AQ156" i="13"/>
  <c r="N170" i="13"/>
  <c r="N158" i="13"/>
  <c r="L401" i="20"/>
  <c r="AO52" i="13"/>
  <c r="L55" i="13"/>
  <c r="M60" i="15"/>
  <c r="W405" i="20"/>
  <c r="W409" i="20" s="1"/>
  <c r="N411" i="20"/>
  <c r="M175" i="13"/>
  <c r="AP210" i="13"/>
  <c r="O170" i="13" l="1"/>
  <c r="O158" i="13"/>
  <c r="M172" i="13"/>
  <c r="AP175" i="13"/>
  <c r="M177" i="13"/>
  <c r="AP177" i="13" s="1"/>
  <c r="L403" i="20"/>
  <c r="AA170" i="14"/>
  <c r="AO55" i="13"/>
  <c r="M64" i="15"/>
  <c r="L57" i="13"/>
  <c r="AD164" i="14"/>
  <c r="Q170" i="13"/>
  <c r="Q158" i="13"/>
  <c r="AQ158" i="13"/>
  <c r="Y158" i="13"/>
  <c r="AA158" i="13" s="1"/>
  <c r="AQ170" i="13"/>
  <c r="N191" i="13"/>
  <c r="AA167" i="14" l="1"/>
  <c r="AA172" i="14"/>
  <c r="AF164" i="14"/>
  <c r="L405" i="20"/>
  <c r="AQ191" i="13"/>
  <c r="N194" i="13"/>
  <c r="O191" i="13"/>
  <c r="Y191" i="13"/>
  <c r="AA191" i="13" s="1"/>
  <c r="AO57" i="13"/>
  <c r="AO179" i="13" s="1"/>
  <c r="L179" i="13"/>
  <c r="M65" i="15"/>
  <c r="M76" i="15" s="1"/>
  <c r="AP172" i="13"/>
  <c r="M52" i="13"/>
  <c r="Q191" i="13" l="1"/>
  <c r="Q194" i="13" s="1"/>
  <c r="O194" i="13"/>
  <c r="M401" i="20"/>
  <c r="AP52" i="13"/>
  <c r="M55" i="13"/>
  <c r="N60" i="15"/>
  <c r="L412" i="20"/>
  <c r="L409" i="20"/>
  <c r="AQ194" i="13"/>
  <c r="N197" i="13"/>
  <c r="Y194" i="13"/>
  <c r="AA194" i="13" s="1"/>
  <c r="M403" i="20" l="1"/>
  <c r="N210" i="13"/>
  <c r="AQ197" i="13"/>
  <c r="O197" i="13"/>
  <c r="Y197" i="13"/>
  <c r="AB170" i="14"/>
  <c r="AP55" i="13"/>
  <c r="N64" i="15"/>
  <c r="M57" i="13"/>
  <c r="AP57" i="13" l="1"/>
  <c r="AP179" i="13" s="1"/>
  <c r="M179" i="13"/>
  <c r="N65" i="15"/>
  <c r="N76" i="15" s="1"/>
  <c r="AB167" i="14"/>
  <c r="AB172" i="14"/>
  <c r="N175" i="13"/>
  <c r="AQ210" i="13"/>
  <c r="Y210" i="13"/>
  <c r="AA210" i="13" s="1"/>
  <c r="M405" i="20"/>
  <c r="Y195" i="13"/>
  <c r="AA197" i="13"/>
  <c r="AA195" i="13" s="1"/>
  <c r="O195" i="13"/>
  <c r="Q197" i="13"/>
  <c r="O210" i="13"/>
  <c r="Q195" i="13" l="1"/>
  <c r="Q210" i="13"/>
  <c r="AQ175" i="13"/>
  <c r="N172" i="13"/>
  <c r="N177" i="13"/>
  <c r="AQ177" i="13" s="1"/>
  <c r="M412" i="20"/>
  <c r="M409" i="20"/>
  <c r="AQ172" i="13" l="1"/>
  <c r="N52" i="13"/>
  <c r="O172" i="13"/>
  <c r="Y172" i="13"/>
  <c r="N401" i="20" l="1"/>
  <c r="AQ52" i="13"/>
  <c r="N55" i="13"/>
  <c r="O60" i="15"/>
  <c r="O52" i="13"/>
  <c r="Y52" i="13"/>
  <c r="O175" i="13"/>
  <c r="O177" i="13" s="1"/>
  <c r="Q172" i="13"/>
  <c r="Q175" i="13" s="1"/>
  <c r="Q177" i="13" s="1"/>
  <c r="Y175" i="13"/>
  <c r="Y177" i="13" s="1"/>
  <c r="AA172" i="13"/>
  <c r="AA175" i="13" s="1"/>
  <c r="AA177" i="13" s="1"/>
  <c r="AC170" i="14" l="1"/>
  <c r="AQ55" i="13"/>
  <c r="O64" i="15"/>
  <c r="N57" i="13"/>
  <c r="N403" i="20"/>
  <c r="O401" i="20"/>
  <c r="X401" i="20"/>
  <c r="Y401" i="20" s="1"/>
  <c r="Y55" i="13"/>
  <c r="Y57" i="13" s="1"/>
  <c r="Y179" i="13" s="1"/>
  <c r="AA52" i="13"/>
  <c r="AA55" i="13" s="1"/>
  <c r="AA57" i="13" s="1"/>
  <c r="AA179" i="13" s="1"/>
  <c r="O55" i="13"/>
  <c r="O57" i="13" s="1"/>
  <c r="O179" i="13" s="1"/>
  <c r="Q52" i="13"/>
  <c r="Q55" i="13" s="1"/>
  <c r="Q57" i="13" s="1"/>
  <c r="Q179" i="13" s="1"/>
  <c r="T60" i="15"/>
  <c r="P60" i="15"/>
  <c r="R60" i="15" s="1"/>
  <c r="AC167" i="14" l="1"/>
  <c r="AD170" i="14"/>
  <c r="AC172" i="14"/>
  <c r="P64" i="15"/>
  <c r="R64" i="15" s="1"/>
  <c r="T64" i="15"/>
  <c r="N405" i="20"/>
  <c r="X403" i="20"/>
  <c r="O403" i="20"/>
  <c r="O405" i="20" s="1"/>
  <c r="AQ57" i="13"/>
  <c r="AQ179" i="13" s="1"/>
  <c r="N179" i="13"/>
  <c r="O65" i="15"/>
  <c r="O409" i="20" l="1"/>
  <c r="O412" i="20"/>
  <c r="Y403" i="20"/>
  <c r="Y405" i="20" s="1"/>
  <c r="Y409" i="20" s="1"/>
  <c r="X405" i="20"/>
  <c r="X409" i="20" s="1"/>
  <c r="AD167" i="14"/>
  <c r="AF167" i="14" s="1"/>
  <c r="AF170" i="14" s="1"/>
  <c r="AF172" i="14" s="1"/>
  <c r="AD172" i="14"/>
  <c r="N412" i="20"/>
  <c r="N409" i="20"/>
  <c r="P65" i="15"/>
  <c r="T65" i="15"/>
  <c r="T76" i="15" s="1"/>
  <c r="O76" i="15"/>
  <c r="P78" i="15" s="1"/>
  <c r="R65" i="15" l="1"/>
  <c r="R76" i="15" s="1"/>
  <c r="P76" i="15"/>
</calcChain>
</file>

<file path=xl/sharedStrings.xml><?xml version="1.0" encoding="utf-8"?>
<sst xmlns="http://schemas.openxmlformats.org/spreadsheetml/2006/main" count="2451" uniqueCount="1235">
  <si>
    <t xml:space="preserve">   Writeoffs (Non Tracked)</t>
  </si>
  <si>
    <t xml:space="preserve">         Was Base Gas Arrangement Fee Amort. </t>
  </si>
  <si>
    <t xml:space="preserve">   Other (Was Overthrust)</t>
  </si>
  <si>
    <t>2/02</t>
  </si>
  <si>
    <t>1/02</t>
  </si>
  <si>
    <t xml:space="preserve">          - East Leg (12/02)</t>
  </si>
  <si>
    <t xml:space="preserve">          - Other (???)</t>
  </si>
  <si>
    <t>2001 Tax Return Adjustment - Federal (Oct.) &amp; State (Nov.)</t>
  </si>
  <si>
    <t>SBA DEMAND</t>
  </si>
  <si>
    <t xml:space="preserve">   TF Transport - North (Peak Day Units)</t>
  </si>
  <si>
    <t xml:space="preserve">                   - Central (Peak Day Units)</t>
  </si>
  <si>
    <t xml:space="preserve">                   - South (Peak Day Units)</t>
  </si>
  <si>
    <t xml:space="preserve">   Total TF Demand Volume</t>
  </si>
  <si>
    <t xml:space="preserve">      Avg. Revenue Rate (Calc.)</t>
  </si>
  <si>
    <t xml:space="preserve">   Over / (Under) Recovery- Demand</t>
  </si>
  <si>
    <t>Other Non Earnings / Cash Flow Items</t>
  </si>
  <si>
    <t xml:space="preserve">      Cash Receipts</t>
  </si>
  <si>
    <t xml:space="preserve">         Imbalance / OBA Activity</t>
  </si>
  <si>
    <t xml:space="preserve">         Capex Reimbursements</t>
  </si>
  <si>
    <t xml:space="preserve">         Other</t>
  </si>
  <si>
    <t xml:space="preserve">         Miscellaneous</t>
  </si>
  <si>
    <t xml:space="preserve">      Total Cash Receipts</t>
  </si>
  <si>
    <t xml:space="preserve">         Storage / Linepack / Condensate Sales</t>
  </si>
  <si>
    <t xml:space="preserve">      Cash Disbursements</t>
  </si>
  <si>
    <t xml:space="preserve">      - Item 2</t>
  </si>
  <si>
    <t xml:space="preserve">   Gas Purchases (Item 1)</t>
  </si>
  <si>
    <t xml:space="preserve">   AFUDC (Non IBIT)</t>
  </si>
  <si>
    <t xml:space="preserve">   AFUDC - Debt (Reclass from Direct Interest Expense ???)</t>
  </si>
  <si>
    <t xml:space="preserve">   Item 2</t>
  </si>
  <si>
    <t xml:space="preserve">   FDD / IDD Structured Products</t>
  </si>
  <si>
    <t xml:space="preserve">   Other (Mics. Item 1)</t>
  </si>
  <si>
    <t xml:space="preserve">Total Carlton Resolution (Tracked) Expense </t>
  </si>
  <si>
    <t xml:space="preserve">      Fuel / UAF - Fuel </t>
  </si>
  <si>
    <t xml:space="preserve">         - Other UAF </t>
  </si>
  <si>
    <t xml:space="preserve">         Storage / Linepack Purchases</t>
  </si>
  <si>
    <t xml:space="preserve">         Base Gas Buy Back - 1999 Sale (5/02 - 15.0 Bcf)</t>
  </si>
  <si>
    <t xml:space="preserve">            - 2000 Sale (5/03 - 12.2 Bcf)</t>
  </si>
  <si>
    <t xml:space="preserve">         FERC Annual Cost Adjustment (ACA)</t>
  </si>
  <si>
    <t xml:space="preserve">         Deferred Regulatory Costs</t>
  </si>
  <si>
    <t xml:space="preserve">         Capital Expenditures</t>
  </si>
  <si>
    <t xml:space="preserve">      Total Cash Disbursements</t>
  </si>
  <si>
    <t xml:space="preserve">      Cash Disbursements - Capital Expenditures</t>
  </si>
  <si>
    <t xml:space="preserve">   Finance, Accounting &amp; Administration</t>
  </si>
  <si>
    <t xml:space="preserve">   Legal, Human Resources and Executive</t>
  </si>
  <si>
    <t xml:space="preserve">         Net Commercial Increase / (Decrease)</t>
  </si>
  <si>
    <t xml:space="preserve">         Net Operations Increase / (Decrease)</t>
  </si>
  <si>
    <t xml:space="preserve">         Net FA&amp;A Increase / (Decrease)</t>
  </si>
  <si>
    <t xml:space="preserve">         Net IT Increase / (Decrease)</t>
  </si>
  <si>
    <t xml:space="preserve">         Net Legal, HR and Executive Increase / (Decrease)</t>
  </si>
  <si>
    <t xml:space="preserve">      Cash Receipts - Capex Reimbursements</t>
  </si>
  <si>
    <t xml:space="preserve">   * Note *  Total Capital Expenditures</t>
  </si>
  <si>
    <t xml:space="preserve">      Cash Receipts - Distributions</t>
  </si>
  <si>
    <t xml:space="preserve">      Cash Disbursements - Other</t>
  </si>
  <si>
    <t xml:space="preserve">         Net Trailblazer Increase / (Decrease)</t>
  </si>
  <si>
    <t xml:space="preserve">   Over / (Under) Recovery- Commodity</t>
  </si>
  <si>
    <t xml:space="preserve">   Actual / Estimate Adjustments (Input)</t>
  </si>
  <si>
    <t xml:space="preserve">      TOTAL OVER / (UNDER) RECOVERY</t>
  </si>
  <si>
    <t xml:space="preserve">      SBA   ADJUSTMENT</t>
  </si>
  <si>
    <t xml:space="preserve">SBA - BALANCE SHEET </t>
  </si>
  <si>
    <t xml:space="preserve">   Beginning Balance - (Over) / Under Recovery</t>
  </si>
  <si>
    <t xml:space="preserve">      Other Revenue / Expense Items (INPUT)</t>
  </si>
  <si>
    <t xml:space="preserve">      Current Month-Tracker </t>
  </si>
  <si>
    <t xml:space="preserve">      Other Adjustments (INPUT)</t>
  </si>
  <si>
    <t xml:space="preserve">      Prior Month Carrying Charges</t>
  </si>
  <si>
    <t xml:space="preserve">   Ending Balance - (Over) / Under Recovery</t>
  </si>
  <si>
    <t xml:space="preserve">   Interest Rate</t>
  </si>
  <si>
    <t xml:space="preserve">      Monthly</t>
  </si>
  <si>
    <t xml:space="preserve">   Current Month Carrying Charges</t>
  </si>
  <si>
    <t xml:space="preserve">      Cumulative Carrying Charges</t>
  </si>
  <si>
    <t xml:space="preserve"> </t>
  </si>
  <si>
    <t>PRINT: O&amp;M</t>
  </si>
  <si>
    <t>Direct Costs</t>
  </si>
  <si>
    <t xml:space="preserve">   Finance &amp; Accounting</t>
  </si>
  <si>
    <t xml:space="preserve">   Operations</t>
  </si>
  <si>
    <t xml:space="preserve">   Hyperion Timing Entry / Reversal</t>
  </si>
  <si>
    <t xml:space="preserve">         Total Direct Costs       </t>
  </si>
  <si>
    <t xml:space="preserve">         Total GPG / Corporate Allocation</t>
  </si>
  <si>
    <t xml:space="preserve">      TOTAL O&amp;M EXPENSE</t>
  </si>
  <si>
    <t>STRANDED 858 TRACKER ($000's)</t>
  </si>
  <si>
    <t>BALANCE</t>
  </si>
  <si>
    <t xml:space="preserve"> ---------</t>
  </si>
  <si>
    <t>STRANDED 858 DEMAND</t>
  </si>
  <si>
    <t xml:space="preserve">                      - Central (Peak Day Units)</t>
  </si>
  <si>
    <t>Total Order 528 TF Demand Revenue   (LINKED)</t>
  </si>
  <si>
    <t xml:space="preserve">      - New Structured Products</t>
  </si>
  <si>
    <t xml:space="preserve">                      - South (Peak Day Units)</t>
  </si>
  <si>
    <t>Excess Deferred Taxes (FAS 109 Payback to Corp.) B.S. Item</t>
  </si>
  <si>
    <t>* Carlton Resolution Tracker / Discount Issue / Carrying Charges</t>
  </si>
  <si>
    <t xml:space="preserve">      Avg. Stranded 858 Rate (CALC.)</t>
  </si>
  <si>
    <t xml:space="preserve">   Total Stranded 858 TF Demand Revenue   (Linked)</t>
  </si>
  <si>
    <t xml:space="preserve">      NSP Discount Issue</t>
  </si>
  <si>
    <t>Total Assumed Stranded 858 Demand Collections</t>
  </si>
  <si>
    <t>Stranded 858 Transport (Tracked) Expenses      (INPUT)</t>
  </si>
  <si>
    <t xml:space="preserve">      Many Islands (Canadian) FULLY ASSIGNED</t>
  </si>
  <si>
    <t xml:space="preserve">      Great Lakes FULLY ASSIGNED</t>
  </si>
  <si>
    <t xml:space="preserve">      Trailblazer System (Including WIC)</t>
  </si>
  <si>
    <t xml:space="preserve">      Settlement Credit</t>
  </si>
  <si>
    <t xml:space="preserve">      Rocky Mountain (Questar)</t>
  </si>
  <si>
    <t xml:space="preserve">      Gulf Coast / Dakota Gas (Columbia Gulf / HPL)</t>
  </si>
  <si>
    <t xml:space="preserve">Total Stranded 858 (Tracked) Expense </t>
  </si>
  <si>
    <t xml:space="preserve">   Over / (Under) Recovery</t>
  </si>
  <si>
    <t xml:space="preserve">   TFF Turnback Credit</t>
  </si>
  <si>
    <t xml:space="preserve">   Actual / Estimate Adjustments </t>
  </si>
  <si>
    <t xml:space="preserve">          - Other</t>
  </si>
  <si>
    <t xml:space="preserve">      STRANDED 858 (TC&amp;S EXPENSE) ADJUSTMENT</t>
  </si>
  <si>
    <t xml:space="preserve">         TOTAL 858 (ANR BUYOUT) TC&amp;S ADJ. (INPUT)</t>
  </si>
  <si>
    <t xml:space="preserve">         TOTAL 858 (OTHER) TC&amp;S EXPENSE ADJUSTMENT</t>
  </si>
  <si>
    <t>STRANDED 858 (W/O ANR BUYOUT) - BALANCE SHEET</t>
  </si>
  <si>
    <t xml:space="preserve">      Other Adjustments (Input)</t>
  </si>
  <si>
    <t xml:space="preserve">      Current Month - Tracker</t>
  </si>
  <si>
    <t xml:space="preserve">      Current Month - Other</t>
  </si>
  <si>
    <t xml:space="preserve">      Current Month Carrying Charges</t>
  </si>
  <si>
    <t xml:space="preserve">   Interest Rate </t>
  </si>
  <si>
    <t xml:space="preserve">      Total Current Month Carrying Charges</t>
  </si>
  <si>
    <t xml:space="preserve">      - Discretionary Capital Pool</t>
  </si>
  <si>
    <t>PRINT: PRT.2B</t>
  </si>
  <si>
    <t>ANR BUYOUT SETTLEMENT ($000's)</t>
  </si>
  <si>
    <t>ANR BUYOUT SETTLEMENT</t>
  </si>
  <si>
    <t xml:space="preserve">      Current Month - ANR Portion</t>
  </si>
  <si>
    <t xml:space="preserve">      Other </t>
  </si>
  <si>
    <t xml:space="preserve">   Current Month Carrying Charges (Not linked)</t>
  </si>
  <si>
    <t>PRINT: PRT.5</t>
  </si>
  <si>
    <t>STRANDED 858 R.A. TRACKER ($000's)</t>
  </si>
  <si>
    <t>858 R.A. DEMAND</t>
  </si>
  <si>
    <t xml:space="preserve">   Total Stranded 858 R.A. TF Demand Revenue  (LINKED)</t>
  </si>
  <si>
    <t>Total Assumed Stranded 858 R.A. Demand Collections</t>
  </si>
  <si>
    <t>Total Stranded 858 R.A. (Tracked) Expense  (INPUT)</t>
  </si>
  <si>
    <t xml:space="preserve">      ANR (4.2) Storage</t>
  </si>
  <si>
    <t xml:space="preserve">Total Stranded 858 R.A. (Tracked) Expense </t>
  </si>
  <si>
    <t xml:space="preserve">   Carlton TFF Issue - Ended 10/31/95 (acct. 4073 debit)</t>
  </si>
  <si>
    <t xml:space="preserve">      STRANDED 858 R.A. (TC&amp;S EXPENSE) ADJUSTMENT</t>
  </si>
  <si>
    <t xml:space="preserve">STRANDED 858 R.A. - BALANCE SHEET </t>
  </si>
  <si>
    <t xml:space="preserve">      Current Month - Tracker </t>
  </si>
  <si>
    <t xml:space="preserve">      Current Month - Other (Input)</t>
  </si>
  <si>
    <t xml:space="preserve">   Current Month Carrying Charges </t>
  </si>
  <si>
    <t>PRINT: PRT.6</t>
  </si>
  <si>
    <t>GAS SUPPLY REALIGNMENT TRACKER ($000's)</t>
  </si>
  <si>
    <t>GSR DEMAND &amp; COMMODITY</t>
  </si>
  <si>
    <t xml:space="preserve">      Avg. GSR Rate (CALC.)</t>
  </si>
  <si>
    <t xml:space="preserve">   Total GSR TF Demand &amp; Commodity Revenue  (LINKED)</t>
  </si>
  <si>
    <t xml:space="preserve">      GSR / GST True-ups</t>
  </si>
  <si>
    <t>Total Assumed GSR Revenue Collections</t>
  </si>
  <si>
    <t xml:space="preserve">GSR (Tracked) Expense </t>
  </si>
  <si>
    <t xml:space="preserve">      Other Final GSR Settlements</t>
  </si>
  <si>
    <t xml:space="preserve">      J.L. Davis Settlement</t>
  </si>
  <si>
    <t xml:space="preserve">Total GSR (Tracked) Expense </t>
  </si>
  <si>
    <t xml:space="preserve">      GSR (REGULATORY AMORTIZATION) ADJUSTMENT</t>
  </si>
  <si>
    <t xml:space="preserve">GSR - BALANCE SHEET </t>
  </si>
  <si>
    <t xml:space="preserve">      Current Month - Additional GSR Expense / Pricing (Input)</t>
  </si>
  <si>
    <t xml:space="preserve">   Effective Interest Rate </t>
  </si>
  <si>
    <t>PRINT: PRT.6B</t>
  </si>
  <si>
    <t>GSR (CHEVRON / MONTANA COMPONENTS) TRACKER ($000's)</t>
  </si>
  <si>
    <t>GSR - BALANCE SHEET (CHEVRON)</t>
  </si>
  <si>
    <t xml:space="preserve">      Current Month - Additional GSR Expense / Pricing </t>
  </si>
  <si>
    <t>GSR - BALANCE SHEET (MONTANA)</t>
  </si>
  <si>
    <t xml:space="preserve">      Other Adjustments </t>
  </si>
  <si>
    <t xml:space="preserve">      Current Month - Tracker (Formula) </t>
  </si>
  <si>
    <t xml:space="preserve">      Current Month - Additional GSR Expense / Pricing</t>
  </si>
  <si>
    <t xml:space="preserve">   Interest Rate (INPUT)</t>
  </si>
  <si>
    <t>GSR - BALANCE SHEET (BOTH)</t>
  </si>
  <si>
    <t>PRINT: PRT.7</t>
  </si>
  <si>
    <t>GAS SUPPLY REALIGNMENT R.A. TRACKER ($000's)</t>
  </si>
  <si>
    <t>GSR R.A. DEMAND &amp; COMMODITY</t>
  </si>
  <si>
    <t xml:space="preserve">      AVG. RATE RATE (CALC.)</t>
  </si>
  <si>
    <t xml:space="preserve">   Total GSR R.A. TF Demand &amp; Commodity Revenue  (LINKED)</t>
  </si>
  <si>
    <t xml:space="preserve">      Other - GSR - GSR RA True Ups</t>
  </si>
  <si>
    <t>Total Assumed GSR R.A. Revenue Collections</t>
  </si>
  <si>
    <t>GSR R.A. (Tracked) Expense  (INPUT)</t>
  </si>
  <si>
    <t xml:space="preserve">      90% Supply Component (Reverse Auction 1 Item)</t>
  </si>
  <si>
    <t>Total GSR R.A. (Tracked) Expense</t>
  </si>
  <si>
    <t xml:space="preserve">   NSP</t>
  </si>
  <si>
    <t xml:space="preserve">      GSR R.A. (REGULATORY AMORT.) ADJUSTMENT</t>
  </si>
  <si>
    <t xml:space="preserve">GSR R.A. - BALANCE SHEET </t>
  </si>
  <si>
    <t xml:space="preserve">      Current Month Adjustments (Input) </t>
  </si>
  <si>
    <t>PRINT: PRT.4</t>
  </si>
  <si>
    <t>REVERSE AUCTION 1 TRACKER ($000's)</t>
  </si>
  <si>
    <t>REVERSE AUCTION 1 DEMAND</t>
  </si>
  <si>
    <t xml:space="preserve">      AVG.  RATE (CALC.)</t>
  </si>
  <si>
    <t>Total Reverse Auction 1 TF Demand Revenue   (LINKED)</t>
  </si>
  <si>
    <t>Total Reverse Auction 1 (Tracked) Expense  (INPUT)</t>
  </si>
  <si>
    <t xml:space="preserve">   Actual Revenue Adjustment</t>
  </si>
  <si>
    <t xml:space="preserve">   GSR R.A. (90% Supply Component)</t>
  </si>
  <si>
    <t xml:space="preserve">      REVERSE AUCTION 1 (TC&amp;S EXPENSE) ADJUSTMENT</t>
  </si>
  <si>
    <t xml:space="preserve">REVERSE AUCTION 1 - BALANCE SHEET </t>
  </si>
  <si>
    <t>PRINT: PRT.8</t>
  </si>
  <si>
    <t>REVERSE AUCTION 2 TRACKER ($000's)</t>
  </si>
  <si>
    <t>REVERSE AUCTION 2 DEMAND</t>
  </si>
  <si>
    <t xml:space="preserve">      Avg. Reverse Auction 2 Rate (CALC.)</t>
  </si>
  <si>
    <t>Total Reverse Auction 2 Demand Revenue  (LINKED)</t>
  </si>
  <si>
    <t>Total Reverse Auction 2 Expense  (INPUT)</t>
  </si>
  <si>
    <t xml:space="preserve">      REVERSE AUCTION 2 (TC&amp;S EXPENSE) ADJUSTMENT</t>
  </si>
  <si>
    <t xml:space="preserve">REVERSE AUCTION 2 - BALANCE SHEET </t>
  </si>
  <si>
    <t xml:space="preserve">FAS 106 Benefits Amortization </t>
  </si>
  <si>
    <t xml:space="preserve">      Carrying Charges Not Recognized (?/96) Until 12/96</t>
  </si>
  <si>
    <t>PRINT: PRT.9</t>
  </si>
  <si>
    <t>REVERSE AUCTION THREE TRACKER ($000's)</t>
  </si>
  <si>
    <t>REVERSE AUCTION 3 DEMAND</t>
  </si>
  <si>
    <t xml:space="preserve">      Avg. Reverse Auction 3 Rate (CALC.)</t>
  </si>
  <si>
    <t>Total Reverse Auction 3 Demand Revenue  (LINKED)</t>
  </si>
  <si>
    <t>Total Reverse Auction 3 Expense  (INPUT)</t>
  </si>
  <si>
    <t xml:space="preserve">      REVERSE AUCTION 3 (TC&amp;S EXPENSE) ADJUSTMENT</t>
  </si>
  <si>
    <t xml:space="preserve">REVERSE AUCTION 3 - BALANCE SHEET </t>
  </si>
  <si>
    <t>ORDER 528 SURCHARGE / DIRECT BILL ($000's)</t>
  </si>
  <si>
    <t>ORDER 528 DEMAND</t>
  </si>
  <si>
    <t xml:space="preserve">   TF Transport - North (Entitlement Units)</t>
  </si>
  <si>
    <t xml:space="preserve">                      - Central (Entitlement Units)</t>
  </si>
  <si>
    <t xml:space="preserve">                      - South (Entitlement Units)</t>
  </si>
  <si>
    <t xml:space="preserve">      Avg. Order 528 Rate (CALC.)</t>
  </si>
  <si>
    <t>Total Order 528 (Tracked) Expense   (INPUT)</t>
  </si>
  <si>
    <t xml:space="preserve">      ORDER 528 (TC&amp;S EXPENSE) ADJUSTMENT</t>
  </si>
  <si>
    <t xml:space="preserve">ORDER 528 - BALANCE SHEET </t>
  </si>
  <si>
    <t xml:space="preserve">      Write-Off   (Input)</t>
  </si>
  <si>
    <t xml:space="preserve">      Severance Tax Adjustment / Anadarko</t>
  </si>
  <si>
    <t xml:space="preserve">      Interest Income - Racom </t>
  </si>
  <si>
    <t xml:space="preserve">      Total DD&amp;A</t>
  </si>
  <si>
    <t xml:space="preserve">      Other Income - Speculative Income / (Loss)</t>
  </si>
  <si>
    <t xml:space="preserve">      Pipeline Capacity &amp; Annual Fee</t>
  </si>
  <si>
    <t xml:space="preserve">      Other Gains / (Losses)</t>
  </si>
  <si>
    <t xml:space="preserve">      Misc. Item 4</t>
  </si>
  <si>
    <t xml:space="preserve">      O&amp;M Corporate - Allocated (MMF)</t>
  </si>
  <si>
    <t xml:space="preserve">      Total Corporate</t>
  </si>
  <si>
    <t xml:space="preserve">      Management Overview  (O&amp;M)</t>
  </si>
  <si>
    <t xml:space="preserve">         Total O&amp;M Expense</t>
  </si>
  <si>
    <t xml:space="preserve">      Reacquired Debt  - Loss Amortization</t>
  </si>
  <si>
    <t xml:space="preserve">      Donation</t>
  </si>
  <si>
    <t xml:space="preserve">      Other Deductions (Misc. Item 1)</t>
  </si>
  <si>
    <t xml:space="preserve">      Reserve Activity - Misc. Item 1</t>
  </si>
  <si>
    <t xml:space="preserve">         - Target Adjustment (Maintain IBIT / N.I. Purposes)</t>
  </si>
  <si>
    <t xml:space="preserve">      Other Income - CIAC</t>
  </si>
  <si>
    <t xml:space="preserve">   Misc. Non-Operating Income - CIAC   "FA&amp;A Function"</t>
  </si>
  <si>
    <t xml:space="preserve">   Speculative Income / (Loss)       "Commercial Function"</t>
  </si>
  <si>
    <t xml:space="preserve">   Other Income - Physical Inventory Adjustment</t>
  </si>
  <si>
    <t xml:space="preserve">         - Receipt Point Penalties  </t>
  </si>
  <si>
    <t xml:space="preserve">   ETS Intercompany Interest Expense / (Income)</t>
  </si>
  <si>
    <t xml:space="preserve">   Long Term Debt (Pre 1/1/98) - Interest Expense</t>
  </si>
  <si>
    <t xml:space="preserve">   Long Term Debt (Post 1/1/98) - Interest Expense</t>
  </si>
  <si>
    <t xml:space="preserve">      Current Month Amount</t>
  </si>
  <si>
    <t>PRINT: PRT.3</t>
  </si>
  <si>
    <t>CARLTON RESOLUTION TRACKER ($000's)</t>
  </si>
  <si>
    <t>CARLTON RESOLUTION DEMAND / COMMODITY</t>
  </si>
  <si>
    <t xml:space="preserve">      Avg. Excess Royalty Rate (CALC.)</t>
  </si>
  <si>
    <t xml:space="preserve">      CARLTON RESOLUTION (TC&amp;S EXPENSE) ADJUSTMENT</t>
  </si>
  <si>
    <t xml:space="preserve">CARLTON RESOLUTION - BALANCE SHEET </t>
  </si>
  <si>
    <t>PRINT: PRT.10</t>
  </si>
  <si>
    <t>RATE CASE INTEREST EXPENSE ($000's)</t>
  </si>
  <si>
    <t xml:space="preserve">RATE CASE RESERVE </t>
  </si>
  <si>
    <t xml:space="preserve">      Current Month - Reserve Subject to Refund Only</t>
  </si>
  <si>
    <t>PRINT: EXP</t>
  </si>
  <si>
    <t>TRANSMISSION COMPRESSION &amp; STORAGE</t>
  </si>
  <si>
    <t xml:space="preserve">   Stranded 858 (Tracked) Transport Expense</t>
  </si>
  <si>
    <t xml:space="preserve">   Total Stranded 858 (Tracked) Transport Expense</t>
  </si>
  <si>
    <t xml:space="preserve">   Stranded 858 R.A. (Tracked) Transport Expense</t>
  </si>
  <si>
    <t xml:space="preserve">   Total Stranded 858 R.A. (Tracked) Transport Expense</t>
  </si>
  <si>
    <t xml:space="preserve">   Other TC&amp;S Expenses - Non-Tracked</t>
  </si>
  <si>
    <t xml:space="preserve">      Hyperion Entry / Reversal</t>
  </si>
  <si>
    <t xml:space="preserve">   Total Other 858 Expense - Non-Tracked</t>
  </si>
  <si>
    <t xml:space="preserve">      TOTAL 858 EXPENSE           (Linked Cash Flow)</t>
  </si>
  <si>
    <t xml:space="preserve">          858 TRACKED</t>
  </si>
  <si>
    <t xml:space="preserve">          858 NON-TRACKED </t>
  </si>
  <si>
    <t xml:space="preserve">   Other Expenses (Tracked)</t>
  </si>
  <si>
    <t xml:space="preserve">      Other (Formerly Order 528)</t>
  </si>
  <si>
    <t xml:space="preserve">      Carlton Resolution</t>
  </si>
  <si>
    <t>151001</t>
  </si>
  <si>
    <t>151002</t>
  </si>
  <si>
    <t>* Uncollectible Accounts Amortization (NOT MAPPED TO ABOVE LINE ITEM)</t>
  </si>
  <si>
    <t>December, 200?</t>
  </si>
  <si>
    <t xml:space="preserve">      Carlton Refunds (Discount Issue Only)</t>
  </si>
  <si>
    <t xml:space="preserve">      Reverse Auction 1 - Annual Payment </t>
  </si>
  <si>
    <t xml:space="preserve">      Reverse Auction 2 - Annual Payment </t>
  </si>
  <si>
    <t xml:space="preserve">         - FAS 106</t>
  </si>
  <si>
    <t xml:space="preserve">      Total Regulatory Amortization</t>
  </si>
  <si>
    <t xml:space="preserve">      Regulatory Amortization - IMP Amortization</t>
  </si>
  <si>
    <t xml:space="preserve">            - MOPS (6/02)</t>
  </si>
  <si>
    <t xml:space="preserve">         - Other Expenses (Pipeline Integrity)</t>
  </si>
  <si>
    <t xml:space="preserve">         - Stranded 858 R.A. (Misc. Item 2)         </t>
  </si>
  <si>
    <t>FEB.</t>
  </si>
  <si>
    <t xml:space="preserve">   Total Payroll Taxes</t>
  </si>
  <si>
    <t xml:space="preserve">   Other   </t>
  </si>
  <si>
    <t xml:space="preserve">      Reverse Auction 3 - Annual Payment </t>
  </si>
  <si>
    <t>2002</t>
  </si>
  <si>
    <t xml:space="preserve">      Miscellaneous</t>
  </si>
  <si>
    <t xml:space="preserve">   Total Other Expenses (Tracked)</t>
  </si>
  <si>
    <t xml:space="preserve">   Tracker Adjustments</t>
  </si>
  <si>
    <t xml:space="preserve">      Other (Input)</t>
  </si>
  <si>
    <t xml:space="preserve">         - Gas Logistics / IT Support</t>
  </si>
  <si>
    <t xml:space="preserve">      Stranded 858 - Normal Activity</t>
  </si>
  <si>
    <t xml:space="preserve">                          - ANR Buyout</t>
  </si>
  <si>
    <t xml:space="preserve">      Stranded 858 R.A.</t>
  </si>
  <si>
    <t xml:space="preserve">      Reverse Auction 1 </t>
  </si>
  <si>
    <t xml:space="preserve">      Reverse Auction 2 </t>
  </si>
  <si>
    <t xml:space="preserve">      Reverse Auction 3 </t>
  </si>
  <si>
    <t xml:space="preserve">   Total Tracker Adjustments</t>
  </si>
  <si>
    <t xml:space="preserve">   Total SBA Expenses </t>
  </si>
  <si>
    <t xml:space="preserve">      TOTAL TC&amp;S EXPENSE</t>
  </si>
  <si>
    <t>:PRSEXP~G</t>
  </si>
  <si>
    <t xml:space="preserve">   STORAGE SERVICES (INJECTIONS) WITHDRAWAL-NNG</t>
  </si>
  <si>
    <t xml:space="preserve">       BUSHTON</t>
  </si>
  <si>
    <t xml:space="preserve">       REDFIELD</t>
  </si>
  <si>
    <t xml:space="preserve">       LYONS</t>
  </si>
  <si>
    <t xml:space="preserve">       CUNNINGHAM</t>
  </si>
  <si>
    <t xml:space="preserve">       WRENSHALL LNG</t>
  </si>
  <si>
    <t xml:space="preserve">      Variable Pay, Annual Incentive and PBA            </t>
  </si>
  <si>
    <t xml:space="preserve">   Reorg. Incremental Factor (Restated vs. Approved Plan)</t>
  </si>
  <si>
    <t xml:space="preserve">   Trailblazer - Other Income / (Deductions)</t>
  </si>
  <si>
    <t xml:space="preserve">   Trailblazer Misc.               "Commercial Function"</t>
  </si>
  <si>
    <t xml:space="preserve">      " TRAILBLAZER MONTHLY "</t>
  </si>
  <si>
    <t>TRAILBLAZER PIPELINE</t>
  </si>
  <si>
    <t xml:space="preserve">      " PARTNERSHIP QUARTERLY "</t>
  </si>
  <si>
    <t xml:space="preserve">      " NNG &amp; 53K QUARTERLY "</t>
  </si>
  <si>
    <t xml:space="preserve">      " NNG &amp; 53K CUMULATIVE "</t>
  </si>
  <si>
    <t xml:space="preserve">      " PARTNERSHIP CUMULATIVE "</t>
  </si>
  <si>
    <t xml:space="preserve">         - AFUDC Equity</t>
  </si>
  <si>
    <t xml:space="preserve">   AFUDC Equity                           "FA&amp;A Function"</t>
  </si>
  <si>
    <t xml:space="preserve">      10% Supply Component Adjustment</t>
  </si>
  <si>
    <t xml:space="preserve">      TransCanada SBA (6/00 - 5/03 Base Gas Monet. 12.2 Bcf)</t>
  </si>
  <si>
    <t xml:space="preserve">   SBA - Commodity Expense </t>
  </si>
  <si>
    <t xml:space="preserve">           - Demand Expense </t>
  </si>
  <si>
    <t xml:space="preserve">           - Demand Tracker </t>
  </si>
  <si>
    <t>Blank (Was All Liquids Only (NO TRANSPORT))</t>
  </si>
  <si>
    <t>RegAmort</t>
  </si>
  <si>
    <t>FUEL EXPENSE</t>
  </si>
  <si>
    <t xml:space="preserve">   Depreciation - Plant</t>
  </si>
  <si>
    <t>DEPRECIATION &amp; AMORTIZATION</t>
  </si>
  <si>
    <t xml:space="preserve">      TOTAL RESTATED PLAN O&amp;M EXPENSE</t>
  </si>
  <si>
    <t xml:space="preserve">         CURRENT vs. RESTATED PLAN O&amp;M VARIANCE</t>
  </si>
  <si>
    <t xml:space="preserve">         - Lucent Phone System (1/99 - 12/08)</t>
  </si>
  <si>
    <t xml:space="preserve">     Total Income Taxes (Composite Rate - 39.473 %)</t>
  </si>
  <si>
    <t xml:space="preserve">   Payable Currently</t>
  </si>
  <si>
    <t xml:space="preserve">   Deferred</t>
  </si>
  <si>
    <t>OtherInc</t>
  </si>
  <si>
    <t>Blank (Formerly PGA Carrying Charges)</t>
  </si>
  <si>
    <t>DeferredTax</t>
  </si>
  <si>
    <t>AFUDC Equity Gross-Up / Amortization</t>
  </si>
  <si>
    <t>Blank</t>
  </si>
  <si>
    <t>Other Reserve Issues - Building / Reserve</t>
  </si>
  <si>
    <t xml:space="preserve">                                - All Remaining Other Reserve Items</t>
  </si>
  <si>
    <t>IncomeState</t>
  </si>
  <si>
    <t>Trackers</t>
  </si>
  <si>
    <t>OtherInc/Ded.</t>
  </si>
  <si>
    <t>Linked</t>
  </si>
  <si>
    <t xml:space="preserve">   Reserve Issues - (DDVC)</t>
  </si>
  <si>
    <t xml:space="preserve">               - SLA</t>
  </si>
  <si>
    <t xml:space="preserve">   GSR / GSR R.A. / Rev. Auction 1 (Tracked) </t>
  </si>
  <si>
    <t xml:space="preserve">         - TBPL Monetization Goodwill (FVA $21,764 over 63 Yrs.)</t>
  </si>
  <si>
    <t>Link Src</t>
  </si>
  <si>
    <t>PRINT: PRT.11</t>
  </si>
  <si>
    <t>KANSAS AD VALOREM TAX ISSUE INTEREST EXPENSE ($000's)</t>
  </si>
  <si>
    <t>KANSAS AD VALOREM TAX ISSUE</t>
  </si>
  <si>
    <t xml:space="preserve">         - Kansas Ad Valorem Tax Issue</t>
  </si>
  <si>
    <t>* Kansas Ad Valorem Tax Tracker / Carrying Charges</t>
  </si>
  <si>
    <t xml:space="preserve">     Total (Over) / Under Recovery - Kansas Ad Valorem Tax</t>
  </si>
  <si>
    <t>Ad Valorem Taxes</t>
  </si>
  <si>
    <t>Kansas Ad Valorem Tax Issue</t>
  </si>
  <si>
    <t xml:space="preserve">      Reserve Activity - Cooper Issue (Parts Sale)</t>
  </si>
  <si>
    <t xml:space="preserve">   Miscellaneous General &amp; Administrative</t>
  </si>
  <si>
    <t>Bad Debt Expense / TIS Adjustments for Jan. &amp; Feb.</t>
  </si>
  <si>
    <t>Subsidiaries Taxes - Black Marlin (Co.53K)</t>
  </si>
  <si>
    <t>NORTHERN NATURAL GAS COMPANY (Co. 179 &amp; 53K ONLY)</t>
  </si>
  <si>
    <t xml:space="preserve">      " NNG &amp; 53K MONTHLY "</t>
  </si>
  <si>
    <t xml:space="preserve">   Hedge Activity - Intercompany</t>
  </si>
  <si>
    <t xml:space="preserve">              - Third Party</t>
  </si>
  <si>
    <t xml:space="preserve">   Hubbard Annual Fee</t>
  </si>
  <si>
    <t xml:space="preserve">                - Stranded 858           </t>
  </si>
  <si>
    <t xml:space="preserve">   Tenaska Consulting Fees   "Commercial Function"</t>
  </si>
  <si>
    <t xml:space="preserve">   Other Gains / (Losses)       "Commercial Function"</t>
  </si>
  <si>
    <t xml:space="preserve">   Commercial (Formerly Mrkting, Bus.Srv., Reg.Affairs &amp; Admin.)</t>
  </si>
  <si>
    <t xml:space="preserve">   Information Technology (Formerly Systems)</t>
  </si>
  <si>
    <t xml:space="preserve">      Functional vs. Entity Actual Variance</t>
  </si>
  <si>
    <t xml:space="preserve">   Legal</t>
  </si>
  <si>
    <t xml:space="preserve">   Human Resources</t>
  </si>
  <si>
    <t xml:space="preserve">   Executive &amp; Other</t>
  </si>
  <si>
    <t xml:space="preserve">   Payroll Taxes (FICA / FUTA / SUTA / Medical) </t>
  </si>
  <si>
    <t xml:space="preserve">      Commercial</t>
  </si>
  <si>
    <t xml:space="preserve">      Market Services</t>
  </si>
  <si>
    <t xml:space="preserve">      Operations</t>
  </si>
  <si>
    <t xml:space="preserve">      Finance, Accounting and Administration</t>
  </si>
  <si>
    <t xml:space="preserve">         Other (Variable Pay Only)</t>
  </si>
  <si>
    <t xml:space="preserve">       Information Technology</t>
  </si>
  <si>
    <t xml:space="preserve">       Legal</t>
  </si>
  <si>
    <t xml:space="preserve">       HR / Communications</t>
  </si>
  <si>
    <t xml:space="preserve">       Executive</t>
  </si>
  <si>
    <t xml:space="preserve">   Management Overview ("Stretch" Adjustment)</t>
  </si>
  <si>
    <t xml:space="preserve">           - Interest Expense Differential </t>
  </si>
  <si>
    <t xml:space="preserve">    Long Term Debt (Post 1/1/98) - Interest Expense                     </t>
  </si>
  <si>
    <t xml:space="preserve">    Long Term Debt (Pre 1/1/98) - Interest Expense                     </t>
  </si>
  <si>
    <t xml:space="preserve">   Interest on New Long Term Debt (Pre 1/1/98)</t>
  </si>
  <si>
    <t xml:space="preserve">NET INCOME </t>
  </si>
  <si>
    <t>Equivalent Unit Risk Data (SLA Cash Component Only)</t>
  </si>
  <si>
    <t>NET INCOME</t>
  </si>
  <si>
    <t>Mark to Market</t>
  </si>
  <si>
    <t xml:space="preserve">INTEREST AND OTHER </t>
  </si>
  <si>
    <t>INCOME BEFORE INTEREST &amp; TAXES</t>
  </si>
  <si>
    <t>INTEREST AND OTHER</t>
  </si>
  <si>
    <t xml:space="preserve">     Total Interest and Other</t>
  </si>
  <si>
    <t xml:space="preserve">   Net Income Adjustment (To Tie Annual Total Back to 1st CE)</t>
  </si>
  <si>
    <t xml:space="preserve">   Strangers Gas (Administrative fee)</t>
  </si>
  <si>
    <t xml:space="preserve">   Physical Inventory Gains / (Losses)     "Operations Function"</t>
  </si>
  <si>
    <t xml:space="preserve">      Item 1</t>
  </si>
  <si>
    <t xml:space="preserve">      Item 2</t>
  </si>
  <si>
    <t xml:space="preserve">         FI/CO Reconciliation Adjustment</t>
  </si>
  <si>
    <t>Quarters</t>
  </si>
  <si>
    <t>Income Statement</t>
  </si>
  <si>
    <t>Line Item Mapping</t>
  </si>
  <si>
    <t>Commercial</t>
  </si>
  <si>
    <t xml:space="preserve">      Cost of Sales - Purchases</t>
  </si>
  <si>
    <t xml:space="preserve">      Swap 2                                 "Commercial Function"</t>
  </si>
  <si>
    <t xml:space="preserve">      Swap 3                                 "Commercial Function"</t>
  </si>
  <si>
    <t>Transport Rev.</t>
  </si>
  <si>
    <t xml:space="preserve">         - New Structured Products</t>
  </si>
  <si>
    <t xml:space="preserve">         - Utilicorp (NNG)</t>
  </si>
  <si>
    <t xml:space="preserve">         - Misc. Item 1 (NNG)</t>
  </si>
  <si>
    <t xml:space="preserve">         - Misc. Item 2 (NNG)</t>
  </si>
  <si>
    <t xml:space="preserve">         - Rate Case (Filed vs. Max. Subject to Refund) </t>
  </si>
  <si>
    <t xml:space="preserve">         - Rate Case (Misc. Item 1) </t>
  </si>
  <si>
    <t xml:space="preserve">         - Rate Case (Misc. Item 2) </t>
  </si>
  <si>
    <t xml:space="preserve">         - Stranger's Gas</t>
  </si>
  <si>
    <t xml:space="preserve">         - Misc. Item 1</t>
  </si>
  <si>
    <t xml:space="preserve">         - Misc. Item 2</t>
  </si>
  <si>
    <t xml:space="preserve">         - Capacity Charge</t>
  </si>
  <si>
    <t xml:space="preserve">         - FDD </t>
  </si>
  <si>
    <t xml:space="preserve">         - FDD / IDD Structured Products </t>
  </si>
  <si>
    <t xml:space="preserve">         - IDD </t>
  </si>
  <si>
    <t>Other Rev.</t>
  </si>
  <si>
    <t xml:space="preserve">         Ad Valorem / Franchise Tax Payments</t>
  </si>
  <si>
    <t>Fuel</t>
  </si>
  <si>
    <t xml:space="preserve">         - Other Fuel </t>
  </si>
  <si>
    <t xml:space="preserve">         - UAF </t>
  </si>
  <si>
    <t xml:space="preserve">         - Tracker Adjustment (Calculation)</t>
  </si>
  <si>
    <t xml:space="preserve">         - Commodity Revenue (Cash Input)</t>
  </si>
  <si>
    <t xml:space="preserve">         - Carlton Refund Expense (Cash Input)</t>
  </si>
  <si>
    <t xml:space="preserve">         - Helium Sales</t>
  </si>
  <si>
    <t xml:space="preserve">         - Hedge Activity (Intercompany)</t>
  </si>
  <si>
    <t xml:space="preserve">         - Hedge Activity (Third Party)</t>
  </si>
  <si>
    <t xml:space="preserve">         - Hubbard Annual Fee</t>
  </si>
  <si>
    <t xml:space="preserve">         - Tenaska Consulting Fee</t>
  </si>
  <si>
    <t xml:space="preserve">         - Misc. Item 3</t>
  </si>
  <si>
    <t xml:space="preserve">         - Non-recurring Unidentified Products</t>
  </si>
  <si>
    <t xml:space="preserve">      O&amp;M Direct - Accounting (Gross)</t>
  </si>
  <si>
    <t xml:space="preserve">         - Finance</t>
  </si>
  <si>
    <t xml:space="preserve">         - Commercial Support</t>
  </si>
  <si>
    <t xml:space="preserve">         - Executive</t>
  </si>
  <si>
    <t xml:space="preserve">         - Direct Support</t>
  </si>
  <si>
    <t xml:space="preserve">         - Company Bonus</t>
  </si>
  <si>
    <t xml:space="preserve">         - Capitalization (Bonus)</t>
  </si>
  <si>
    <t xml:space="preserve">         - Capitalization (ETS Support)</t>
  </si>
  <si>
    <t xml:space="preserve">         - Other Expenses (G&amp;A, Exec.)</t>
  </si>
  <si>
    <t xml:space="preserve">         - Bonus (ETS)</t>
  </si>
  <si>
    <t xml:space="preserve">         - Corporate Overhead (ETS)</t>
  </si>
  <si>
    <t xml:space="preserve">         - Allocations out to NNG / FGT</t>
  </si>
  <si>
    <t xml:space="preserve">      Total Direct O&amp;M</t>
  </si>
  <si>
    <t xml:space="preserve">         - Direct</t>
  </si>
  <si>
    <t xml:space="preserve">         - EP&amp;S</t>
  </si>
  <si>
    <t xml:space="preserve">   DD&amp;A - Lucent  (RECLASS to FA&amp;A ??)</t>
  </si>
  <si>
    <t xml:space="preserve">      Other Taxes - Ad Valorem</t>
  </si>
  <si>
    <t xml:space="preserve">         - Franchise </t>
  </si>
  <si>
    <t xml:space="preserve">         - FI/CO Reconciliation of Payroll Taxes</t>
  </si>
  <si>
    <t xml:space="preserve">         - Payroll Taxes</t>
  </si>
  <si>
    <t xml:space="preserve">      Total Other Taxes</t>
  </si>
  <si>
    <t xml:space="preserve">      Total Expenses</t>
  </si>
  <si>
    <t xml:space="preserve">      DD&amp;A Exp. - Plant Depreciation (Property Acct.)</t>
  </si>
  <si>
    <t xml:space="preserve">         - Plant Amortization (Property Acct.)</t>
  </si>
  <si>
    <t xml:space="preserve">         - Pipe Recoating Amort. (Property Acct.)</t>
  </si>
  <si>
    <t xml:space="preserve">         - IMP Issue Amort. (Property Acct.)</t>
  </si>
  <si>
    <t xml:space="preserve">         - Black Marlin Amort. (NNG General Acct.)</t>
  </si>
  <si>
    <t xml:space="preserve">         - TBPL Goodwill Amort. (NNG General Acct.)</t>
  </si>
  <si>
    <t xml:space="preserve">         - Capitalization </t>
  </si>
  <si>
    <t xml:space="preserve">         - Field Operations Support</t>
  </si>
  <si>
    <t xml:space="preserve">         - Market Services</t>
  </si>
  <si>
    <t xml:space="preserve">         - ETS Support (Gross)</t>
  </si>
  <si>
    <t xml:space="preserve">         - Other Expenses</t>
  </si>
  <si>
    <t xml:space="preserve">         - Amortization</t>
  </si>
  <si>
    <t xml:space="preserve">         - EIS</t>
  </si>
  <si>
    <t xml:space="preserve">      O&amp;M - Commercial Support (ETS)</t>
  </si>
  <si>
    <t xml:space="preserve">         - Field Operations Support (ETS)</t>
  </si>
  <si>
    <t xml:space="preserve">         - Deferred Legal Expense</t>
  </si>
  <si>
    <t xml:space="preserve">      O&amp;M - ETS Support (Gross)</t>
  </si>
  <si>
    <t xml:space="preserve">         - Other Expenses (G&amp;A)</t>
  </si>
  <si>
    <t xml:space="preserve">         - ETS Exec Support</t>
  </si>
  <si>
    <t xml:space="preserve">         - Aviation (Stan)</t>
  </si>
  <si>
    <t xml:space="preserve">         - Exec. Other (Pres.)</t>
  </si>
  <si>
    <t xml:space="preserve">         - ETS Tax Support</t>
  </si>
  <si>
    <t xml:space="preserve">         - ETS Communications / Reg. Affairs</t>
  </si>
  <si>
    <t xml:space="preserve">         - Other (Overview)</t>
  </si>
  <si>
    <t xml:space="preserve">   Equity Earnings</t>
  </si>
  <si>
    <t xml:space="preserve">      Northern Plains</t>
  </si>
  <si>
    <t xml:space="preserve">      Enron Citrus</t>
  </si>
  <si>
    <t xml:space="preserve">      EOTT</t>
  </si>
  <si>
    <t xml:space="preserve">      Bighorn, Fort Union, Lost Creek</t>
  </si>
  <si>
    <t xml:space="preserve">      Pathnet</t>
  </si>
  <si>
    <t xml:space="preserve">      Other ( Minority Interest Income)</t>
  </si>
  <si>
    <t xml:space="preserve">      Overview</t>
  </si>
  <si>
    <t xml:space="preserve">      Settlement Activity - Item 1</t>
  </si>
  <si>
    <t xml:space="preserve">         - Miscellaneous</t>
  </si>
  <si>
    <t xml:space="preserve">         - Reserve Activity (DDVC's)</t>
  </si>
  <si>
    <t xml:space="preserve">         - Reserve Activity (Misc. Item 1)</t>
  </si>
  <si>
    <t>Other Income</t>
  </si>
  <si>
    <t>Reg. Amort.</t>
  </si>
  <si>
    <t xml:space="preserve">         - Dodge Street Buyout</t>
  </si>
  <si>
    <t xml:space="preserve">         - Severance &amp; Relocation</t>
  </si>
  <si>
    <t xml:space="preserve">         - Uncollectible Accounts</t>
  </si>
  <si>
    <t xml:space="preserve">         - Pre PRA Fuel / UAF</t>
  </si>
  <si>
    <t xml:space="preserve">         - Misc. Item 1 (SLA)</t>
  </si>
  <si>
    <t xml:space="preserve">         - TransCanada (Cash)</t>
  </si>
  <si>
    <t>O&amp;M</t>
  </si>
  <si>
    <t>Other Taxes</t>
  </si>
  <si>
    <t xml:space="preserve">              - Item 2</t>
  </si>
  <si>
    <t>Cost of Sales</t>
  </si>
  <si>
    <t>Other Deductions</t>
  </si>
  <si>
    <t xml:space="preserve">              - Item 3</t>
  </si>
  <si>
    <t>Operations</t>
  </si>
  <si>
    <t>Net Contribution Operations</t>
  </si>
  <si>
    <t>Partnership Inc.</t>
  </si>
  <si>
    <t>Executive</t>
  </si>
  <si>
    <t xml:space="preserve">         - (Gain) Amortization</t>
  </si>
  <si>
    <t>Interest Income</t>
  </si>
  <si>
    <t xml:space="preserve">         - Carrying Charges (Kansas Advalorem Issue)</t>
  </si>
  <si>
    <t xml:space="preserve">         - Carrying Charges (Misc. Item 1)</t>
  </si>
  <si>
    <t xml:space="preserve">         - Carrying Charges (Misc. Item 2)</t>
  </si>
  <si>
    <t>DD&amp;A</t>
  </si>
  <si>
    <t>Information Technology</t>
  </si>
  <si>
    <t>Net Contribution IT</t>
  </si>
  <si>
    <t>Legal</t>
  </si>
  <si>
    <t>Human Resources</t>
  </si>
  <si>
    <t>Total Net Contribution</t>
  </si>
  <si>
    <t xml:space="preserve">Income Before Interest and Taxes </t>
  </si>
  <si>
    <t>Direct Interest</t>
  </si>
  <si>
    <t xml:space="preserve">         - Carrying Charges (Stranded 858)</t>
  </si>
  <si>
    <t xml:space="preserve">         - Carrying Charges (Carlton Tracked)</t>
  </si>
  <si>
    <t xml:space="preserve">         - Carrying Charges (Carlton Discount)</t>
  </si>
  <si>
    <t xml:space="preserve">         - Carrying Charges (Rate Case)</t>
  </si>
  <si>
    <t xml:space="preserve">         - AFUDC Debt</t>
  </si>
  <si>
    <t xml:space="preserve">         - Debt Discount Amortization</t>
  </si>
  <si>
    <t>Pretax Income</t>
  </si>
  <si>
    <t xml:space="preserve">Payable Currently </t>
  </si>
  <si>
    <t xml:space="preserve">Deferred  </t>
  </si>
  <si>
    <t>Income Taxes</t>
  </si>
  <si>
    <t>Financing   (CAN BE REMOVED)</t>
  </si>
  <si>
    <t>Financing</t>
  </si>
  <si>
    <t>PRINT:</t>
  </si>
  <si>
    <t xml:space="preserve">   Margins</t>
  </si>
  <si>
    <t xml:space="preserve">      Transport Demand (Cash) - Existent Contracts </t>
  </si>
  <si>
    <t xml:space="preserve">      Transport Commodity (Cash) - Existent Contracts </t>
  </si>
  <si>
    <t xml:space="preserve">         - Discretionary Capital Pool</t>
  </si>
  <si>
    <t xml:space="preserve">      Reserve Activity - Disputed Issues (NNG)</t>
  </si>
  <si>
    <t xml:space="preserve">   Non-Recurring Elements</t>
  </si>
  <si>
    <t xml:space="preserve">      Gas / Liquids Sales  -  Item 1</t>
  </si>
  <si>
    <t xml:space="preserve">      Cost of Sales - Item 1</t>
  </si>
  <si>
    <t xml:space="preserve">      Other Revenue (Non Cash) - Unidentified Products  </t>
  </si>
  <si>
    <t xml:space="preserve">   Partnership Income (Trailblazer)</t>
  </si>
  <si>
    <t>Partnership Income</t>
  </si>
  <si>
    <t xml:space="preserve">   Payable Currently  </t>
  </si>
  <si>
    <t xml:space="preserve">      Total Income Taxes  </t>
  </si>
  <si>
    <t xml:space="preserve">         Total Regulatory Amortization</t>
  </si>
  <si>
    <t>Net Contribution Commercial - TOTAL NNG &amp; TBPL</t>
  </si>
  <si>
    <t>Interco. Interest</t>
  </si>
  <si>
    <t xml:space="preserve">      Other (Non-Cash) - SMS</t>
  </si>
  <si>
    <t xml:space="preserve">         - PPA's / Writeoffs / Other</t>
  </si>
  <si>
    <t xml:space="preserve">   PPA's (Feb-Panda) / Writeoffs / Deferral / Other</t>
  </si>
  <si>
    <t xml:space="preserve">      Storage (Cash) - Demand </t>
  </si>
  <si>
    <t xml:space="preserve">      Billing Provision (Reserve) / Refund - SLA</t>
  </si>
  <si>
    <t xml:space="preserve">      Tracked SBA - Demand Revenue (Cash Input)</t>
  </si>
  <si>
    <t xml:space="preserve">      Tracked Carlton - Demand Revenue (Cash Input)</t>
  </si>
  <si>
    <t xml:space="preserve">      Net Tracked SBA Impact  (Input)</t>
  </si>
  <si>
    <t xml:space="preserve">      Total Non-Tracked SBA Commodity Exp. Impact  (Input)</t>
  </si>
  <si>
    <t xml:space="preserve">      Net Tracked Carlton Impact  (Input)</t>
  </si>
  <si>
    <t xml:space="preserve">      Total Non-Tracked Carlton Discount Impact  (Input)</t>
  </si>
  <si>
    <t xml:space="preserve">      Other Revenue (Cash) - DDVC's  </t>
  </si>
  <si>
    <t xml:space="preserve">         - Strangers Gas (Admin. Fee)</t>
  </si>
  <si>
    <t xml:space="preserve">         - Offshore Liquids Transport</t>
  </si>
  <si>
    <t>Finance, Accounting &amp; Admin.</t>
  </si>
  <si>
    <t xml:space="preserve">   Expenses</t>
  </si>
  <si>
    <t xml:space="preserve">      ACA Amortization</t>
  </si>
  <si>
    <t xml:space="preserve">      Reg. Commission Expense</t>
  </si>
  <si>
    <t xml:space="preserve">      NNG Reg. Assets Amortization - FAS 106</t>
  </si>
  <si>
    <t xml:space="preserve">      IMP Amortization (NNG)</t>
  </si>
  <si>
    <t xml:space="preserve">      South GA Credits Amortization (NNG)</t>
  </si>
  <si>
    <t xml:space="preserve">      GRI Amortization - Commodity</t>
  </si>
  <si>
    <t xml:space="preserve">         - Demand</t>
  </si>
  <si>
    <t xml:space="preserve">         - Misc. Item 1 (Tenaska / Reliant SBA Adjustments)</t>
  </si>
  <si>
    <t xml:space="preserve">         - Misc. Item 2 (Base Gas Int. Rate Reduction "Stretch")</t>
  </si>
  <si>
    <t xml:space="preserve">      Misc. Item 2 (Kansas Ad Valorem Refund "Stretch")</t>
  </si>
  <si>
    <t xml:space="preserve">   Misc. Item 2 (Ks Ad Val. Refund "Stretch")  "Com. Function"</t>
  </si>
  <si>
    <t xml:space="preserve">      Misc. Item 3 (Other "Stretch")</t>
  </si>
  <si>
    <t xml:space="preserve">      Asset Sales - Mops (6/02)</t>
  </si>
  <si>
    <t xml:space="preserve">              - Other (12/02)</t>
  </si>
  <si>
    <t>Prelim.</t>
  </si>
  <si>
    <t>CE '01</t>
  </si>
  <si>
    <t>3rd C.E.</t>
  </si>
  <si>
    <t>Tax (G) / L on Asset Sales - Mops (6/02)</t>
  </si>
  <si>
    <t>Gas Logistics</t>
  </si>
  <si>
    <t>Net Contribution Gas Logistics</t>
  </si>
  <si>
    <t xml:space="preserve">   Gas Logistics</t>
  </si>
  <si>
    <t xml:space="preserve">         Net Gas Logistics Contribution</t>
  </si>
  <si>
    <t xml:space="preserve">         Net Gas Logistics Increase / (Decrease)</t>
  </si>
  <si>
    <t xml:space="preserve">   Total Margins - NNG &amp; TBPL</t>
  </si>
  <si>
    <t xml:space="preserve">          NNG Only</t>
  </si>
  <si>
    <t xml:space="preserve">          TBPL Only</t>
  </si>
  <si>
    <t xml:space="preserve">      TC&amp;S Base Gas SBA - Sempra (Cash) </t>
  </si>
  <si>
    <t xml:space="preserve">      O&amp;M - Direct (Gross)</t>
  </si>
  <si>
    <t xml:space="preserve">         - Capitalization</t>
  </si>
  <si>
    <t xml:space="preserve">      Other O&amp;M - Revenue Management</t>
  </si>
  <si>
    <t xml:space="preserve">         - Gomez Sale in 2001</t>
  </si>
  <si>
    <t xml:space="preserve">         - ETS Support</t>
  </si>
  <si>
    <t xml:space="preserve">         - Aviation</t>
  </si>
  <si>
    <t xml:space="preserve">      Payroll Taxes</t>
  </si>
  <si>
    <t xml:space="preserve">         - Direct (Net Commercial)</t>
  </si>
  <si>
    <t xml:space="preserve">   Total Expenses</t>
  </si>
  <si>
    <t xml:space="preserve">   Total Non Recurring</t>
  </si>
  <si>
    <t xml:space="preserve">   Other Income</t>
  </si>
  <si>
    <t xml:space="preserve">      Other O&amp;M - Omaha Rent</t>
  </si>
  <si>
    <t xml:space="preserve">         - Direct (Net Market Services)</t>
  </si>
  <si>
    <t xml:space="preserve">         - ETS Support (Communications)</t>
  </si>
  <si>
    <t xml:space="preserve">      O&amp;M - Direct (Gross Incl. Gomez)</t>
  </si>
  <si>
    <t xml:space="preserve">         - Field Operations for Expansions</t>
  </si>
  <si>
    <t xml:space="preserve">         - Group Operations (ETS)</t>
  </si>
  <si>
    <t xml:space="preserve">         - Operations Support</t>
  </si>
  <si>
    <t xml:space="preserve">         - Electric Compression</t>
  </si>
  <si>
    <t xml:space="preserve">         - Insurance</t>
  </si>
  <si>
    <t xml:space="preserve">         - Allocations In from HPL</t>
  </si>
  <si>
    <t xml:space="preserve">         - Overhaul Amortizations</t>
  </si>
  <si>
    <t xml:space="preserve">         - OTS Work Order Amortization</t>
  </si>
  <si>
    <t xml:space="preserve">   Other Revenue - Lucent Credit (RECLASS to FA&amp;A ??)</t>
  </si>
  <si>
    <t xml:space="preserve">   Amortization - Plant</t>
  </si>
  <si>
    <t xml:space="preserve">         - Pipe Recoating</t>
  </si>
  <si>
    <t xml:space="preserve">         - Other</t>
  </si>
  <si>
    <t xml:space="preserve">      TOTAL DEPRECIATION &amp; AMORTIZATION</t>
  </si>
  <si>
    <t>TAXES OTHER THAN INCOME</t>
  </si>
  <si>
    <t xml:space="preserve">      TOTAL TAXES OTHER THAN INCOME</t>
  </si>
  <si>
    <t xml:space="preserve">   Ad Valorem - NNG Accrual   </t>
  </si>
  <si>
    <t xml:space="preserve">   Miscellaneous - Franchise Taxes</t>
  </si>
  <si>
    <t xml:space="preserve">         - IMP (Straight Line Impact, Remainder in Reg. Amort.)</t>
  </si>
  <si>
    <t>PARTNERSHIP INCOME</t>
  </si>
  <si>
    <t>INTEREST INCOME</t>
  </si>
  <si>
    <t>OTHER</t>
  </si>
  <si>
    <t>DIRECT INTEREST EXPENSE</t>
  </si>
  <si>
    <t>FuelDeprTax</t>
  </si>
  <si>
    <t>IntDeduct</t>
  </si>
  <si>
    <t xml:space="preserve">   AFUDC - Debt (SAP Change 7/00 Forward)</t>
  </si>
  <si>
    <t xml:space="preserve">   Receivables Sale (ASCC) Fees</t>
  </si>
  <si>
    <t xml:space="preserve">      TOTAL DIRECT INTEREST </t>
  </si>
  <si>
    <t>INTERCOMPANY INTEREST EXPENSE / (INCOME)</t>
  </si>
  <si>
    <t xml:space="preserve">    Intercompany Interest Expense / (Income) </t>
  </si>
  <si>
    <t xml:space="preserve">           - Debt Expense Amortization</t>
  </si>
  <si>
    <t xml:space="preserve">      TOTAL INTERCOMPANY INTEREST EXPENSE/(INCOME)</t>
  </si>
  <si>
    <t xml:space="preserve">      TOTAL AFUDC</t>
  </si>
  <si>
    <t>OTHER DEDUCTIONS</t>
  </si>
  <si>
    <t xml:space="preserve">                            - Miscellaneous</t>
  </si>
  <si>
    <t xml:space="preserve">      TOTAL OTHER DEDUCTIONS</t>
  </si>
  <si>
    <t xml:space="preserve">ETS Allocations                  </t>
  </si>
  <si>
    <t xml:space="preserve">   Total ETS Allocations</t>
  </si>
  <si>
    <t xml:space="preserve">Corporate Direct &amp; Allocated      </t>
  </si>
  <si>
    <t xml:space="preserve">   Hyperion Timing / Reversal</t>
  </si>
  <si>
    <t xml:space="preserve">   Total Corporate Direct &amp; Allocated</t>
  </si>
  <si>
    <t>Total</t>
  </si>
  <si>
    <t xml:space="preserve">* Transport - Rate Case Issues (Incl. Interest Accrual) Only </t>
  </si>
  <si>
    <t xml:space="preserve">       GARNER - LNG</t>
  </si>
  <si>
    <t xml:space="preserve">       ANR 4.2</t>
  </si>
  <si>
    <t xml:space="preserve"> --------</t>
  </si>
  <si>
    <t xml:space="preserve">          SUB-TOTAL NNG</t>
  </si>
  <si>
    <t xml:space="preserve">     FDD/SMS INJECTIONS/(WITHDRAWALS)</t>
  </si>
  <si>
    <t xml:space="preserve">   NET STORAGE (INJECTIONS) WITHDRAWALS</t>
  </si>
  <si>
    <t xml:space="preserve">    NET STORAGE (INJECTIONS) WITHDRAWALS</t>
  </si>
  <si>
    <t>Gas Research Institute (GRI) Calculation</t>
  </si>
  <si>
    <t xml:space="preserve">          Full Margin %</t>
  </si>
  <si>
    <t xml:space="preserve">     Full Margin Volume - North</t>
  </si>
  <si>
    <t xml:space="preserve">     Full Margin Volume - South</t>
  </si>
  <si>
    <t xml:space="preserve">   Commodity GRI Expense - North</t>
  </si>
  <si>
    <t xml:space="preserve">                            - South</t>
  </si>
  <si>
    <t xml:space="preserve">      Total Transport Commodity GRI Expense </t>
  </si>
  <si>
    <t xml:space="preserve">         Total GRI Expense</t>
  </si>
  <si>
    <t>NonCash</t>
  </si>
  <si>
    <t xml:space="preserve">          - Discount Adjustment</t>
  </si>
  <si>
    <t>REGULATORY AMORTIZATION EXPENSE</t>
  </si>
  <si>
    <t xml:space="preserve">   Order 528 75% Expense </t>
  </si>
  <si>
    <t xml:space="preserve">   GRI - Transport Commodity (9302-701)</t>
  </si>
  <si>
    <t xml:space="preserve">          - Transport Demand</t>
  </si>
  <si>
    <t xml:space="preserve">   FAS 106 Amortization</t>
  </si>
  <si>
    <t xml:space="preserve">                        - Commodity Tracker</t>
  </si>
  <si>
    <t>PRINT: PRINT</t>
  </si>
  <si>
    <t xml:space="preserve">      TOTAL FUEL EXPENSE</t>
  </si>
  <si>
    <t xml:space="preserve">         - Black Marlin Fair Value Amortization</t>
  </si>
  <si>
    <t>COST OF SALES ($000's)</t>
  </si>
  <si>
    <t xml:space="preserve">      TOTAL COST OF SALES</t>
  </si>
  <si>
    <t>Reservation</t>
  </si>
  <si>
    <t>Commodity</t>
  </si>
  <si>
    <t xml:space="preserve">   Margin (Incl. GRI / ACA) - Existent Contracts </t>
  </si>
  <si>
    <t xml:space="preserve">      - SBA (Surcharge) </t>
  </si>
  <si>
    <t xml:space="preserve">      - Carlton Resolution (Surcharge)</t>
  </si>
  <si>
    <t xml:space="preserve">   Tracked Reservation Revenues</t>
  </si>
  <si>
    <t xml:space="preserve">   Tracked Commodity Revenues</t>
  </si>
  <si>
    <t xml:space="preserve">      - GSR 10% TI (Surcharge)</t>
  </si>
  <si>
    <t xml:space="preserve">      - GSR R.A. 10% TI (Surcharge)</t>
  </si>
  <si>
    <t>Storage</t>
  </si>
  <si>
    <t xml:space="preserve">   FDD Demand - Reservation</t>
  </si>
  <si>
    <t xml:space="preserve">      Total Direct Interest</t>
  </si>
  <si>
    <t xml:space="preserve">   Misc. Item 2</t>
  </si>
  <si>
    <t xml:space="preserve">         - Rate Case Depreciation Item </t>
  </si>
  <si>
    <t xml:space="preserve">         - Misc. Depreciation</t>
  </si>
  <si>
    <t xml:space="preserve">         - Misc. Amortization </t>
  </si>
  <si>
    <t xml:space="preserve">   Carrying Charges - Order 528 (Misc. Item 1)</t>
  </si>
  <si>
    <t xml:space="preserve">         - GSR  (Misc. Item 3)</t>
  </si>
  <si>
    <t xml:space="preserve">         - Carrying Charges (Misc. Item 3)</t>
  </si>
  <si>
    <t xml:space="preserve">   Other Deductions (Misc. Item 1)</t>
  </si>
  <si>
    <t xml:space="preserve">   Reserve Issues - Cooper (Parts Sale) Deferred Gain</t>
  </si>
  <si>
    <t xml:space="preserve">        - Miscellaneous 1</t>
  </si>
  <si>
    <t xml:space="preserve">        - Miscellaneous 2</t>
  </si>
  <si>
    <t xml:space="preserve">        - Misc. Item 2                                "Commercial Function"</t>
  </si>
  <si>
    <t xml:space="preserve">   Litigation Settlements - Misc. Item 1    "Commercial Function"</t>
  </si>
  <si>
    <t xml:space="preserve">        - Misc. Item 3                                "Commercial Function"</t>
  </si>
  <si>
    <t xml:space="preserve">   AFUDC Equity Grossup Amort.   "FA&amp;A Function"</t>
  </si>
  <si>
    <t xml:space="preserve">   AFUDC Equity Grossup              "FA&amp;A Function"</t>
  </si>
  <si>
    <t xml:space="preserve">   Miscellaneous</t>
  </si>
  <si>
    <t xml:space="preserve">   Misc. Item 3</t>
  </si>
  <si>
    <t xml:space="preserve">              - Misc. Item 1</t>
  </si>
  <si>
    <t>* Other Revenue - DDVC / Misc. Reserve Activity</t>
  </si>
  <si>
    <t xml:space="preserve">         - Swap 3</t>
  </si>
  <si>
    <t xml:space="preserve">      Present Value Adjustment on Prior Year Base Gas Sale</t>
  </si>
  <si>
    <t xml:space="preserve">   Miscellaneous                   "Commercial Function"</t>
  </si>
  <si>
    <t xml:space="preserve">   Pr.Yr. Base Gas Sale Adj. (7/01)   "Commercial Function"</t>
  </si>
  <si>
    <t xml:space="preserve">   Misc. Item 3                     "Commercial Function"</t>
  </si>
  <si>
    <t xml:space="preserve">   Misc. Item 4                     "Commercial Function"</t>
  </si>
  <si>
    <t xml:space="preserve">   Equivalent Unit Risk Amortization (SLA)</t>
  </si>
  <si>
    <t xml:space="preserve">   Misc. NNG Reg. Assets Item 1</t>
  </si>
  <si>
    <t xml:space="preserve">   Misc. NNG Reg. Assets Item 2</t>
  </si>
  <si>
    <t xml:space="preserve">      Reg. Affairs (Non Tracked) - Writeoffs</t>
  </si>
  <si>
    <t xml:space="preserve">   Misc. Item 1</t>
  </si>
  <si>
    <t xml:space="preserve">   Misc. Item 1 (Non Tracked)</t>
  </si>
  <si>
    <t xml:space="preserve">   Misc. Item 2 (Non Tracked)</t>
  </si>
  <si>
    <t xml:space="preserve">   Pipeline Capacity &amp; Annual Fee   "Commercial Function"</t>
  </si>
  <si>
    <t xml:space="preserve">Net Income </t>
  </si>
  <si>
    <t>Net Income After Financing (CAN BE REMOVED)</t>
  </si>
  <si>
    <t>CHECK # (BETTER BE ZERO) - IBIT</t>
  </si>
  <si>
    <t xml:space="preserve">         - Net Income</t>
  </si>
  <si>
    <t xml:space="preserve">Total Carlton Resolution TF Demand / Commodity Revenue </t>
  </si>
  <si>
    <t>LINKED</t>
  </si>
  <si>
    <t xml:space="preserve">      Other TC&amp;S (Non Tracked) - Miscellaneous</t>
  </si>
  <si>
    <t xml:space="preserve">      Misc. Item 1</t>
  </si>
  <si>
    <t xml:space="preserve">      Tenaska SBA Adjustment (7/01)</t>
  </si>
  <si>
    <t xml:space="preserve">      Misc. / Rounding</t>
  </si>
  <si>
    <t xml:space="preserve">               - Capacity Charges</t>
  </si>
  <si>
    <t xml:space="preserve">   FDD Commodity</t>
  </si>
  <si>
    <t xml:space="preserve">   IDD Commodity</t>
  </si>
  <si>
    <t xml:space="preserve">      Total Storage Revenue</t>
  </si>
  <si>
    <t xml:space="preserve">   Rate Case Reserve Data (Filed vs. Max. Subject to Refund)</t>
  </si>
  <si>
    <t xml:space="preserve">   Rate Case Reserve Data (Earnings to Keep / "Stretch")</t>
  </si>
  <si>
    <t xml:space="preserve">   Rate Case Reserve Data (Other)</t>
  </si>
  <si>
    <r>
      <t xml:space="preserve">Transport Revenue Adjust.   </t>
    </r>
    <r>
      <rPr>
        <b/>
        <sz val="10"/>
        <color indexed="10"/>
        <rFont val="Arial"/>
        <family val="2"/>
      </rPr>
      <t>(NON CASH ITEMS ONLY)</t>
    </r>
  </si>
  <si>
    <t xml:space="preserve">   Stranger's Gas</t>
  </si>
  <si>
    <t xml:space="preserve">   Misc. Reserve Issues - (Potential Dispute Issues)</t>
  </si>
  <si>
    <t xml:space="preserve">               - Utilicorp</t>
  </si>
  <si>
    <t xml:space="preserve">      Total Transport Revenue Adjustments</t>
  </si>
  <si>
    <t>Link D.T.</t>
  </si>
  <si>
    <t xml:space="preserve">                - Other Items</t>
  </si>
  <si>
    <t xml:space="preserve">      Total Transport &amp; Storage MARGIN Only</t>
  </si>
  <si>
    <t xml:space="preserve">      Total Transport &amp; Storage TRACKED REVENUE Only</t>
  </si>
  <si>
    <r>
      <t xml:space="preserve">   North Transport Commodity Volume   </t>
    </r>
    <r>
      <rPr>
        <sz val="10"/>
        <color indexed="10"/>
        <rFont val="Arial"/>
        <family val="2"/>
      </rPr>
      <t>(INPUT VOLUME)</t>
    </r>
  </si>
  <si>
    <r>
      <t xml:space="preserve">   South Transport Commodity Volume   </t>
    </r>
    <r>
      <rPr>
        <sz val="10"/>
        <color indexed="10"/>
        <rFont val="Arial"/>
        <family val="2"/>
      </rPr>
      <t>(INPUT VOLUME)</t>
    </r>
  </si>
  <si>
    <r>
      <t xml:space="preserve">      Total Transport Demand GRI Expense </t>
    </r>
    <r>
      <rPr>
        <sz val="10"/>
        <color indexed="10"/>
        <rFont val="Arial"/>
        <family val="2"/>
      </rPr>
      <t>(INPUT $ AMOUNT)</t>
    </r>
  </si>
  <si>
    <t xml:space="preserve">   Regulatory Commission Expense </t>
  </si>
  <si>
    <t xml:space="preserve">   ACA Expense Amortization </t>
  </si>
  <si>
    <t xml:space="preserve">   GSR Expense - Demand Tracker </t>
  </si>
  <si>
    <t xml:space="preserve">   GSR R.A. Expense Tracker </t>
  </si>
  <si>
    <t xml:space="preserve">   Order 528 Expense Tracker </t>
  </si>
  <si>
    <t xml:space="preserve">   IMP Amortization </t>
  </si>
  <si>
    <t xml:space="preserve">   South Georgia (FAS 96) Adjustment </t>
  </si>
  <si>
    <t xml:space="preserve">   2223 Dodge Street Buyout Amortization </t>
  </si>
  <si>
    <t xml:space="preserve">   Severance &amp; Relocation Amortization </t>
  </si>
  <si>
    <t xml:space="preserve">   Uncollectible Accounts Amortization </t>
  </si>
  <si>
    <t xml:space="preserve">   Fuel / UAF Amortization </t>
  </si>
  <si>
    <t xml:space="preserve">      TOTAL REGULATORY AMORTIZATION</t>
  </si>
  <si>
    <t xml:space="preserve">   DDVC's </t>
  </si>
  <si>
    <t xml:space="preserve">   Receipt Point Penalty </t>
  </si>
  <si>
    <t>OtherRev</t>
  </si>
  <si>
    <t>Transport</t>
  </si>
  <si>
    <t>Sales</t>
  </si>
  <si>
    <t xml:space="preserve">   New Non-recurring Structured Products (Unidentified)</t>
  </si>
  <si>
    <t xml:space="preserve">Total SBA Demand &amp; Commodity Revenue </t>
  </si>
  <si>
    <t xml:space="preserve">Total SBA Demand &amp; Commodity Expense </t>
  </si>
  <si>
    <t>Link Trans</t>
  </si>
  <si>
    <t xml:space="preserve">         - Black Marlin Ad Valorem Taxes</t>
  </si>
  <si>
    <t xml:space="preserve">   PAYROLL TAX PERCENTAGE USED IN PLAN</t>
  </si>
  <si>
    <t xml:space="preserve">   Trailblazer</t>
  </si>
  <si>
    <t xml:space="preserve">     TOTAL PARTNERSHIP INCOME</t>
  </si>
  <si>
    <t xml:space="preserve">     TOTAL INTEREST INCOME</t>
  </si>
  <si>
    <t>Other</t>
  </si>
  <si>
    <t xml:space="preserve">     TOTAL OTHER</t>
  </si>
  <si>
    <t xml:space="preserve">    Current tax adjustment for audit issues</t>
  </si>
  <si>
    <t xml:space="preserve">        TOTAL OTHER INCOME</t>
  </si>
  <si>
    <t xml:space="preserve">   Actual / Estimate Adjustment</t>
  </si>
  <si>
    <t xml:space="preserve">   Carrying Charges - Reverse Auction 1</t>
  </si>
  <si>
    <t xml:space="preserve">                - Reverse Auction 2</t>
  </si>
  <si>
    <t xml:space="preserve">                - Reverse Auction 3</t>
  </si>
  <si>
    <t>144004</t>
  </si>
  <si>
    <t>AFUDC</t>
  </si>
  <si>
    <t xml:space="preserve">   Reacquired Debt - Amortized Loss</t>
  </si>
  <si>
    <t xml:space="preserve">                    - Amortized (Gain)</t>
  </si>
  <si>
    <t xml:space="preserve">   Donations</t>
  </si>
  <si>
    <t>TOTAL INTEREST &amp; OTHER DEDUCTIONS</t>
  </si>
  <si>
    <t>NORTHERN NATURAL GAS GROUP</t>
  </si>
  <si>
    <t>PRINT: REPORT.1</t>
  </si>
  <si>
    <t>PRINT: REPORT5</t>
  </si>
  <si>
    <t>PRINT: REPORT.3</t>
  </si>
  <si>
    <t xml:space="preserve">RESULTS OF OPERATIONS </t>
  </si>
  <si>
    <t>CUMMULATIVE RESULTS OF OPERATION</t>
  </si>
  <si>
    <t>(Thousands of Dollars)</t>
  </si>
  <si>
    <t>TOTAL</t>
  </si>
  <si>
    <t>Blank (Was Total Producers &amp; Pipelines)</t>
  </si>
  <si>
    <t>ESTIMATE</t>
  </si>
  <si>
    <t>1st</t>
  </si>
  <si>
    <t>2nd</t>
  </si>
  <si>
    <t>3rd</t>
  </si>
  <si>
    <t>4th</t>
  </si>
  <si>
    <t>Y-T-D</t>
  </si>
  <si>
    <t>R.M.</t>
  </si>
  <si>
    <t>Quarter</t>
  </si>
  <si>
    <t>OPERATING REVENUES</t>
  </si>
  <si>
    <t xml:space="preserve">   Gas Sales &amp; Liquids Revenue</t>
  </si>
  <si>
    <t xml:space="preserve">     Less:  Cost of Sales</t>
  </si>
  <si>
    <t xml:space="preserve">      Sales Margin</t>
  </si>
  <si>
    <t xml:space="preserve">   Transportation &amp; Storage Revenue</t>
  </si>
  <si>
    <t xml:space="preserve">   Other Revenue</t>
  </si>
  <si>
    <t xml:space="preserve">      Net Operating Income</t>
  </si>
  <si>
    <t>OPERATING EXPENSES</t>
  </si>
  <si>
    <t xml:space="preserve">   Operations and Maintenance</t>
  </si>
  <si>
    <t xml:space="preserve">   Regulatory Amortization</t>
  </si>
  <si>
    <t xml:space="preserve">   Fuel Used in Operations</t>
  </si>
  <si>
    <t xml:space="preserve">   Transmission, Compression &amp; Storage</t>
  </si>
  <si>
    <t xml:space="preserve">   Depreciation &amp; Amortization</t>
  </si>
  <si>
    <t xml:space="preserve">   Taxes Other Than Income</t>
  </si>
  <si>
    <t xml:space="preserve">     Total Operating Expenses</t>
  </si>
  <si>
    <t>OPERATING INCOME</t>
  </si>
  <si>
    <t>OTHER INCOME</t>
  </si>
  <si>
    <t xml:space="preserve">   Partnership Income</t>
  </si>
  <si>
    <t xml:space="preserve">   Interest Income</t>
  </si>
  <si>
    <t xml:space="preserve">   Other Income / (Deductions)</t>
  </si>
  <si>
    <t xml:space="preserve">     Total Other Income &amp; Other Deductions</t>
  </si>
  <si>
    <t xml:space="preserve">   Direct Interest</t>
  </si>
  <si>
    <t xml:space="preserve">   Interest on New Long Term Debt (Post 1/1/98)</t>
  </si>
  <si>
    <t xml:space="preserve">   Intercompany Interest Differential</t>
  </si>
  <si>
    <t xml:space="preserve">   Intercompany Interest Expense / (Income)</t>
  </si>
  <si>
    <t xml:space="preserve">   AFUDC</t>
  </si>
  <si>
    <t>INCOME BEFORE INCOME TAXES</t>
  </si>
  <si>
    <t>PRINT: REPORT.2</t>
  </si>
  <si>
    <t>PRINT: REPORT6</t>
  </si>
  <si>
    <t>PRINT: REPORT.4</t>
  </si>
  <si>
    <t xml:space="preserve">INCOME TAXES </t>
  </si>
  <si>
    <t>111010</t>
  </si>
  <si>
    <t>100101</t>
  </si>
  <si>
    <t xml:space="preserve">    Income Tax Adjustments</t>
  </si>
  <si>
    <t>Taxable Income</t>
  </si>
  <si>
    <t xml:space="preserve">     x Tax Rate</t>
  </si>
  <si>
    <t>Base Tax Expense</t>
  </si>
  <si>
    <t>Tax Debits (Credits)</t>
  </si>
  <si>
    <t xml:space="preserve">    Others, net</t>
  </si>
  <si>
    <t xml:space="preserve">    Excess Deferred Income Taxes</t>
  </si>
  <si>
    <t xml:space="preserve">    Deferred tax adjustment for audit issues</t>
  </si>
  <si>
    <t xml:space="preserve">    Hyperion Entry / Reversal</t>
  </si>
  <si>
    <t xml:space="preserve">      Total Debits (Credits)</t>
  </si>
  <si>
    <t>Net Tax Expense</t>
  </si>
  <si>
    <t>Income Tax Adjustments</t>
  </si>
  <si>
    <t xml:space="preserve">    Depreciation</t>
  </si>
  <si>
    <t xml:space="preserve">    Foreign Tax / Civic &amp; Political</t>
  </si>
  <si>
    <t xml:space="preserve">    IBIT of All Subs</t>
  </si>
  <si>
    <t xml:space="preserve">      Total Income Tax Adjustment</t>
  </si>
  <si>
    <t>DEFERRED TAX ITEMS</t>
  </si>
  <si>
    <t>ACTUAL  Y-T-D</t>
  </si>
  <si>
    <t>CURRENT</t>
  </si>
  <si>
    <t>EVENT</t>
  </si>
  <si>
    <t>MONTH</t>
  </si>
  <si>
    <t>REVISED</t>
  </si>
  <si>
    <t>VARIANCE</t>
  </si>
  <si>
    <t>November</t>
  </si>
  <si>
    <t>Third</t>
  </si>
  <si>
    <t xml:space="preserve"> C/NC</t>
  </si>
  <si>
    <t xml:space="preserve"> (Increase) / Decrease to Current Taxable Income</t>
  </si>
  <si>
    <t>CODE</t>
  </si>
  <si>
    <t>ACTUAL</t>
  </si>
  <si>
    <t>PLAN</t>
  </si>
  <si>
    <t>Plan</t>
  </si>
  <si>
    <t>C.E.</t>
  </si>
  <si>
    <t>Actual</t>
  </si>
  <si>
    <t>Forecast</t>
  </si>
  <si>
    <t>C</t>
  </si>
  <si>
    <t>??????</t>
  </si>
  <si>
    <t xml:space="preserve">Other PGA </t>
  </si>
  <si>
    <t>144003</t>
  </si>
  <si>
    <t>NC</t>
  </si>
  <si>
    <t xml:space="preserve">Depreciation / Amortization - Book </t>
  </si>
  <si>
    <t>L</t>
  </si>
  <si>
    <t xml:space="preserve">                                        - Tax</t>
  </si>
  <si>
    <t>113003</t>
  </si>
  <si>
    <t>Capitalized Interest</t>
  </si>
  <si>
    <t>114002</t>
  </si>
  <si>
    <t>CIAC - Utility</t>
  </si>
  <si>
    <t>114004</t>
  </si>
  <si>
    <t xml:space="preserve">AFUDC Gross-Up </t>
  </si>
  <si>
    <t>114019</t>
  </si>
  <si>
    <t xml:space="preserve">Amortization of Regulatory Costs            </t>
  </si>
  <si>
    <t>115005</t>
  </si>
  <si>
    <t>AFUDC Amortization</t>
  </si>
  <si>
    <t>115019</t>
  </si>
  <si>
    <t>IMP Amortization</t>
  </si>
  <si>
    <t>115020</t>
  </si>
  <si>
    <t>Customer Prepayments (Mobil Issue)</t>
  </si>
  <si>
    <t>142013</t>
  </si>
  <si>
    <t>Fuel / UAF Loss Deferral (Pre PRA)</t>
  </si>
  <si>
    <t>DEC.,2001</t>
  </si>
  <si>
    <t xml:space="preserve">         Carlton Refund (Net Against Demand Invoices)</t>
  </si>
  <si>
    <r>
      <t>Regulatory Reserve - Litigation   (</t>
    </r>
    <r>
      <rPr>
        <sz val="10"/>
        <color indexed="12"/>
        <rFont val="Arial"/>
      </rPr>
      <t>NOT LINKED PRESENTLY</t>
    </r>
    <r>
      <rPr>
        <sz val="10"/>
        <color indexed="12"/>
        <rFont val="Arial"/>
        <family val="2"/>
      </rPr>
      <t>)</t>
    </r>
  </si>
  <si>
    <t>143024</t>
  </si>
  <si>
    <t>Equivalent Unit Risk Deferral / Recovery</t>
  </si>
  <si>
    <t>PRA (Gain) / Loss on Fuel / UAF Deferral</t>
  </si>
  <si>
    <t>FERC Order Billing (ACA - Amortization)</t>
  </si>
  <si>
    <t>144002</t>
  </si>
  <si>
    <t xml:space="preserve">   ACA Payment</t>
  </si>
  <si>
    <t>"</t>
  </si>
  <si>
    <t xml:space="preserve">Deferred Regulatory Expenditures </t>
  </si>
  <si>
    <t>144007</t>
  </si>
  <si>
    <t>Transport Rate Case Reserve</t>
  </si>
  <si>
    <t>Other Regulatory Reserve Issues</t>
  </si>
  <si>
    <t>144009</t>
  </si>
  <si>
    <t>South Georgia Adjustment (Net)</t>
  </si>
  <si>
    <t>Reverse Auction 1 - Billings / Carrying Charges</t>
  </si>
  <si>
    <t xml:space="preserve">     Total Income Taxes (Composite Rate - 37.20 %)</t>
  </si>
  <si>
    <t>144026</t>
  </si>
  <si>
    <t xml:space="preserve">   AFUDC - Equity </t>
  </si>
  <si>
    <t xml:space="preserve">                           - Payment Amortization</t>
  </si>
  <si>
    <t>144034</t>
  </si>
  <si>
    <t>Stranded 858 - Normal Activity</t>
  </si>
  <si>
    <t>144032</t>
  </si>
  <si>
    <t>Stranded 858 Reverse Auction (R.A.)</t>
  </si>
  <si>
    <t>144028</t>
  </si>
  <si>
    <t>GSR - 10% Commodity Billings Only</t>
  </si>
  <si>
    <t>144031</t>
  </si>
  <si>
    <t>GSR R.A. - Billings / Carrying Charges</t>
  </si>
  <si>
    <t>144035</t>
  </si>
  <si>
    <t>Reverse Auction 2 - Billings / Carrying Charges</t>
  </si>
  <si>
    <t>144036</t>
  </si>
  <si>
    <t>144037</t>
  </si>
  <si>
    <t>Reverse Auction 3 - Billings / Carrying Charges / Amortization</t>
  </si>
  <si>
    <t>144038</t>
  </si>
  <si>
    <t xml:space="preserve">Order 528 - Billings / Carrying Charges </t>
  </si>
  <si>
    <t xml:space="preserve">Carlton Resolution - Billings / Carrying Charges </t>
  </si>
  <si>
    <t>System Balancing Agreement (SBA)</t>
  </si>
  <si>
    <t>Premium on Reacquired Debt from Corporate</t>
  </si>
  <si>
    <t>155002</t>
  </si>
  <si>
    <t>Pipe Recoating</t>
  </si>
  <si>
    <t>174011</t>
  </si>
  <si>
    <t>Operation Information Costs Amortization</t>
  </si>
  <si>
    <t>Income Before Income Taxes (W/O Co. 53K DD&amp;A)</t>
  </si>
  <si>
    <t xml:space="preserve">    Sub's Taxes (Co. 53K DD&amp;A @ 35.00%)</t>
  </si>
  <si>
    <t xml:space="preserve">     Total Income Taxes </t>
  </si>
  <si>
    <t xml:space="preserve">    Total - Current</t>
  </si>
  <si>
    <t xml:space="preserve">            - Noncurrent</t>
  </si>
  <si>
    <t>Merchant Service ($000's)</t>
  </si>
  <si>
    <t xml:space="preserve">   Gas Sales - Miscellaneous</t>
  </si>
  <si>
    <t xml:space="preserve">      Total Merchant Service Revenue</t>
  </si>
  <si>
    <t>Liquids Revenue ($000's)</t>
  </si>
  <si>
    <t xml:space="preserve">   Condensate</t>
  </si>
  <si>
    <t xml:space="preserve">      Total Liquids Revenue</t>
  </si>
  <si>
    <r>
      <t xml:space="preserve">Sales &amp; Liquids Rev. Adjust.   </t>
    </r>
    <r>
      <rPr>
        <b/>
        <sz val="10"/>
        <color indexed="10"/>
        <rFont val="Arial"/>
        <family val="2"/>
      </rPr>
      <t>(NON-CASH ITEMS ONLY)</t>
    </r>
  </si>
  <si>
    <t xml:space="preserve">      Total Sales &amp; Liquids Revenue Adjustments</t>
  </si>
  <si>
    <t xml:space="preserve">        Total Basis</t>
  </si>
  <si>
    <t xml:space="preserve">    Current Deferred</t>
  </si>
  <si>
    <t xml:space="preserve">    Non-Current Deferred</t>
  </si>
  <si>
    <t xml:space="preserve">        Subtotal Deferred Tax</t>
  </si>
  <si>
    <t xml:space="preserve">Adjustments (Net of Tax) </t>
  </si>
  <si>
    <t>Cash Flow Link</t>
  </si>
  <si>
    <t>Excess Deferred Income Taxes</t>
  </si>
  <si>
    <t>Hyperion Entry / Reversal</t>
  </si>
  <si>
    <t xml:space="preserve">      TOTAL DEFERRED TAXES</t>
  </si>
  <si>
    <t xml:space="preserve">      TOTAL DEFERRED - CURRENT</t>
  </si>
  <si>
    <t xml:space="preserve">Severance &amp; Relocation Recovery </t>
  </si>
  <si>
    <t xml:space="preserve">                                    -  NON-CURRENT</t>
  </si>
  <si>
    <t>LINKED INFORMATION (*)</t>
  </si>
  <si>
    <t xml:space="preserve">  Surcharge Data (Other Rev. / Adjust / Other Income / Int. &amp; Deduct. Files)</t>
  </si>
  <si>
    <t>* Reverse Auction 1 Tracker / Carrying Charges</t>
  </si>
  <si>
    <t xml:space="preserve">     Total (Over) / Under Recovery - Reverse Auction 1</t>
  </si>
  <si>
    <t>* Reverse Auction 2 Tracker / Carrying Charges</t>
  </si>
  <si>
    <t xml:space="preserve">     Total (Over) / Under Recovery - Reverse Auction 2</t>
  </si>
  <si>
    <t>* Reverse Auction 3 Tracker / Carrying Charges</t>
  </si>
  <si>
    <t xml:space="preserve">     Total (Over) / Under Recovery - Reverse Auction 3</t>
  </si>
  <si>
    <t>* Stranded 858 Tracker / Carrying Charges</t>
  </si>
  <si>
    <t xml:space="preserve">     Total (Over) / Under Recovery - Stranded 858</t>
  </si>
  <si>
    <t>* Stranded 858 R.A. Tracker / Carrying Charges</t>
  </si>
  <si>
    <t xml:space="preserve">   KN Helium Sale</t>
  </si>
  <si>
    <t xml:space="preserve">     Total (Over) / Under Recovery - Stranded 858 R.A.</t>
  </si>
  <si>
    <t>* GSR Tracker (10% Commodity Only)</t>
  </si>
  <si>
    <t xml:space="preserve">     Total (Over) / Under Recovery - GSR 10% Commodity Only</t>
  </si>
  <si>
    <t>* Order 528 Tracker / Carrying Charges</t>
  </si>
  <si>
    <t xml:space="preserve">     Total (Over) / Under Recovery - Order 528</t>
  </si>
  <si>
    <t>* GSR R.A. Tracker / Carrying Charges</t>
  </si>
  <si>
    <t xml:space="preserve">     Total (Over) / Under Recovery - GSR R.A.</t>
  </si>
  <si>
    <t xml:space="preserve">     Total (Over) / Under Recovery - Carlton Resolution</t>
  </si>
  <si>
    <t>* System Balancing Agreement Tracker / No Carrying Charges</t>
  </si>
  <si>
    <t xml:space="preserve">     Total (Over) / Under Recovery - SBA</t>
  </si>
  <si>
    <t xml:space="preserve">  Reserve Issues</t>
  </si>
  <si>
    <t>* Other Deductions - Reserve Building / Reversals</t>
  </si>
  <si>
    <t xml:space="preserve">  Regulatory Amortization / O&amp;M / DD&amp;A</t>
  </si>
  <si>
    <t>* Regulatory Commission Expense</t>
  </si>
  <si>
    <t xml:space="preserve">         - Other Miscellaneous</t>
  </si>
  <si>
    <t xml:space="preserve">                - GSR R.A.          </t>
  </si>
  <si>
    <t xml:space="preserve">   Interest Expense - Carrying Charges (Rev. Auction 1)</t>
  </si>
  <si>
    <t xml:space="preserve">         - Carrying Charges (Rev. Auction 2)</t>
  </si>
  <si>
    <t xml:space="preserve">         - Carrying Charges (Rev. Auction 3)</t>
  </si>
  <si>
    <t xml:space="preserve">         - Carrying Charges (GSR R.A)</t>
  </si>
  <si>
    <t xml:space="preserve">         - Receivable Sale Fees</t>
  </si>
  <si>
    <t xml:space="preserve">         - AFUDC Equity (Grossup)</t>
  </si>
  <si>
    <t xml:space="preserve">         - AFUDC Equity (Grossup Amortization)</t>
  </si>
  <si>
    <t xml:space="preserve">         - Speculative Income</t>
  </si>
  <si>
    <t xml:space="preserve">         - Franchise / Other Misc.</t>
  </si>
  <si>
    <t>Net Contribution FA&amp;A - TOTAL NNG &amp; TBPL</t>
  </si>
  <si>
    <t xml:space="preserve">         - NNG Only</t>
  </si>
  <si>
    <t xml:space="preserve">         - TBPL Only</t>
  </si>
  <si>
    <t>NORTHERN NATURAL GAS COMPANY</t>
  </si>
  <si>
    <t xml:space="preserve">   Commercial</t>
  </si>
  <si>
    <t xml:space="preserve">      Sales Margin (Net)</t>
  </si>
  <si>
    <t xml:space="preserve">      Transportation &amp; Storage Revenue</t>
  </si>
  <si>
    <t xml:space="preserve">      Other Revenue</t>
  </si>
  <si>
    <t xml:space="preserve">      Operations and Maintenance Expense</t>
  </si>
  <si>
    <t xml:space="preserve">      Regulatory Amortization</t>
  </si>
  <si>
    <t xml:space="preserve">      Fuel Used in Operations</t>
  </si>
  <si>
    <t xml:space="preserve">      TC&amp;S Expense</t>
  </si>
  <si>
    <t xml:space="preserve">      Taxes Other Than Income (Payroll Taxes)</t>
  </si>
  <si>
    <t xml:space="preserve">      Other Income / (Deductions) - Asset Sales</t>
  </si>
  <si>
    <t xml:space="preserve">      Other Income / (Deductions) </t>
  </si>
  <si>
    <t xml:space="preserve">      Other Income / (Deductions) - Physical Inventory Adj.</t>
  </si>
  <si>
    <t xml:space="preserve">      DD&amp;A Expense</t>
  </si>
  <si>
    <t xml:space="preserve">      Taxes Other Than Income - Ad Valorem</t>
  </si>
  <si>
    <t xml:space="preserve">   Information Technology</t>
  </si>
  <si>
    <t xml:space="preserve">   Executive</t>
  </si>
  <si>
    <t xml:space="preserve">         Net Commercial Contribution</t>
  </si>
  <si>
    <t xml:space="preserve">         Net Operations Contribution</t>
  </si>
  <si>
    <t xml:space="preserve">         Net FA&amp;A Contribution</t>
  </si>
  <si>
    <t xml:space="preserve">         Net IT Contribution</t>
  </si>
  <si>
    <t xml:space="preserve">         Net Legal Contribution</t>
  </si>
  <si>
    <t xml:space="preserve">         Net HR Contribution</t>
  </si>
  <si>
    <t xml:space="preserve">         Net Executive Contribution</t>
  </si>
  <si>
    <t xml:space="preserve">            Total NNG IBIT</t>
  </si>
  <si>
    <t>TRAILBLAZER PIPELINE COMPANY</t>
  </si>
  <si>
    <t xml:space="preserve">      Partnership Income</t>
  </si>
  <si>
    <t xml:space="preserve">      DD&amp;A Expense (Fair Value Adjustment)</t>
  </si>
  <si>
    <t xml:space="preserve">            Total Trailblazer IBIT</t>
  </si>
  <si>
    <t>IBIT Check # (BETTER BE ZERO)</t>
  </si>
  <si>
    <t xml:space="preserve">         - Swap 2</t>
  </si>
  <si>
    <t xml:space="preserve">         - Misc. NNG Reg. Assets Item 1</t>
  </si>
  <si>
    <t xml:space="preserve">         - Misc. NNG Reg. Assets Item 2</t>
  </si>
  <si>
    <t xml:space="preserve">      Fuel / UAF - Fuel (Margin)</t>
  </si>
  <si>
    <t xml:space="preserve">         - Other Fuel (Margin) </t>
  </si>
  <si>
    <t xml:space="preserve">         - UAF (Margin)</t>
  </si>
  <si>
    <t xml:space="preserve">         - Other UAF (Margin)</t>
  </si>
  <si>
    <t xml:space="preserve">      Fuel / UAF - Fuel (Expense)</t>
  </si>
  <si>
    <t xml:space="preserve">         - Other Fuel (Expense</t>
  </si>
  <si>
    <t xml:space="preserve">         - UAF (Expense) </t>
  </si>
  <si>
    <t xml:space="preserve">         - Other UAF (Expense)</t>
  </si>
  <si>
    <t xml:space="preserve">   Deferred  </t>
  </si>
  <si>
    <t xml:space="preserve">                - Rate Case</t>
  </si>
  <si>
    <t xml:space="preserve">   Carlton Resolution</t>
  </si>
  <si>
    <t xml:space="preserve">      Discount Issue   </t>
  </si>
  <si>
    <t>* ACA Amortization</t>
  </si>
  <si>
    <t>* O.I. Amortization (O&amp;M Item)</t>
  </si>
  <si>
    <t>Book Gain / (Loss) on Asset Sales</t>
  </si>
  <si>
    <t xml:space="preserve">Asset Removal Costs </t>
  </si>
  <si>
    <t>Amended 1996-199? Tax Return Adjustments</t>
  </si>
  <si>
    <t>Other (Was Uncollectible Accts Recovery until 6/00)</t>
  </si>
  <si>
    <t>* FAS 106 Benefits Amortization (O&amp;M 1-10/98, Reg. Amort. 11&amp; 12/98)</t>
  </si>
  <si>
    <t>* 2223 Dodge Street Amortization</t>
  </si>
  <si>
    <t>* Severance Relocation Amortization</t>
  </si>
  <si>
    <t>* Fuel / UAF Amortization (Pre PRA)</t>
  </si>
  <si>
    <t xml:space="preserve">* Equivalent Unit Risk Amortization </t>
  </si>
  <si>
    <t>* IMP Amortization</t>
  </si>
  <si>
    <t>* Pipe Recoating (DD&amp;A - Amortization Item)</t>
  </si>
  <si>
    <t>* South Georgia Adjustment</t>
  </si>
  <si>
    <t xml:space="preserve">  Direct Interest / Other Deductions</t>
  </si>
  <si>
    <t>* Reacquired Debt - Amortization Loss</t>
  </si>
  <si>
    <t>*                          - Amortization Gain</t>
  </si>
  <si>
    <t xml:space="preserve">     Net Loss on Reacquired Debt </t>
  </si>
  <si>
    <t>FEDERAL INCOME TAXES</t>
  </si>
  <si>
    <t xml:space="preserve">    Payable Currently</t>
  </si>
  <si>
    <t xml:space="preserve">    Deferred</t>
  </si>
  <si>
    <t xml:space="preserve">       TOTAL FEDERAL INCOME TAXES</t>
  </si>
  <si>
    <t>NET INCOME BEFORE CAPITAL COSTS</t>
  </si>
  <si>
    <t>SCHEDULE OF LINKED DATA</t>
  </si>
  <si>
    <t>Rounding</t>
  </si>
  <si>
    <t>FILE NAME</t>
  </si>
  <si>
    <t>Rate Case Impact (Higher Rates)</t>
  </si>
  <si>
    <t xml:space="preserve">Total Gas Sales Revenue (w/o Adjustments) </t>
  </si>
  <si>
    <t xml:space="preserve">    "   Transport        "         "           "</t>
  </si>
  <si>
    <t xml:space="preserve">    "    Liquids          "         "           "</t>
  </si>
  <si>
    <t xml:space="preserve">    "     Other           "         "           "</t>
  </si>
  <si>
    <t>SBA Expense (Both Demand &amp; Commodity)</t>
  </si>
  <si>
    <t>Stranded 858 (All) Carrying Charges</t>
  </si>
  <si>
    <t>Stranded 858 R.A. Carrying Charges</t>
  </si>
  <si>
    <t>Reverse Auction 1 Carrying Charges</t>
  </si>
  <si>
    <t>GSR Carrying Charges</t>
  </si>
  <si>
    <t>SBA Tracker Adjustment</t>
  </si>
  <si>
    <t>TC&amp;S</t>
  </si>
  <si>
    <t>Order 528 Tracker Adjustment (Surcharge / Costs - Net)</t>
  </si>
  <si>
    <t>Order 528 Carrying Charges</t>
  </si>
  <si>
    <t>Stranded 858 (ANR Buyout) Tracker Adj. (Surc. / Costs - Net)</t>
  </si>
  <si>
    <t>Stranded 858 (Normal) Tracker Adjust. (Surc. / Costs - Net)</t>
  </si>
  <si>
    <t>Regulatory Commission Expense</t>
  </si>
  <si>
    <t>Stranded 858 R.A. Tracker Adjust. (Surcharge / Costs - Net)</t>
  </si>
  <si>
    <t>FAS 106 Deferral / Amortization</t>
  </si>
  <si>
    <t>Severance &amp; Relocation Amortization</t>
  </si>
  <si>
    <t xml:space="preserve">    Others</t>
  </si>
  <si>
    <t>Investment Tax Credit / Rounding</t>
  </si>
  <si>
    <t xml:space="preserve">         - Rate Case Impact </t>
  </si>
  <si>
    <t xml:space="preserve">   New Structured Products (Unidentified Stretch)</t>
  </si>
  <si>
    <t xml:space="preserve">      Sempra SBA (7/99 - 5/02 Base Gas Monetization 15 Bcf)</t>
  </si>
  <si>
    <t xml:space="preserve">         - Other </t>
  </si>
  <si>
    <t xml:space="preserve">   Interest Income - Racom Only   </t>
  </si>
  <si>
    <t>Uncollectible Accounts Amortization</t>
  </si>
  <si>
    <t>ACA Amortization</t>
  </si>
  <si>
    <t>Total 858 &amp; 858 R.A. Expense Only</t>
  </si>
  <si>
    <t xml:space="preserve">   TOTAL GAS &amp; LIQUID SALES REVENUE</t>
  </si>
  <si>
    <t>144012</t>
  </si>
  <si>
    <t xml:space="preserve">Other </t>
  </si>
  <si>
    <t xml:space="preserve">Depreciation - PP&amp;E    </t>
  </si>
  <si>
    <t xml:space="preserve">Amortization - PP&amp;E    </t>
  </si>
  <si>
    <t>Total Depreciation &amp;  Amortization Per Income Statement</t>
  </si>
  <si>
    <t>Payroll Taxes Only</t>
  </si>
  <si>
    <t xml:space="preserve">Total Taxes Other Than Income (Including Payroll) </t>
  </si>
  <si>
    <t>Total Partnership Income</t>
  </si>
  <si>
    <t>Reserve Issues - Rate Case Only</t>
  </si>
  <si>
    <t>Amortized Loss on Reacquired Debt</t>
  </si>
  <si>
    <t>Amortized (Gain) on Reacquired Debt</t>
  </si>
  <si>
    <t>ACA Payment</t>
  </si>
  <si>
    <t>Payable Currently (w/o Non-Cash Adjustments)</t>
  </si>
  <si>
    <t>Deferred Taxes - Current</t>
  </si>
  <si>
    <t xml:space="preserve">                       - Noncurrent</t>
  </si>
  <si>
    <t>Total Deferred Taxes</t>
  </si>
  <si>
    <t>Total Income Taxes (w/o Capital Costs Component)</t>
  </si>
  <si>
    <t>Net Income Before Capital Costs</t>
  </si>
  <si>
    <t>South Georgia Adjustment</t>
  </si>
  <si>
    <t>GSR R.A. (Expense)</t>
  </si>
  <si>
    <t>2223 Dodge Street Amortization</t>
  </si>
  <si>
    <t>Fuel / UAF Amortization (Pre PRA)</t>
  </si>
  <si>
    <t>GSR R.A. Assumed Collections</t>
  </si>
  <si>
    <t>GSR R.A. Carrying Charges</t>
  </si>
  <si>
    <t>Carlton Resolution Carrying Charges</t>
  </si>
  <si>
    <t>Reverse Auction 2 Carrying Charges</t>
  </si>
  <si>
    <t>GSR Assumed Collections</t>
  </si>
  <si>
    <t>Reverse Auction 1 - Direct Bill Revenue</t>
  </si>
  <si>
    <t xml:space="preserve">      Other Deductions</t>
  </si>
  <si>
    <t xml:space="preserve">   Other                                                 "Commercial Function" </t>
  </si>
  <si>
    <t xml:space="preserve">      Adjusted Total DD&amp;A</t>
  </si>
  <si>
    <t xml:space="preserve">      DD&amp;A Expense (Capital Project Related)</t>
  </si>
  <si>
    <t xml:space="preserve">         Non FA&amp;A Capital Projects DD&amp;A Offset Adjustment</t>
  </si>
  <si>
    <t xml:space="preserve">      DD&amp;A Expense - NNG Only (Capital Projects Related)</t>
  </si>
  <si>
    <t xml:space="preserve">      DD&amp;A Expense (Capital Projects Related)</t>
  </si>
  <si>
    <t xml:space="preserve">                  Total NNG &amp; Trailblazer IBIT</t>
  </si>
  <si>
    <t xml:space="preserve">                Total DD&amp;A Expense (NNG &amp; TBPL)</t>
  </si>
  <si>
    <t xml:space="preserve">   * Note *  Total O&amp;M Expense (NNG Only)</t>
  </si>
  <si>
    <t xml:space="preserve">                           - Expense Payment (Annual) </t>
  </si>
  <si>
    <t>Reverse Auction 2 - Direct Bill Revenue</t>
  </si>
  <si>
    <t>Reverse Auction 3 - Direct Bill Revenue</t>
  </si>
  <si>
    <t>Reverse Auction 3 Carrying Charges</t>
  </si>
  <si>
    <t xml:space="preserve">   CONTROL TOTAL</t>
  </si>
  <si>
    <t>Carlton Resolution Tracker / Discount Adj. (Surch./Costs-Net)</t>
  </si>
  <si>
    <t>Final</t>
  </si>
  <si>
    <t xml:space="preserve">   Corporate Direct and Allocated</t>
  </si>
  <si>
    <t xml:space="preserve">          - GRI Savings Adjustment</t>
  </si>
  <si>
    <t>PRINT: REPORT.7</t>
  </si>
  <si>
    <t>PRINT: REPORT.8</t>
  </si>
  <si>
    <t>PRINT: REPORT.9</t>
  </si>
  <si>
    <t>PRINT: REPORT.10</t>
  </si>
  <si>
    <t xml:space="preserve">      " GROUP MONTHLY "</t>
  </si>
  <si>
    <t xml:space="preserve">         " GROUP QUARTERLY "</t>
  </si>
  <si>
    <t xml:space="preserve">      " GROUP CUMULATIVE "</t>
  </si>
  <si>
    <t>PRINT: REPORT.11</t>
  </si>
  <si>
    <t>PRINT: REPORT.12</t>
  </si>
  <si>
    <t>PRINT: PRT.1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</si>
  <si>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</si>
  <si>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</si>
  <si>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</si>
  <si>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</si>
  <si>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</si>
  <si>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</si>
  <si>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</si>
  <si>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</si>
  <si>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</si>
  <si>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</si>
  <si>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</si>
  <si>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</si>
  <si>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</si>
  <si>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     - Other </t>
  </si>
  <si>
    <t xml:space="preserve">   Hyperion Entry / Reversal</t>
  </si>
  <si>
    <t xml:space="preserve">      Other</t>
  </si>
  <si>
    <t xml:space="preserve">   Penalty - Misc.</t>
  </si>
  <si>
    <t xml:space="preserve">   Suspense Gas Adjustment</t>
  </si>
  <si>
    <r>
      <t xml:space="preserve">      - Base Gas </t>
    </r>
    <r>
      <rPr>
        <b/>
        <sz val="10"/>
        <color indexed="12"/>
        <rFont val="Arial"/>
        <family val="2"/>
      </rPr>
      <t>Sale</t>
    </r>
    <r>
      <rPr>
        <sz val="10"/>
        <color indexed="12"/>
        <rFont val="Arial"/>
      </rPr>
      <t xml:space="preserve"> ??? / Monetization ??? </t>
    </r>
  </si>
  <si>
    <t>12/31/00</t>
  </si>
  <si>
    <t>PRINT: PRT.2</t>
  </si>
  <si>
    <t xml:space="preserve">   Other</t>
  </si>
  <si>
    <t xml:space="preserve">PRINT: PAGE1 </t>
  </si>
  <si>
    <t xml:space="preserve">      - GSR (Surcharge)</t>
  </si>
  <si>
    <t xml:space="preserve">      - GSR R.A. (Surcharge)</t>
  </si>
  <si>
    <t xml:space="preserve">      - 858 (Surcharge)</t>
  </si>
  <si>
    <t xml:space="preserve">      - 858 R.A. (Surcharge)</t>
  </si>
  <si>
    <t xml:space="preserve">      - Reverse Auction 1 (Direct Bill)</t>
  </si>
  <si>
    <t xml:space="preserve">      - Reverse Auction 2 (Direct Bill)</t>
  </si>
  <si>
    <t xml:space="preserve">      - Reverse Auction 3 (Direct Bill)</t>
  </si>
  <si>
    <t xml:space="preserve">      - Order 528 (Surcharge / Direct Bill) </t>
  </si>
  <si>
    <t xml:space="preserve">      Total Reservation Revenue</t>
  </si>
  <si>
    <t>No Link</t>
  </si>
  <si>
    <t xml:space="preserve">      Total Commodity Revenue</t>
  </si>
  <si>
    <r>
      <t xml:space="preserve">      Total Transport Revenue     </t>
    </r>
    <r>
      <rPr>
        <b/>
        <sz val="10"/>
        <color indexed="10"/>
        <rFont val="Arial"/>
        <family val="2"/>
      </rPr>
      <t xml:space="preserve">(Linked Cash Flow) </t>
    </r>
  </si>
  <si>
    <t xml:space="preserve">   SMS Commodity</t>
  </si>
  <si>
    <t xml:space="preserve">   TOTAL TRANSPORT &amp; STORAGE REVENUE</t>
  </si>
  <si>
    <t>Check #</t>
  </si>
  <si>
    <t>PRINT: PAGE2</t>
  </si>
  <si>
    <t xml:space="preserve">    Business Expenses (NNG Only)</t>
  </si>
  <si>
    <t>PRINT: PAGE3</t>
  </si>
  <si>
    <t>PRINT: PAGE1</t>
  </si>
  <si>
    <t>OTHER REVENUE ($000's)</t>
  </si>
  <si>
    <t>CF Link</t>
  </si>
  <si>
    <t xml:space="preserve">   Offshore Liquids Transport</t>
  </si>
  <si>
    <t xml:space="preserve">         TOTAL OTHER REVENUE (NET)</t>
  </si>
  <si>
    <t>PRINT: PAGE4</t>
  </si>
  <si>
    <t xml:space="preserve">         - Demand / Commodity Expense (Cash Input)</t>
  </si>
  <si>
    <t>Review</t>
  </si>
  <si>
    <t xml:space="preserve">              - East Leg (12/02)</t>
  </si>
  <si>
    <t xml:space="preserve">        - Other</t>
  </si>
  <si>
    <t xml:space="preserve">   Asset Sales - Mops </t>
  </si>
  <si>
    <t xml:space="preserve">        - East Leg (Dec)</t>
  </si>
  <si>
    <t xml:space="preserve">   Other </t>
  </si>
  <si>
    <t xml:space="preserve">                             - Trailblazer (Co.183) </t>
  </si>
  <si>
    <t xml:space="preserve">         Asset Sales Gross Proceeds - Other</t>
  </si>
  <si>
    <t xml:space="preserve">            - East Leg 12/02)</t>
  </si>
  <si>
    <t xml:space="preserve">         Misc. </t>
  </si>
  <si>
    <t xml:space="preserve">         Reverse Auction 2 Payments</t>
  </si>
  <si>
    <t>2002 OPERATING PLAN</t>
  </si>
  <si>
    <t xml:space="preserve">   Lucent Reimbursement (1/99-12/03) </t>
  </si>
  <si>
    <r>
      <t xml:space="preserve">      2002 GRI Rate   </t>
    </r>
    <r>
      <rPr>
        <sz val="10"/>
        <color indexed="10"/>
        <rFont val="Arial"/>
        <family val="2"/>
      </rPr>
      <t>(INPUT)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</si>
</sst>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64" formatCode="dd\-mmm\-yy_)"/>
    <numFmt numFmtId="165" formatCode="0_)"/>
    <numFmt numFmtId="166" formatCode="hh:mm\ AM/PM_)"/>
    <numFmt numFmtId="167" formatCode="0.0000_)"/>
    <numFmt numFmtId="168" formatCode="General_)"/>
    <numFmt numFmtId="169" formatCode="0.00_)"/>
    <numFmt numFmtId="171" formatCode="#,##0.0_);\(#,##0.0\)"/>
    <numFmt numFmtId="172" formatCode="#,##0.0000_);\(#,##0.0000\)"/>
    <numFmt numFmtId="173" formatCode="mm/dd/yy_)"/>
    <numFmt numFmtId="174" formatCode="0.000_)"/>
    <numFmt numFmtId="175" formatCode="0.00000_)"/>
    <numFmt numFmtId="176" formatCode="#,##0.000000_);\(#,##0.000000\)"/>
    <numFmt numFmtId="181" formatCode="0_);\(0\)"/>
    <numFmt numFmtId="184" formatCode="_(* #,##0.000_);_(* \(#,##0.000\);_(* &quot;-&quot;???_);_(@_)"/>
  </numFmts>
  <fonts count="53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Helv"/>
    </font>
    <font>
      <b/>
      <sz val="10"/>
      <name val="Helv"/>
    </font>
    <font>
      <sz val="10"/>
      <color indexed="12"/>
      <name val="Helv"/>
    </font>
    <font>
      <b/>
      <u/>
      <sz val="10"/>
      <name val="Helv"/>
    </font>
    <font>
      <u/>
      <sz val="10"/>
      <name val="Helv"/>
    </font>
    <font>
      <b/>
      <u val="double"/>
      <sz val="10"/>
      <name val="Helv"/>
    </font>
    <font>
      <u val="double"/>
      <sz val="10"/>
      <name val="Helv"/>
    </font>
    <font>
      <sz val="12"/>
      <name val="Helv"/>
    </font>
    <font>
      <b/>
      <sz val="12"/>
      <name val="Helv"/>
    </font>
    <font>
      <b/>
      <u/>
      <sz val="12"/>
      <name val="Helv"/>
    </font>
    <font>
      <i/>
      <sz val="10"/>
      <name val="Helv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6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u val="double"/>
      <sz val="10"/>
      <name val="Arial"/>
      <family val="2"/>
    </font>
    <font>
      <b/>
      <u val="double"/>
      <sz val="10"/>
      <name val="Arial"/>
      <family val="2"/>
    </font>
    <font>
      <sz val="10"/>
      <color indexed="12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b/>
      <u/>
      <sz val="10"/>
      <color indexed="12"/>
      <name val="Arial"/>
      <family val="2"/>
    </font>
    <font>
      <b/>
      <sz val="8"/>
      <color indexed="12"/>
      <name val="Arial"/>
      <family val="2"/>
    </font>
    <font>
      <b/>
      <u/>
      <sz val="10"/>
      <name val="Arial"/>
    </font>
    <font>
      <sz val="10"/>
      <color indexed="12"/>
      <name val="Arial"/>
    </font>
    <font>
      <sz val="10"/>
      <name val="Arial"/>
    </font>
    <font>
      <u/>
      <sz val="10"/>
      <name val="Arial"/>
    </font>
    <font>
      <b/>
      <sz val="10"/>
      <color indexed="12"/>
      <name val="Arial"/>
    </font>
    <font>
      <sz val="10"/>
      <color indexed="10"/>
      <name val="Arial"/>
      <family val="2"/>
    </font>
    <font>
      <sz val="10"/>
      <color indexed="8"/>
      <name val="Arial"/>
      <family val="2"/>
    </font>
    <font>
      <u/>
      <sz val="10"/>
      <color indexed="8"/>
      <name val="Arial"/>
      <family val="2"/>
    </font>
    <font>
      <b/>
      <sz val="10"/>
      <color indexed="10"/>
      <name val="Arial"/>
      <family val="2"/>
    </font>
    <font>
      <b/>
      <u/>
      <sz val="10"/>
      <color indexed="8"/>
      <name val="Arial"/>
      <family val="2"/>
    </font>
    <font>
      <b/>
      <sz val="10"/>
      <color indexed="8"/>
      <name val="Arial"/>
      <family val="2"/>
    </font>
    <font>
      <b/>
      <u/>
      <sz val="10"/>
      <color indexed="8"/>
      <name val="Arial"/>
    </font>
    <font>
      <sz val="10"/>
      <color indexed="8"/>
      <name val="Arial"/>
    </font>
    <font>
      <b/>
      <sz val="8"/>
      <color indexed="8"/>
      <name val="Arial"/>
      <family val="2"/>
    </font>
    <font>
      <sz val="10"/>
      <name val="Arial"/>
    </font>
    <font>
      <b/>
      <u val="double"/>
      <sz val="10"/>
      <color indexed="8"/>
      <name val="Arial"/>
      <family val="2"/>
    </font>
    <font>
      <u val="double"/>
      <sz val="10"/>
      <color indexed="8"/>
      <name val="Helv"/>
    </font>
    <font>
      <b/>
      <u/>
      <sz val="10"/>
      <color indexed="10"/>
      <name val="Arial"/>
      <family val="2"/>
    </font>
    <font>
      <sz val="10"/>
      <color indexed="14"/>
      <name val="Arial"/>
      <family val="2"/>
    </font>
    <font>
      <sz val="10"/>
      <color indexed="17"/>
      <name val="Arial"/>
      <family val="2"/>
    </font>
    <font>
      <u/>
      <sz val="10"/>
      <color indexed="10"/>
      <name val="Arial"/>
      <family val="2"/>
    </font>
    <font>
      <u val="singleAccounting"/>
      <sz val="10"/>
      <name val="Arial"/>
      <family val="2"/>
    </font>
    <font>
      <b/>
      <u val="singleAccounting"/>
      <sz val="10"/>
      <name val="Arial"/>
      <family val="2"/>
    </font>
    <font>
      <u/>
      <sz val="10"/>
      <color indexed="17"/>
      <name val="Arial"/>
      <family val="2"/>
    </font>
  </fonts>
  <fills count="8">
    <fill>
      <patternFill patternType="none"/>
    </fill>
    <fill>
      <patternFill patternType="gray125"/>
    </fill>
    <fill>
      <patternFill patternType="lightGray">
        <fgColor indexed="8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gray125">
        <fgColor indexed="8"/>
      </patternFill>
    </fill>
    <fill>
      <patternFill patternType="solid">
        <fgColor indexed="65"/>
        <bgColor indexed="8"/>
      </patternFill>
    </fill>
    <fill>
      <patternFill patternType="solid">
        <fgColor indexed="6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3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011">
    <xf numFmtId="0" fontId="0" fillId="0" borderId="0" xfId="0"/>
    <xf numFmtId="0" fontId="3" fillId="0" borderId="0" xfId="11"/>
    <xf numFmtId="37" fontId="3" fillId="0" borderId="0" xfId="11" applyNumberFormat="1" applyProtection="1"/>
    <xf numFmtId="0" fontId="3" fillId="0" borderId="0" xfId="14"/>
    <xf numFmtId="37" fontId="5" fillId="0" borderId="0" xfId="14" applyNumberFormat="1" applyFont="1" applyProtection="1">
      <protection locked="0"/>
    </xf>
    <xf numFmtId="37" fontId="7" fillId="0" borderId="0" xfId="14" applyNumberFormat="1" applyFont="1" applyProtection="1">
      <protection locked="0"/>
    </xf>
    <xf numFmtId="0" fontId="7" fillId="0" borderId="0" xfId="14" applyFont="1"/>
    <xf numFmtId="0" fontId="4" fillId="0" borderId="0" xfId="14" applyFont="1"/>
    <xf numFmtId="0" fontId="5" fillId="0" borderId="0" xfId="14" applyFont="1" applyProtection="1">
      <protection locked="0"/>
    </xf>
    <xf numFmtId="0" fontId="10" fillId="0" borderId="0" xfId="14" applyFont="1"/>
    <xf numFmtId="165" fontId="5" fillId="0" borderId="0" xfId="14" applyNumberFormat="1" applyFont="1" applyProtection="1">
      <protection locked="0"/>
    </xf>
    <xf numFmtId="165" fontId="6" fillId="0" borderId="0" xfId="14" applyNumberFormat="1" applyFont="1" applyProtection="1">
      <protection locked="0"/>
    </xf>
    <xf numFmtId="169" fontId="5" fillId="0" borderId="0" xfId="14" applyNumberFormat="1" applyFont="1" applyProtection="1">
      <protection locked="0"/>
    </xf>
    <xf numFmtId="0" fontId="3" fillId="0" borderId="0" xfId="5"/>
    <xf numFmtId="0" fontId="10" fillId="0" borderId="0" xfId="5" applyFont="1"/>
    <xf numFmtId="37" fontId="3" fillId="0" borderId="0" xfId="6"/>
    <xf numFmtId="37" fontId="10" fillId="0" borderId="0" xfId="6" applyFont="1"/>
    <xf numFmtId="37" fontId="11" fillId="0" borderId="0" xfId="6" applyFont="1"/>
    <xf numFmtId="37" fontId="12" fillId="0" borderId="0" xfId="6" applyFont="1"/>
    <xf numFmtId="37" fontId="10" fillId="0" borderId="0" xfId="6" applyNumberFormat="1" applyFont="1" applyProtection="1"/>
    <xf numFmtId="0" fontId="3" fillId="0" borderId="0" xfId="13"/>
    <xf numFmtId="0" fontId="5" fillId="0" borderId="0" xfId="13" applyFont="1" applyProtection="1">
      <protection locked="0"/>
    </xf>
    <xf numFmtId="0" fontId="4" fillId="0" borderId="0" xfId="13" applyFont="1" applyProtection="1">
      <protection locked="0"/>
    </xf>
    <xf numFmtId="0" fontId="4" fillId="0" borderId="0" xfId="13" applyFont="1"/>
    <xf numFmtId="164" fontId="3" fillId="0" borderId="0" xfId="13" applyNumberFormat="1" applyProtection="1"/>
    <xf numFmtId="166" fontId="3" fillId="0" borderId="0" xfId="13" applyNumberFormat="1" applyProtection="1"/>
    <xf numFmtId="165" fontId="5" fillId="0" borderId="0" xfId="13" applyNumberFormat="1" applyFont="1" applyProtection="1">
      <protection locked="0"/>
    </xf>
    <xf numFmtId="37" fontId="5" fillId="0" borderId="0" xfId="13" applyNumberFormat="1" applyFont="1" applyProtection="1">
      <protection locked="0"/>
    </xf>
    <xf numFmtId="37" fontId="3" fillId="0" borderId="0" xfId="13" applyNumberFormat="1" applyProtection="1"/>
    <xf numFmtId="37" fontId="7" fillId="0" borderId="0" xfId="13" applyNumberFormat="1" applyFont="1" applyProtection="1"/>
    <xf numFmtId="0" fontId="7" fillId="0" borderId="0" xfId="13" applyFont="1"/>
    <xf numFmtId="37" fontId="6" fillId="0" borderId="0" xfId="13" applyNumberFormat="1" applyFont="1" applyProtection="1"/>
    <xf numFmtId="37" fontId="4" fillId="0" borderId="0" xfId="13" applyNumberFormat="1" applyFont="1" applyProtection="1"/>
    <xf numFmtId="0" fontId="6" fillId="0" borderId="0" xfId="13" applyFont="1"/>
    <xf numFmtId="0" fontId="6" fillId="0" borderId="0" xfId="13" applyFont="1" applyProtection="1">
      <protection locked="0"/>
    </xf>
    <xf numFmtId="0" fontId="7" fillId="0" borderId="0" xfId="13" applyFont="1" applyProtection="1">
      <protection locked="0"/>
    </xf>
    <xf numFmtId="37" fontId="6" fillId="0" borderId="0" xfId="13" applyNumberFormat="1" applyFont="1" applyProtection="1">
      <protection locked="0"/>
    </xf>
    <xf numFmtId="37" fontId="13" fillId="0" borderId="0" xfId="13" applyNumberFormat="1" applyFont="1" applyProtection="1">
      <protection locked="0"/>
    </xf>
    <xf numFmtId="37" fontId="8" fillId="0" borderId="0" xfId="13" applyNumberFormat="1" applyFont="1" applyProtection="1"/>
    <xf numFmtId="0" fontId="3" fillId="0" borderId="0" xfId="13" applyAlignment="1">
      <alignment horizontal="left"/>
    </xf>
    <xf numFmtId="37" fontId="5" fillId="0" borderId="0" xfId="13" applyNumberFormat="1" applyFont="1" applyAlignment="1" applyProtection="1">
      <alignment horizontal="left"/>
      <protection locked="0"/>
    </xf>
    <xf numFmtId="37" fontId="3" fillId="0" borderId="0" xfId="13" applyNumberFormat="1" applyAlignment="1" applyProtection="1">
      <alignment horizontal="left"/>
    </xf>
    <xf numFmtId="37" fontId="3" fillId="0" borderId="0" xfId="11" applyNumberFormat="1"/>
    <xf numFmtId="37" fontId="6" fillId="0" borderId="0" xfId="11" applyNumberFormat="1" applyFont="1"/>
    <xf numFmtId="37" fontId="7" fillId="0" borderId="0" xfId="11" applyNumberFormat="1" applyFont="1"/>
    <xf numFmtId="37" fontId="8" fillId="0" borderId="0" xfId="11" applyNumberFormat="1" applyFont="1"/>
    <xf numFmtId="37" fontId="3" fillId="0" borderId="0" xfId="14" applyNumberFormat="1"/>
    <xf numFmtId="168" fontId="24" fillId="0" borderId="0" xfId="9" applyNumberFormat="1" applyFont="1" applyProtection="1">
      <protection locked="0"/>
    </xf>
    <xf numFmtId="165" fontId="24" fillId="0" borderId="0" xfId="9" applyNumberFormat="1" applyFont="1" applyProtection="1">
      <protection locked="0"/>
    </xf>
    <xf numFmtId="165" fontId="15" fillId="0" borderId="0" xfId="9" applyNumberFormat="1" applyFont="1" applyProtection="1"/>
    <xf numFmtId="168" fontId="24" fillId="0" borderId="0" xfId="9" applyNumberFormat="1" applyFont="1" applyAlignment="1" applyProtection="1">
      <alignment horizontal="left"/>
      <protection locked="0"/>
    </xf>
    <xf numFmtId="37" fontId="24" fillId="0" borderId="0" xfId="9" applyNumberFormat="1" applyFont="1" applyProtection="1">
      <protection locked="0"/>
    </xf>
    <xf numFmtId="37" fontId="15" fillId="0" borderId="0" xfId="9" applyNumberFormat="1" applyFont="1" applyProtection="1"/>
    <xf numFmtId="168" fontId="24" fillId="0" borderId="0" xfId="9" quotePrefix="1" applyNumberFormat="1" applyFont="1" applyAlignment="1" applyProtection="1">
      <alignment horizontal="left"/>
      <protection locked="0"/>
    </xf>
    <xf numFmtId="37" fontId="21" fillId="0" borderId="0" xfId="9" applyNumberFormat="1" applyFont="1" applyProtection="1"/>
    <xf numFmtId="37" fontId="23" fillId="0" borderId="0" xfId="9" applyNumberFormat="1" applyFont="1" applyProtection="1"/>
    <xf numFmtId="0" fontId="16" fillId="0" borderId="0" xfId="1" applyFont="1" applyAlignment="1" applyProtection="1">
      <alignment horizontal="left"/>
      <protection locked="0"/>
    </xf>
    <xf numFmtId="0" fontId="15" fillId="0" borderId="0" xfId="1" applyFont="1"/>
    <xf numFmtId="0" fontId="16" fillId="0" borderId="0" xfId="1" applyFont="1"/>
    <xf numFmtId="0" fontId="16" fillId="0" borderId="1" xfId="1" applyFont="1" applyBorder="1" applyAlignment="1" applyProtection="1">
      <alignment horizontal="centerContinuous"/>
      <protection locked="0"/>
    </xf>
    <xf numFmtId="168" fontId="16" fillId="0" borderId="1" xfId="1" applyNumberFormat="1" applyFont="1" applyBorder="1" applyAlignment="1" applyProtection="1">
      <alignment horizontal="centerContinuous"/>
      <protection locked="0"/>
    </xf>
    <xf numFmtId="0" fontId="15" fillId="0" borderId="1" xfId="1" applyFont="1" applyBorder="1"/>
    <xf numFmtId="0" fontId="17" fillId="0" borderId="0" xfId="1" applyFont="1" applyAlignment="1" applyProtection="1">
      <alignment horizontal="center"/>
      <protection locked="0"/>
    </xf>
    <xf numFmtId="0" fontId="17" fillId="0" borderId="0" xfId="1" applyFont="1" applyProtection="1">
      <protection locked="0"/>
    </xf>
    <xf numFmtId="0" fontId="17" fillId="0" borderId="0" xfId="1" applyFont="1"/>
    <xf numFmtId="168" fontId="16" fillId="0" borderId="0" xfId="1" applyNumberFormat="1" applyFont="1" applyAlignment="1" applyProtection="1">
      <alignment horizontal="left"/>
      <protection locked="0"/>
    </xf>
    <xf numFmtId="168" fontId="24" fillId="0" borderId="0" xfId="1" applyNumberFormat="1" applyFont="1" applyProtection="1">
      <protection locked="0"/>
    </xf>
    <xf numFmtId="168" fontId="24" fillId="0" borderId="0" xfId="1" applyNumberFormat="1" applyFont="1" applyAlignment="1" applyProtection="1">
      <alignment horizontal="left"/>
      <protection locked="0"/>
    </xf>
    <xf numFmtId="37" fontId="24" fillId="0" borderId="0" xfId="1" applyNumberFormat="1" applyFont="1" applyProtection="1">
      <protection locked="0"/>
    </xf>
    <xf numFmtId="37" fontId="15" fillId="0" borderId="0" xfId="1" applyNumberFormat="1" applyFont="1" applyProtection="1"/>
    <xf numFmtId="37" fontId="21" fillId="0" borderId="0" xfId="1" applyNumberFormat="1" applyFont="1" applyProtection="1">
      <protection locked="0"/>
    </xf>
    <xf numFmtId="37" fontId="21" fillId="0" borderId="0" xfId="1" applyNumberFormat="1" applyFont="1" applyProtection="1"/>
    <xf numFmtId="172" fontId="21" fillId="0" borderId="0" xfId="1" applyNumberFormat="1" applyFont="1" applyProtection="1"/>
    <xf numFmtId="168" fontId="16" fillId="0" borderId="0" xfId="1" applyNumberFormat="1" applyFont="1" applyProtection="1">
      <protection locked="0"/>
    </xf>
    <xf numFmtId="37" fontId="16" fillId="0" borderId="0" xfId="1" applyNumberFormat="1" applyFont="1" applyProtection="1"/>
    <xf numFmtId="165" fontId="16" fillId="0" borderId="0" xfId="1" applyNumberFormat="1" applyFont="1" applyProtection="1">
      <protection locked="0"/>
    </xf>
    <xf numFmtId="165" fontId="24" fillId="0" borderId="0" xfId="1" applyNumberFormat="1" applyFont="1" applyProtection="1">
      <protection locked="0"/>
    </xf>
    <xf numFmtId="0" fontId="24" fillId="0" borderId="0" xfId="1" applyFont="1" applyAlignment="1" applyProtection="1">
      <alignment horizontal="left"/>
      <protection locked="0"/>
    </xf>
    <xf numFmtId="167" fontId="21" fillId="0" borderId="0" xfId="1" applyNumberFormat="1" applyFont="1" applyProtection="1"/>
    <xf numFmtId="0" fontId="24" fillId="0" borderId="0" xfId="1" applyFont="1" applyProtection="1">
      <protection locked="0"/>
    </xf>
    <xf numFmtId="165" fontId="16" fillId="0" borderId="0" xfId="1" applyNumberFormat="1" applyFont="1" applyProtection="1"/>
    <xf numFmtId="168" fontId="24" fillId="2" borderId="0" xfId="1" applyNumberFormat="1" applyFont="1" applyFill="1" applyProtection="1">
      <protection locked="0"/>
    </xf>
    <xf numFmtId="0" fontId="15" fillId="2" borderId="0" xfId="1" applyFont="1" applyFill="1"/>
    <xf numFmtId="0" fontId="16" fillId="2" borderId="0" xfId="1" applyFont="1" applyFill="1" applyProtection="1">
      <protection locked="0"/>
    </xf>
    <xf numFmtId="0" fontId="16" fillId="2" borderId="0" xfId="1" applyFont="1" applyFill="1"/>
    <xf numFmtId="0" fontId="16" fillId="0" borderId="0" xfId="1" applyFont="1" applyProtection="1">
      <protection locked="0"/>
    </xf>
    <xf numFmtId="37" fontId="16" fillId="0" borderId="0" xfId="1" applyNumberFormat="1" applyFont="1" applyProtection="1">
      <protection locked="0"/>
    </xf>
    <xf numFmtId="37" fontId="17" fillId="0" borderId="0" xfId="1" applyNumberFormat="1" applyFont="1" applyProtection="1"/>
    <xf numFmtId="10" fontId="24" fillId="0" borderId="0" xfId="1" applyNumberFormat="1" applyFont="1" applyProtection="1">
      <protection locked="0"/>
    </xf>
    <xf numFmtId="167" fontId="15" fillId="0" borderId="0" xfId="1" applyNumberFormat="1" applyFont="1" applyProtection="1"/>
    <xf numFmtId="0" fontId="16" fillId="0" borderId="1" xfId="1" applyFont="1" applyBorder="1" applyAlignment="1">
      <alignment horizontal="centerContinuous"/>
    </xf>
    <xf numFmtId="0" fontId="24" fillId="0" borderId="0" xfId="1" applyFont="1" applyAlignment="1" applyProtection="1">
      <alignment horizontal="center"/>
      <protection locked="0"/>
    </xf>
    <xf numFmtId="0" fontId="15" fillId="0" borderId="0" xfId="1" applyFont="1" applyAlignment="1">
      <alignment horizontal="center"/>
    </xf>
    <xf numFmtId="165" fontId="15" fillId="0" borderId="0" xfId="1" applyNumberFormat="1" applyFont="1" applyProtection="1"/>
    <xf numFmtId="174" fontId="15" fillId="0" borderId="0" xfId="1" applyNumberFormat="1" applyFont="1" applyProtection="1"/>
    <xf numFmtId="0" fontId="24" fillId="0" borderId="0" xfId="1" quotePrefix="1" applyFont="1" applyAlignment="1" applyProtection="1">
      <alignment horizontal="left"/>
      <protection locked="0"/>
    </xf>
    <xf numFmtId="0" fontId="21" fillId="0" borderId="0" xfId="1" applyFont="1"/>
    <xf numFmtId="10" fontId="15" fillId="0" borderId="0" xfId="1" applyNumberFormat="1" applyFont="1" applyProtection="1"/>
    <xf numFmtId="169" fontId="15" fillId="0" borderId="0" xfId="1" applyNumberFormat="1" applyFont="1" applyProtection="1"/>
    <xf numFmtId="175" fontId="24" fillId="0" borderId="0" xfId="1" applyNumberFormat="1" applyFont="1" applyProtection="1">
      <protection locked="0"/>
    </xf>
    <xf numFmtId="175" fontId="15" fillId="0" borderId="0" xfId="1" applyNumberFormat="1" applyFont="1" applyProtection="1"/>
    <xf numFmtId="168" fontId="17" fillId="0" borderId="1" xfId="1" applyNumberFormat="1" applyFont="1" applyBorder="1" applyAlignment="1" applyProtection="1">
      <alignment horizontal="centerContinuous"/>
      <protection locked="0"/>
    </xf>
    <xf numFmtId="0" fontId="17" fillId="0" borderId="1" xfId="1" applyFont="1" applyBorder="1" applyAlignment="1" applyProtection="1">
      <alignment horizontal="centerContinuous"/>
      <protection locked="0"/>
    </xf>
    <xf numFmtId="0" fontId="16" fillId="0" borderId="0" xfId="1" applyFont="1" applyAlignment="1">
      <alignment horizontal="left"/>
    </xf>
    <xf numFmtId="0" fontId="15" fillId="3" borderId="0" xfId="1" applyFont="1" applyFill="1"/>
    <xf numFmtId="0" fontId="15" fillId="0" borderId="0" xfId="10" applyFont="1"/>
    <xf numFmtId="0" fontId="16" fillId="0" borderId="0" xfId="10" applyFont="1" applyAlignment="1" applyProtection="1">
      <alignment horizontal="center"/>
      <protection locked="0"/>
    </xf>
    <xf numFmtId="0" fontId="16" fillId="0" borderId="0" xfId="10" applyFont="1" applyProtection="1">
      <protection locked="0"/>
    </xf>
    <xf numFmtId="0" fontId="16" fillId="0" borderId="0" xfId="10" applyFont="1"/>
    <xf numFmtId="165" fontId="16" fillId="0" borderId="0" xfId="10" applyNumberFormat="1" applyFont="1" applyAlignment="1" applyProtection="1">
      <alignment horizontal="center"/>
      <protection locked="0"/>
    </xf>
    <xf numFmtId="0" fontId="15" fillId="0" borderId="1" xfId="10" applyFont="1" applyBorder="1"/>
    <xf numFmtId="165" fontId="17" fillId="0" borderId="0" xfId="10" applyNumberFormat="1" applyFont="1" applyAlignment="1" applyProtection="1">
      <alignment horizontal="center"/>
    </xf>
    <xf numFmtId="0" fontId="17" fillId="0" borderId="0" xfId="10" applyFont="1"/>
    <xf numFmtId="0" fontId="24" fillId="0" borderId="0" xfId="10" applyFont="1" applyProtection="1">
      <protection locked="0"/>
    </xf>
    <xf numFmtId="167" fontId="24" fillId="0" borderId="0" xfId="10" applyNumberFormat="1" applyFont="1" applyProtection="1">
      <protection locked="0"/>
    </xf>
    <xf numFmtId="37" fontId="15" fillId="0" borderId="0" xfId="10" applyNumberFormat="1" applyFont="1" applyProtection="1"/>
    <xf numFmtId="37" fontId="24" fillId="0" borderId="0" xfId="10" applyNumberFormat="1" applyFont="1" applyProtection="1">
      <protection locked="0"/>
    </xf>
    <xf numFmtId="10" fontId="24" fillId="0" borderId="0" xfId="10" applyNumberFormat="1" applyFont="1" applyProtection="1">
      <protection locked="0"/>
    </xf>
    <xf numFmtId="37" fontId="21" fillId="0" borderId="0" xfId="10" applyNumberFormat="1" applyFont="1" applyProtection="1"/>
    <xf numFmtId="37" fontId="17" fillId="0" borderId="0" xfId="10" applyNumberFormat="1" applyFont="1" applyProtection="1"/>
    <xf numFmtId="37" fontId="23" fillId="0" borderId="0" xfId="10" applyNumberFormat="1" applyFont="1" applyProtection="1"/>
    <xf numFmtId="0" fontId="15" fillId="0" borderId="0" xfId="10" applyFont="1" applyAlignment="1">
      <alignment horizontal="left"/>
    </xf>
    <xf numFmtId="0" fontId="15" fillId="0" borderId="0" xfId="3" applyFont="1"/>
    <xf numFmtId="0" fontId="16" fillId="0" borderId="0" xfId="3" applyFont="1" applyAlignment="1" applyProtection="1">
      <alignment horizontal="center"/>
      <protection locked="0"/>
    </xf>
    <xf numFmtId="0" fontId="16" fillId="0" borderId="0" xfId="3" applyFont="1" applyProtection="1">
      <protection locked="0"/>
    </xf>
    <xf numFmtId="0" fontId="16" fillId="0" borderId="0" xfId="3" applyFont="1"/>
    <xf numFmtId="0" fontId="24" fillId="0" borderId="0" xfId="3" applyFont="1" applyProtection="1">
      <protection locked="0"/>
    </xf>
    <xf numFmtId="0" fontId="24" fillId="0" borderId="0" xfId="3" applyFont="1" applyAlignment="1" applyProtection="1">
      <alignment horizontal="left"/>
      <protection locked="0"/>
    </xf>
    <xf numFmtId="37" fontId="24" fillId="0" borderId="0" xfId="3" applyNumberFormat="1" applyFont="1" applyProtection="1">
      <protection locked="0"/>
    </xf>
    <xf numFmtId="37" fontId="15" fillId="0" borderId="0" xfId="3" applyNumberFormat="1" applyFont="1" applyProtection="1"/>
    <xf numFmtId="37" fontId="21" fillId="0" borderId="0" xfId="3" applyNumberFormat="1" applyFont="1" applyProtection="1"/>
    <xf numFmtId="0" fontId="24" fillId="0" borderId="0" xfId="3" quotePrefix="1" applyFont="1" applyAlignment="1" applyProtection="1">
      <alignment horizontal="left"/>
      <protection locked="0"/>
    </xf>
    <xf numFmtId="37" fontId="23" fillId="0" borderId="0" xfId="3" applyNumberFormat="1" applyFont="1" applyProtection="1"/>
    <xf numFmtId="165" fontId="24" fillId="0" borderId="0" xfId="3" applyNumberFormat="1" applyFont="1" applyProtection="1">
      <protection locked="0"/>
    </xf>
    <xf numFmtId="39" fontId="15" fillId="0" borderId="0" xfId="3" applyNumberFormat="1" applyFont="1" applyProtection="1"/>
    <xf numFmtId="37" fontId="21" fillId="0" borderId="0" xfId="3" applyNumberFormat="1" applyFont="1"/>
    <xf numFmtId="37" fontId="15" fillId="0" borderId="0" xfId="3" applyNumberFormat="1" applyFont="1"/>
    <xf numFmtId="0" fontId="15" fillId="0" borderId="0" xfId="8" applyFont="1"/>
    <xf numFmtId="0" fontId="16" fillId="0" borderId="0" xfId="8" applyFont="1" applyAlignment="1" applyProtection="1">
      <alignment horizontal="center"/>
      <protection locked="0"/>
    </xf>
    <xf numFmtId="0" fontId="16" fillId="0" borderId="0" xfId="8" applyFont="1" applyProtection="1">
      <protection locked="0"/>
    </xf>
    <xf numFmtId="0" fontId="16" fillId="0" borderId="0" xfId="8" applyFont="1"/>
    <xf numFmtId="0" fontId="15" fillId="0" borderId="1" xfId="8" applyFont="1" applyBorder="1"/>
    <xf numFmtId="37" fontId="24" fillId="0" borderId="0" xfId="8" applyNumberFormat="1" applyFont="1" applyProtection="1">
      <protection locked="0"/>
    </xf>
    <xf numFmtId="37" fontId="15" fillId="0" borderId="0" xfId="8" applyNumberFormat="1" applyFont="1" applyProtection="1"/>
    <xf numFmtId="37" fontId="21" fillId="0" borderId="0" xfId="8" applyNumberFormat="1" applyFont="1" applyProtection="1"/>
    <xf numFmtId="0" fontId="24" fillId="0" borderId="0" xfId="8" applyFont="1" applyProtection="1">
      <protection locked="0"/>
    </xf>
    <xf numFmtId="37" fontId="23" fillId="0" borderId="0" xfId="8" applyNumberFormat="1" applyFont="1" applyProtection="1"/>
    <xf numFmtId="0" fontId="24" fillId="0" borderId="0" xfId="8" quotePrefix="1" applyFont="1" applyAlignment="1" applyProtection="1">
      <alignment horizontal="left"/>
      <protection locked="0"/>
    </xf>
    <xf numFmtId="168" fontId="24" fillId="0" borderId="0" xfId="8" quotePrefix="1" applyNumberFormat="1" applyFont="1" applyAlignment="1" applyProtection="1">
      <alignment horizontal="left"/>
      <protection locked="0"/>
    </xf>
    <xf numFmtId="0" fontId="21" fillId="0" borderId="0" xfId="8" applyFont="1"/>
    <xf numFmtId="0" fontId="23" fillId="0" borderId="0" xfId="8" applyFont="1"/>
    <xf numFmtId="0" fontId="15" fillId="0" borderId="0" xfId="4" applyFont="1"/>
    <xf numFmtId="164" fontId="15" fillId="0" borderId="0" xfId="4" applyNumberFormat="1" applyFont="1" applyProtection="1"/>
    <xf numFmtId="0" fontId="16" fillId="0" borderId="0" xfId="4" applyFont="1" applyAlignment="1" applyProtection="1">
      <alignment horizontal="center"/>
      <protection locked="0"/>
    </xf>
    <xf numFmtId="0" fontId="16" fillId="0" borderId="0" xfId="4" applyFont="1" applyProtection="1">
      <protection locked="0"/>
    </xf>
    <xf numFmtId="0" fontId="16" fillId="0" borderId="0" xfId="4" applyFont="1"/>
    <xf numFmtId="0" fontId="24" fillId="0" borderId="0" xfId="4" applyFont="1" applyProtection="1">
      <protection locked="0"/>
    </xf>
    <xf numFmtId="37" fontId="15" fillId="0" borderId="0" xfId="4" applyNumberFormat="1" applyFont="1" applyProtection="1"/>
    <xf numFmtId="0" fontId="24" fillId="0" borderId="0" xfId="4" applyFont="1" applyAlignment="1" applyProtection="1">
      <alignment horizontal="left"/>
      <protection locked="0"/>
    </xf>
    <xf numFmtId="0" fontId="24" fillId="0" borderId="0" xfId="4" quotePrefix="1" applyFont="1" applyAlignment="1" applyProtection="1">
      <alignment horizontal="left"/>
      <protection locked="0"/>
    </xf>
    <xf numFmtId="37" fontId="24" fillId="0" borderId="0" xfId="4" applyNumberFormat="1" applyFont="1" applyProtection="1">
      <protection locked="0"/>
    </xf>
    <xf numFmtId="37" fontId="21" fillId="0" borderId="0" xfId="4" applyNumberFormat="1" applyFont="1" applyProtection="1"/>
    <xf numFmtId="37" fontId="23" fillId="0" borderId="0" xfId="4" applyNumberFormat="1" applyFont="1" applyProtection="1"/>
    <xf numFmtId="37" fontId="16" fillId="0" borderId="0" xfId="4" applyNumberFormat="1" applyFont="1" applyProtection="1"/>
    <xf numFmtId="0" fontId="16" fillId="0" borderId="0" xfId="7" applyFont="1" applyAlignment="1" applyProtection="1">
      <alignment horizontal="left"/>
      <protection locked="0"/>
    </xf>
    <xf numFmtId="0" fontId="15" fillId="0" borderId="0" xfId="7" applyFont="1"/>
    <xf numFmtId="0" fontId="16" fillId="0" borderId="0" xfId="7" applyFont="1"/>
    <xf numFmtId="168" fontId="16" fillId="0" borderId="0" xfId="7" applyNumberFormat="1" applyFont="1" applyProtection="1">
      <protection locked="0"/>
    </xf>
    <xf numFmtId="168" fontId="24" fillId="0" borderId="0" xfId="7" applyNumberFormat="1" applyFont="1" applyProtection="1">
      <protection locked="0"/>
    </xf>
    <xf numFmtId="165" fontId="16" fillId="0" borderId="0" xfId="7" applyNumberFormat="1" applyFont="1" applyProtection="1">
      <protection locked="0"/>
    </xf>
    <xf numFmtId="39" fontId="16" fillId="0" borderId="0" xfId="7" applyNumberFormat="1" applyFont="1" applyProtection="1">
      <protection locked="0"/>
    </xf>
    <xf numFmtId="165" fontId="24" fillId="0" borderId="0" xfId="7" applyNumberFormat="1" applyFont="1" applyProtection="1">
      <protection locked="0"/>
    </xf>
    <xf numFmtId="165" fontId="16" fillId="0" borderId="0" xfId="7" applyNumberFormat="1" applyFont="1" applyAlignment="1" applyProtection="1">
      <alignment horizontal="center"/>
      <protection locked="0"/>
    </xf>
    <xf numFmtId="0" fontId="16" fillId="0" borderId="0" xfId="7" applyFont="1" applyAlignment="1" applyProtection="1">
      <alignment horizontal="center"/>
      <protection locked="0"/>
    </xf>
    <xf numFmtId="165" fontId="17" fillId="0" borderId="0" xfId="7" applyNumberFormat="1" applyFont="1" applyAlignment="1" applyProtection="1">
      <alignment horizontal="center"/>
    </xf>
    <xf numFmtId="0" fontId="17" fillId="0" borderId="0" xfId="7" applyFont="1" applyAlignment="1">
      <alignment horizontal="center"/>
    </xf>
    <xf numFmtId="165" fontId="17" fillId="0" borderId="0" xfId="7" applyNumberFormat="1" applyFont="1" applyProtection="1">
      <protection locked="0"/>
    </xf>
    <xf numFmtId="165" fontId="16" fillId="0" borderId="0" xfId="7" applyNumberFormat="1" applyFont="1" applyProtection="1"/>
    <xf numFmtId="165" fontId="24" fillId="0" borderId="0" xfId="7" applyNumberFormat="1" applyFont="1" applyAlignment="1" applyProtection="1">
      <alignment horizontal="left"/>
      <protection locked="0"/>
    </xf>
    <xf numFmtId="37" fontId="15" fillId="0" borderId="0" xfId="7" applyNumberFormat="1" applyFont="1" applyProtection="1"/>
    <xf numFmtId="37" fontId="24" fillId="0" borderId="0" xfId="7" applyNumberFormat="1" applyFont="1" applyProtection="1">
      <protection locked="0"/>
    </xf>
    <xf numFmtId="165" fontId="15" fillId="0" borderId="0" xfId="7" applyNumberFormat="1" applyFont="1" applyProtection="1"/>
    <xf numFmtId="37" fontId="21" fillId="0" borderId="0" xfId="7" applyNumberFormat="1" applyFont="1" applyProtection="1"/>
    <xf numFmtId="37" fontId="17" fillId="0" borderId="0" xfId="7" applyNumberFormat="1" applyFont="1" applyProtection="1"/>
    <xf numFmtId="37" fontId="16" fillId="0" borderId="0" xfId="7" applyNumberFormat="1" applyFont="1" applyProtection="1"/>
    <xf numFmtId="0" fontId="24" fillId="0" borderId="0" xfId="7" applyFont="1" applyProtection="1">
      <protection locked="0"/>
    </xf>
    <xf numFmtId="171" fontId="15" fillId="0" borderId="0" xfId="7" applyNumberFormat="1" applyFont="1" applyProtection="1"/>
    <xf numFmtId="0" fontId="24" fillId="0" borderId="0" xfId="7" applyFont="1" applyAlignment="1" applyProtection="1">
      <alignment horizontal="left"/>
      <protection locked="0"/>
    </xf>
    <xf numFmtId="165" fontId="21" fillId="0" borderId="0" xfId="7" applyNumberFormat="1" applyFont="1" applyProtection="1">
      <protection locked="0"/>
    </xf>
    <xf numFmtId="171" fontId="16" fillId="0" borderId="0" xfId="7" applyNumberFormat="1" applyFont="1" applyProtection="1"/>
    <xf numFmtId="171" fontId="16" fillId="0" borderId="0" xfId="7" applyNumberFormat="1" applyFont="1" applyProtection="1">
      <protection locked="0"/>
    </xf>
    <xf numFmtId="0" fontId="21" fillId="0" borderId="0" xfId="7" applyFont="1"/>
    <xf numFmtId="0" fontId="17" fillId="0" borderId="0" xfId="7" applyFont="1"/>
    <xf numFmtId="37" fontId="23" fillId="0" borderId="0" xfId="7" applyNumberFormat="1" applyFont="1" applyProtection="1"/>
    <xf numFmtId="0" fontId="23" fillId="0" borderId="0" xfId="7" applyFont="1"/>
    <xf numFmtId="37" fontId="22" fillId="0" borderId="0" xfId="7" applyNumberFormat="1" applyFont="1" applyProtection="1"/>
    <xf numFmtId="169" fontId="24" fillId="0" borderId="0" xfId="7" applyNumberFormat="1" applyFont="1" applyProtection="1">
      <protection locked="0"/>
    </xf>
    <xf numFmtId="165" fontId="17" fillId="0" borderId="0" xfId="7" applyNumberFormat="1" applyFont="1" applyAlignment="1" applyProtection="1">
      <alignment horizontal="center"/>
      <protection locked="0"/>
    </xf>
    <xf numFmtId="175" fontId="21" fillId="0" borderId="0" xfId="7" applyNumberFormat="1" applyFont="1" applyProtection="1">
      <protection locked="0"/>
    </xf>
    <xf numFmtId="175" fontId="21" fillId="0" borderId="0" xfId="7" applyNumberFormat="1" applyFont="1" applyProtection="1"/>
    <xf numFmtId="168" fontId="16" fillId="0" borderId="0" xfId="2" applyNumberFormat="1" applyFont="1" applyAlignment="1" applyProtection="1">
      <alignment horizontal="left"/>
      <protection locked="0"/>
    </xf>
    <xf numFmtId="168" fontId="16" fillId="0" borderId="0" xfId="2" applyNumberFormat="1" applyFont="1" applyProtection="1">
      <protection locked="0"/>
    </xf>
    <xf numFmtId="0" fontId="15" fillId="0" borderId="0" xfId="2" applyFont="1"/>
    <xf numFmtId="168" fontId="16" fillId="0" borderId="0" xfId="2" applyNumberFormat="1" applyFont="1" applyProtection="1"/>
    <xf numFmtId="0" fontId="16" fillId="0" borderId="0" xfId="2" applyFont="1"/>
    <xf numFmtId="164" fontId="20" fillId="0" borderId="0" xfId="2" applyNumberFormat="1" applyFont="1" applyProtection="1"/>
    <xf numFmtId="168" fontId="24" fillId="0" borderId="0" xfId="2" applyNumberFormat="1" applyFont="1" applyProtection="1">
      <protection locked="0"/>
    </xf>
    <xf numFmtId="166" fontId="20" fillId="0" borderId="0" xfId="2" applyNumberFormat="1" applyFont="1" applyProtection="1"/>
    <xf numFmtId="0" fontId="24" fillId="0" borderId="0" xfId="2" applyFont="1" applyProtection="1">
      <protection locked="0"/>
    </xf>
    <xf numFmtId="0" fontId="16" fillId="0" borderId="0" xfId="2" applyFont="1" applyAlignment="1">
      <alignment horizontal="center"/>
    </xf>
    <xf numFmtId="0" fontId="14" fillId="0" borderId="0" xfId="2" applyFont="1"/>
    <xf numFmtId="165" fontId="16" fillId="0" borderId="0" xfId="2" applyNumberFormat="1" applyFont="1" applyAlignment="1" applyProtection="1">
      <alignment horizontal="center"/>
      <protection locked="0"/>
    </xf>
    <xf numFmtId="165" fontId="16" fillId="0" borderId="0" xfId="2" applyNumberFormat="1" applyFont="1" applyProtection="1">
      <protection locked="0"/>
    </xf>
    <xf numFmtId="0" fontId="17" fillId="0" borderId="0" xfId="2" applyFont="1" applyAlignment="1">
      <alignment horizontal="center"/>
    </xf>
    <xf numFmtId="168" fontId="17" fillId="0" borderId="0" xfId="2" applyNumberFormat="1" applyFont="1" applyProtection="1"/>
    <xf numFmtId="0" fontId="17" fillId="0" borderId="0" xfId="2" applyFont="1" applyAlignment="1" applyProtection="1">
      <alignment horizontal="center"/>
      <protection locked="0"/>
    </xf>
    <xf numFmtId="168" fontId="17" fillId="0" borderId="0" xfId="2" applyNumberFormat="1" applyFont="1" applyProtection="1">
      <protection locked="0"/>
    </xf>
    <xf numFmtId="165" fontId="17" fillId="0" borderId="0" xfId="2" applyNumberFormat="1" applyFont="1" applyAlignment="1" applyProtection="1">
      <alignment horizontal="center"/>
    </xf>
    <xf numFmtId="0" fontId="24" fillId="0" borderId="0" xfId="2" applyFont="1" applyAlignment="1" applyProtection="1">
      <alignment horizontal="center"/>
      <protection locked="0"/>
    </xf>
    <xf numFmtId="168" fontId="24" fillId="0" borderId="0" xfId="2" applyNumberFormat="1" applyFont="1" applyAlignment="1" applyProtection="1">
      <alignment horizontal="left"/>
      <protection locked="0"/>
    </xf>
    <xf numFmtId="37" fontId="24" fillId="0" borderId="0" xfId="2" applyNumberFormat="1" applyFont="1" applyProtection="1">
      <protection locked="0"/>
    </xf>
    <xf numFmtId="37" fontId="15" fillId="0" borderId="0" xfId="2" applyNumberFormat="1" applyFont="1" applyProtection="1"/>
    <xf numFmtId="168" fontId="15" fillId="0" borderId="0" xfId="2" applyNumberFormat="1" applyFont="1" applyProtection="1"/>
    <xf numFmtId="165" fontId="24" fillId="0" borderId="0" xfId="2" applyNumberFormat="1" applyFont="1" applyProtection="1">
      <protection locked="0"/>
    </xf>
    <xf numFmtId="168" fontId="24" fillId="0" borderId="0" xfId="2" applyNumberFormat="1" applyFont="1" applyAlignment="1" applyProtection="1">
      <alignment horizontal="center"/>
      <protection locked="0"/>
    </xf>
    <xf numFmtId="37" fontId="24" fillId="0" borderId="0" xfId="2" applyNumberFormat="1" applyFont="1" applyAlignment="1" applyProtection="1">
      <alignment horizontal="center"/>
      <protection locked="0"/>
    </xf>
    <xf numFmtId="37" fontId="24" fillId="0" borderId="0" xfId="2" applyNumberFormat="1" applyFont="1" applyAlignment="1" applyProtection="1">
      <alignment horizontal="left"/>
      <protection locked="0"/>
    </xf>
    <xf numFmtId="0" fontId="24" fillId="0" borderId="0" xfId="2" applyFont="1" applyAlignment="1" applyProtection="1">
      <alignment horizontal="left"/>
      <protection locked="0"/>
    </xf>
    <xf numFmtId="0" fontId="24" fillId="0" borderId="0" xfId="2" applyFont="1" applyAlignment="1" applyProtection="1">
      <alignment horizontal="centerContinuous"/>
      <protection locked="0"/>
    </xf>
    <xf numFmtId="37" fontId="21" fillId="0" borderId="0" xfId="2" applyNumberFormat="1" applyFont="1" applyProtection="1"/>
    <xf numFmtId="0" fontId="21" fillId="0" borderId="0" xfId="2" applyFont="1"/>
    <xf numFmtId="168" fontId="17" fillId="0" borderId="0" xfId="2" applyNumberFormat="1" applyFont="1" applyAlignment="1" applyProtection="1">
      <alignment horizontal="left"/>
      <protection locked="0"/>
    </xf>
    <xf numFmtId="168" fontId="21" fillId="0" borderId="0" xfId="2" applyNumberFormat="1" applyFont="1" applyProtection="1"/>
    <xf numFmtId="176" fontId="15" fillId="0" borderId="0" xfId="2" applyNumberFormat="1" applyFont="1" applyProtection="1"/>
    <xf numFmtId="37" fontId="23" fillId="0" borderId="0" xfId="2" applyNumberFormat="1" applyFont="1" applyProtection="1"/>
    <xf numFmtId="0" fontId="23" fillId="0" borderId="0" xfId="2" applyFont="1"/>
    <xf numFmtId="168" fontId="23" fillId="0" borderId="0" xfId="2" applyNumberFormat="1" applyFont="1" applyProtection="1">
      <protection locked="0"/>
    </xf>
    <xf numFmtId="165" fontId="23" fillId="0" borderId="0" xfId="2" applyNumberFormat="1" applyFont="1" applyProtection="1">
      <protection locked="0"/>
    </xf>
    <xf numFmtId="37" fontId="16" fillId="0" borderId="0" xfId="2" applyNumberFormat="1" applyFont="1" applyProtection="1"/>
    <xf numFmtId="37" fontId="16" fillId="0" borderId="0" xfId="2" applyNumberFormat="1" applyFont="1" applyProtection="1">
      <protection locked="0"/>
    </xf>
    <xf numFmtId="0" fontId="16" fillId="0" borderId="0" xfId="2" applyFont="1" applyAlignment="1" applyProtection="1">
      <alignment horizontal="left"/>
      <protection locked="0"/>
    </xf>
    <xf numFmtId="168" fontId="14" fillId="0" borderId="0" xfId="2" applyNumberFormat="1" applyFont="1" applyProtection="1">
      <protection locked="0"/>
    </xf>
    <xf numFmtId="37" fontId="14" fillId="0" borderId="0" xfId="2" applyNumberFormat="1" applyFont="1" applyProtection="1"/>
    <xf numFmtId="0" fontId="15" fillId="0" borderId="0" xfId="2" applyFont="1" applyAlignment="1">
      <alignment horizontal="left"/>
    </xf>
    <xf numFmtId="0" fontId="14" fillId="0" borderId="0" xfId="2" applyFont="1" applyAlignment="1">
      <alignment horizontal="left"/>
    </xf>
    <xf numFmtId="169" fontId="24" fillId="0" borderId="0" xfId="2" applyNumberFormat="1" applyFont="1" applyProtection="1">
      <protection locked="0"/>
    </xf>
    <xf numFmtId="37" fontId="14" fillId="0" borderId="0" xfId="2" applyNumberFormat="1" applyFont="1" applyProtection="1">
      <protection locked="0"/>
    </xf>
    <xf numFmtId="0" fontId="16" fillId="0" borderId="0" xfId="2" applyFont="1" applyAlignment="1">
      <alignment horizontal="left"/>
    </xf>
    <xf numFmtId="37" fontId="14" fillId="0" borderId="0" xfId="2" applyNumberFormat="1" applyFont="1" applyAlignment="1" applyProtection="1">
      <alignment horizontal="left"/>
      <protection locked="0"/>
    </xf>
    <xf numFmtId="0" fontId="16" fillId="0" borderId="0" xfId="12" applyFont="1"/>
    <xf numFmtId="0" fontId="15" fillId="0" borderId="0" xfId="12" applyFont="1"/>
    <xf numFmtId="168" fontId="24" fillId="0" borderId="0" xfId="12" applyNumberFormat="1" applyFont="1" applyProtection="1">
      <protection locked="0"/>
    </xf>
    <xf numFmtId="0" fontId="16" fillId="0" borderId="0" xfId="12" applyFont="1" applyProtection="1">
      <protection locked="0"/>
    </xf>
    <xf numFmtId="0" fontId="21" fillId="0" borderId="0" xfId="12" applyFont="1"/>
    <xf numFmtId="0" fontId="17" fillId="0" borderId="0" xfId="12" applyFont="1" applyAlignment="1">
      <alignment horizontal="center"/>
    </xf>
    <xf numFmtId="0" fontId="24" fillId="0" borderId="0" xfId="12" applyFont="1" applyAlignment="1" applyProtection="1">
      <alignment horizontal="left"/>
      <protection locked="0"/>
    </xf>
    <xf numFmtId="37" fontId="15" fillId="0" borderId="0" xfId="12" applyNumberFormat="1" applyFont="1" applyProtection="1"/>
    <xf numFmtId="37" fontId="24" fillId="0" borderId="0" xfId="12" applyNumberFormat="1" applyFont="1" applyProtection="1">
      <protection locked="0"/>
    </xf>
    <xf numFmtId="0" fontId="24" fillId="0" borderId="0" xfId="12" applyFont="1" applyProtection="1">
      <protection locked="0"/>
    </xf>
    <xf numFmtId="37" fontId="21" fillId="0" borderId="0" xfId="12" applyNumberFormat="1" applyFont="1" applyProtection="1"/>
    <xf numFmtId="37" fontId="16" fillId="0" borderId="0" xfId="12" applyNumberFormat="1" applyFont="1" applyProtection="1"/>
    <xf numFmtId="37" fontId="16" fillId="0" borderId="0" xfId="12" applyNumberFormat="1" applyFont="1" applyProtection="1">
      <protection locked="0"/>
    </xf>
    <xf numFmtId="0" fontId="24" fillId="0" borderId="0" xfId="12" quotePrefix="1" applyFont="1" applyAlignment="1" applyProtection="1">
      <alignment horizontal="left"/>
      <protection locked="0"/>
    </xf>
    <xf numFmtId="0" fontId="24" fillId="0" borderId="0" xfId="10" quotePrefix="1" applyFont="1" applyAlignment="1" applyProtection="1">
      <alignment horizontal="left"/>
      <protection locked="0"/>
    </xf>
    <xf numFmtId="37" fontId="26" fillId="0" borderId="0" xfId="1" applyNumberFormat="1" applyFont="1" applyProtection="1">
      <protection locked="0"/>
    </xf>
    <xf numFmtId="165" fontId="24" fillId="0" borderId="0" xfId="1" applyNumberFormat="1" applyFont="1" applyProtection="1"/>
    <xf numFmtId="37" fontId="27" fillId="0" borderId="0" xfId="1" applyNumberFormat="1" applyFont="1" applyProtection="1">
      <protection locked="0"/>
    </xf>
    <xf numFmtId="37" fontId="25" fillId="0" borderId="0" xfId="1" applyNumberFormat="1" applyFont="1" applyProtection="1">
      <protection locked="0"/>
    </xf>
    <xf numFmtId="37" fontId="24" fillId="0" borderId="0" xfId="1" applyNumberFormat="1" applyFont="1" applyProtection="1"/>
    <xf numFmtId="37" fontId="25" fillId="0" borderId="0" xfId="10" applyNumberFormat="1" applyFont="1" applyProtection="1">
      <protection locked="0"/>
    </xf>
    <xf numFmtId="37" fontId="25" fillId="0" borderId="0" xfId="3" applyNumberFormat="1" applyFont="1" applyProtection="1">
      <protection locked="0"/>
    </xf>
    <xf numFmtId="37" fontId="25" fillId="0" borderId="0" xfId="8" applyNumberFormat="1" applyFont="1" applyProtection="1">
      <protection locked="0"/>
    </xf>
    <xf numFmtId="37" fontId="25" fillId="0" borderId="0" xfId="4" applyNumberFormat="1" applyFont="1" applyProtection="1">
      <protection locked="0"/>
    </xf>
    <xf numFmtId="37" fontId="25" fillId="0" borderId="0" xfId="7" applyNumberFormat="1" applyFont="1" applyProtection="1">
      <protection locked="0"/>
    </xf>
    <xf numFmtId="37" fontId="24" fillId="0" borderId="0" xfId="2" applyNumberFormat="1" applyFont="1" applyProtection="1"/>
    <xf numFmtId="37" fontId="25" fillId="0" borderId="0" xfId="2" applyNumberFormat="1" applyFont="1" applyProtection="1">
      <protection locked="0"/>
    </xf>
    <xf numFmtId="37" fontId="25" fillId="0" borderId="0" xfId="2" applyNumberFormat="1" applyFont="1" applyProtection="1"/>
    <xf numFmtId="0" fontId="1" fillId="0" borderId="0" xfId="2" applyFont="1"/>
    <xf numFmtId="37" fontId="25" fillId="0" borderId="0" xfId="12" applyNumberFormat="1" applyFont="1" applyProtection="1">
      <protection locked="0"/>
    </xf>
    <xf numFmtId="0" fontId="15" fillId="0" borderId="0" xfId="11" applyFont="1"/>
    <xf numFmtId="0" fontId="16" fillId="0" borderId="0" xfId="11" applyFont="1" applyProtection="1">
      <protection locked="0"/>
    </xf>
    <xf numFmtId="0" fontId="28" fillId="0" borderId="0" xfId="11" applyFont="1" applyAlignment="1">
      <alignment horizontal="left"/>
    </xf>
    <xf numFmtId="0" fontId="16" fillId="0" borderId="0" xfId="11" applyFont="1" applyAlignment="1" applyProtection="1">
      <alignment horizontal="center"/>
      <protection locked="0"/>
    </xf>
    <xf numFmtId="0" fontId="16" fillId="0" borderId="0" xfId="11" applyFont="1"/>
    <xf numFmtId="0" fontId="15" fillId="0" borderId="1" xfId="11" applyFont="1" applyBorder="1"/>
    <xf numFmtId="0" fontId="24" fillId="0" borderId="0" xfId="11" applyFont="1" applyProtection="1">
      <protection locked="0"/>
    </xf>
    <xf numFmtId="37" fontId="15" fillId="0" borderId="0" xfId="11" applyNumberFormat="1" applyFont="1"/>
    <xf numFmtId="37" fontId="24" fillId="0" borderId="0" xfId="11" applyNumberFormat="1" applyFont="1" applyProtection="1">
      <protection locked="0"/>
    </xf>
    <xf numFmtId="0" fontId="24" fillId="0" borderId="0" xfId="11" applyFont="1" applyAlignment="1" applyProtection="1">
      <alignment horizontal="left"/>
      <protection locked="0"/>
    </xf>
    <xf numFmtId="37" fontId="15" fillId="0" borderId="0" xfId="11" applyNumberFormat="1" applyFont="1" applyProtection="1"/>
    <xf numFmtId="0" fontId="24" fillId="0" borderId="0" xfId="11" quotePrefix="1" applyFont="1" applyAlignment="1" applyProtection="1">
      <alignment horizontal="left"/>
      <protection locked="0"/>
    </xf>
    <xf numFmtId="37" fontId="21" fillId="0" borderId="0" xfId="11" applyNumberFormat="1" applyFont="1" applyProtection="1"/>
    <xf numFmtId="37" fontId="17" fillId="0" borderId="0" xfId="11" applyNumberFormat="1" applyFont="1" applyProtection="1"/>
    <xf numFmtId="37" fontId="23" fillId="0" borderId="0" xfId="11" applyNumberFormat="1" applyFont="1" applyProtection="1"/>
    <xf numFmtId="37" fontId="25" fillId="0" borderId="0" xfId="11" applyNumberFormat="1" applyFont="1" applyProtection="1">
      <protection locked="0"/>
    </xf>
    <xf numFmtId="0" fontId="24" fillId="0" borderId="0" xfId="11" applyFont="1"/>
    <xf numFmtId="165" fontId="27" fillId="0" borderId="0" xfId="11" applyNumberFormat="1" applyFont="1" applyAlignment="1" applyProtection="1">
      <alignment horizontal="center"/>
    </xf>
    <xf numFmtId="0" fontId="15" fillId="0" borderId="0" xfId="14" applyFont="1"/>
    <xf numFmtId="0" fontId="16" fillId="0" borderId="0" xfId="14" applyFont="1" applyAlignment="1" applyProtection="1">
      <alignment horizontal="center"/>
      <protection locked="0"/>
    </xf>
    <xf numFmtId="0" fontId="16" fillId="0" borderId="0" xfId="14" applyFont="1" applyProtection="1">
      <protection locked="0"/>
    </xf>
    <xf numFmtId="0" fontId="15" fillId="0" borderId="1" xfId="14" applyFont="1" applyBorder="1"/>
    <xf numFmtId="37" fontId="15" fillId="0" borderId="0" xfId="14" applyNumberFormat="1" applyFont="1"/>
    <xf numFmtId="37" fontId="15" fillId="0" borderId="0" xfId="14" applyNumberFormat="1" applyFont="1" applyProtection="1"/>
    <xf numFmtId="37" fontId="24" fillId="0" borderId="0" xfId="14" applyNumberFormat="1" applyFont="1" applyProtection="1">
      <protection locked="0"/>
    </xf>
    <xf numFmtId="37" fontId="21" fillId="0" borderId="0" xfId="14" applyNumberFormat="1" applyFont="1" applyProtection="1"/>
    <xf numFmtId="37" fontId="21" fillId="0" borderId="0" xfId="14" applyNumberFormat="1" applyFont="1"/>
    <xf numFmtId="37" fontId="17" fillId="0" borderId="0" xfId="14" applyNumberFormat="1" applyFont="1" applyProtection="1"/>
    <xf numFmtId="37" fontId="16" fillId="0" borderId="0" xfId="14" applyNumberFormat="1" applyFont="1" applyProtection="1">
      <protection locked="0"/>
    </xf>
    <xf numFmtId="0" fontId="24" fillId="0" borderId="0" xfId="14" quotePrefix="1" applyFont="1" applyAlignment="1" applyProtection="1">
      <alignment horizontal="left"/>
      <protection locked="0"/>
    </xf>
    <xf numFmtId="37" fontId="23" fillId="0" borderId="0" xfId="14" applyNumberFormat="1" applyFont="1" applyProtection="1"/>
    <xf numFmtId="167" fontId="21" fillId="0" borderId="0" xfId="14" applyNumberFormat="1" applyFont="1" applyProtection="1"/>
    <xf numFmtId="0" fontId="28" fillId="0" borderId="0" xfId="14" applyFont="1" applyAlignment="1" applyProtection="1">
      <alignment horizontal="left"/>
      <protection locked="0"/>
    </xf>
    <xf numFmtId="165" fontId="27" fillId="0" borderId="0" xfId="14" applyNumberFormat="1" applyFont="1" applyAlignment="1" applyProtection="1">
      <alignment horizontal="center"/>
    </xf>
    <xf numFmtId="37" fontId="25" fillId="0" borderId="0" xfId="14" applyNumberFormat="1" applyFont="1" applyProtection="1">
      <protection locked="0"/>
    </xf>
    <xf numFmtId="37" fontId="24" fillId="0" borderId="0" xfId="14" applyNumberFormat="1" applyFont="1" applyProtection="1"/>
    <xf numFmtId="37" fontId="24" fillId="0" borderId="0" xfId="14" quotePrefix="1" applyNumberFormat="1" applyFont="1" applyAlignment="1" applyProtection="1">
      <alignment horizontal="left"/>
      <protection locked="0"/>
    </xf>
    <xf numFmtId="0" fontId="24" fillId="0" borderId="0" xfId="14" applyFont="1"/>
    <xf numFmtId="0" fontId="15" fillId="0" borderId="0" xfId="5" applyFont="1"/>
    <xf numFmtId="0" fontId="16" fillId="0" borderId="0" xfId="5" applyFont="1" applyAlignment="1" applyProtection="1">
      <alignment horizontal="center"/>
      <protection locked="0"/>
    </xf>
    <xf numFmtId="0" fontId="16" fillId="0" borderId="0" xfId="5" applyFont="1" applyProtection="1">
      <protection locked="0"/>
    </xf>
    <xf numFmtId="0" fontId="15" fillId="0" borderId="1" xfId="5" applyFont="1" applyBorder="1"/>
    <xf numFmtId="37" fontId="21" fillId="0" borderId="0" xfId="5" applyNumberFormat="1" applyFont="1" applyProtection="1"/>
    <xf numFmtId="0" fontId="14" fillId="0" borderId="0" xfId="5" applyFont="1"/>
    <xf numFmtId="0" fontId="28" fillId="0" borderId="0" xfId="5" applyFont="1" applyAlignment="1" applyProtection="1">
      <alignment horizontal="left"/>
      <protection locked="0"/>
    </xf>
    <xf numFmtId="0" fontId="24" fillId="0" borderId="0" xfId="5" quotePrefix="1" applyFont="1" applyAlignment="1" applyProtection="1">
      <alignment horizontal="left"/>
      <protection locked="0"/>
    </xf>
    <xf numFmtId="37" fontId="25" fillId="0" borderId="0" xfId="9" applyNumberFormat="1" applyFont="1" applyProtection="1">
      <protection locked="0"/>
    </xf>
    <xf numFmtId="37" fontId="15" fillId="0" borderId="0" xfId="6" applyFont="1"/>
    <xf numFmtId="173" fontId="15" fillId="0" borderId="0" xfId="6" applyNumberFormat="1" applyFont="1" applyAlignment="1" applyProtection="1">
      <alignment horizontal="centerContinuous"/>
    </xf>
    <xf numFmtId="37" fontId="15" fillId="0" borderId="0" xfId="6" applyFont="1" applyAlignment="1">
      <alignment horizontal="centerContinuous"/>
    </xf>
    <xf numFmtId="164" fontId="15" fillId="0" borderId="0" xfId="6" applyNumberFormat="1" applyFont="1" applyAlignment="1" applyProtection="1">
      <alignment horizontal="centerContinuous"/>
    </xf>
    <xf numFmtId="37" fontId="14" fillId="0" borderId="0" xfId="6" applyFont="1" applyAlignment="1">
      <alignment horizontal="centerContinuous"/>
    </xf>
    <xf numFmtId="37" fontId="28" fillId="0" borderId="0" xfId="6" applyFont="1" applyAlignment="1" applyProtection="1">
      <alignment horizontal="left"/>
      <protection locked="0"/>
    </xf>
    <xf numFmtId="37" fontId="16" fillId="0" borderId="0" xfId="6" applyFont="1" applyAlignment="1">
      <alignment horizontal="centerContinuous"/>
    </xf>
    <xf numFmtId="166" fontId="15" fillId="0" borderId="0" xfId="6" applyNumberFormat="1" applyFont="1" applyAlignment="1" applyProtection="1">
      <alignment horizontal="centerContinuous"/>
    </xf>
    <xf numFmtId="37" fontId="16" fillId="0" borderId="1" xfId="6" applyFont="1" applyBorder="1" applyProtection="1">
      <protection locked="0"/>
    </xf>
    <xf numFmtId="37" fontId="16" fillId="0" borderId="0" xfId="6" applyFont="1"/>
    <xf numFmtId="37" fontId="26" fillId="0" borderId="0" xfId="6" quotePrefix="1" applyFont="1" applyAlignment="1">
      <alignment horizontal="center"/>
    </xf>
    <xf numFmtId="0" fontId="0" fillId="0" borderId="2" xfId="0" applyBorder="1" applyAlignment="1">
      <alignment horizontal="centerContinuous"/>
    </xf>
    <xf numFmtId="0" fontId="17" fillId="0" borderId="0" xfId="0" applyFont="1" applyAlignment="1">
      <alignment horizontal="center"/>
    </xf>
    <xf numFmtId="0" fontId="28" fillId="0" borderId="0" xfId="1" quotePrefix="1" applyFont="1" applyAlignment="1" applyProtection="1">
      <alignment horizontal="left"/>
      <protection locked="0"/>
    </xf>
    <xf numFmtId="0" fontId="28" fillId="0" borderId="0" xfId="1" applyFont="1" applyAlignment="1" applyProtection="1">
      <alignment horizontal="left"/>
      <protection locked="0"/>
    </xf>
    <xf numFmtId="0" fontId="27" fillId="0" borderId="0" xfId="0" applyFont="1" applyAlignment="1">
      <alignment horizontal="center"/>
    </xf>
    <xf numFmtId="165" fontId="27" fillId="0" borderId="0" xfId="1" applyNumberFormat="1" applyFont="1" applyAlignment="1" applyProtection="1">
      <alignment horizontal="center"/>
    </xf>
    <xf numFmtId="0" fontId="27" fillId="0" borderId="0" xfId="1" quotePrefix="1" applyFont="1" applyAlignment="1" applyProtection="1">
      <alignment horizontal="center"/>
      <protection locked="0"/>
    </xf>
    <xf numFmtId="168" fontId="26" fillId="0" borderId="0" xfId="1" applyNumberFormat="1" applyFont="1" applyAlignment="1" applyProtection="1">
      <alignment horizontal="left"/>
      <protection locked="0"/>
    </xf>
    <xf numFmtId="0" fontId="24" fillId="0" borderId="0" xfId="1" applyFont="1"/>
    <xf numFmtId="0" fontId="26" fillId="0" borderId="0" xfId="1" applyFont="1" applyAlignment="1" applyProtection="1">
      <alignment horizontal="left"/>
      <protection locked="0"/>
    </xf>
    <xf numFmtId="168" fontId="26" fillId="0" borderId="0" xfId="1" applyNumberFormat="1" applyFont="1" applyProtection="1">
      <protection locked="0"/>
    </xf>
    <xf numFmtId="164" fontId="27" fillId="2" borderId="0" xfId="1" applyNumberFormat="1" applyFont="1" applyFill="1" applyProtection="1"/>
    <xf numFmtId="0" fontId="27" fillId="0" borderId="0" xfId="1" applyFont="1"/>
    <xf numFmtId="168" fontId="26" fillId="0" borderId="0" xfId="1" quotePrefix="1" applyNumberFormat="1" applyFont="1" applyAlignment="1" applyProtection="1">
      <alignment horizontal="left"/>
      <protection locked="0"/>
    </xf>
    <xf numFmtId="168" fontId="24" fillId="0" borderId="0" xfId="1" quotePrefix="1" applyNumberFormat="1" applyFont="1" applyAlignment="1" applyProtection="1">
      <alignment horizontal="left"/>
      <protection locked="0"/>
    </xf>
    <xf numFmtId="0" fontId="26" fillId="0" borderId="0" xfId="1" quotePrefix="1" applyFont="1" applyAlignment="1" applyProtection="1">
      <alignment horizontal="left"/>
      <protection locked="0"/>
    </xf>
    <xf numFmtId="164" fontId="27" fillId="0" borderId="0" xfId="1" quotePrefix="1" applyNumberFormat="1" applyFont="1" applyAlignment="1" applyProtection="1">
      <alignment horizontal="left"/>
      <protection locked="0"/>
    </xf>
    <xf numFmtId="167" fontId="24" fillId="0" borderId="0" xfId="1" applyNumberFormat="1" applyFont="1" applyProtection="1"/>
    <xf numFmtId="0" fontId="19" fillId="0" borderId="0" xfId="1" applyFont="1"/>
    <xf numFmtId="168" fontId="27" fillId="0" borderId="0" xfId="1" applyNumberFormat="1" applyFont="1" applyAlignment="1" applyProtection="1">
      <alignment horizontal="left"/>
      <protection locked="0"/>
    </xf>
    <xf numFmtId="0" fontId="27" fillId="0" borderId="0" xfId="1" applyFont="1" applyAlignment="1" applyProtection="1">
      <alignment horizontal="left"/>
      <protection locked="0"/>
    </xf>
    <xf numFmtId="0" fontId="26" fillId="0" borderId="0" xfId="1" applyFont="1"/>
    <xf numFmtId="168" fontId="27" fillId="0" borderId="0" xfId="1" quotePrefix="1" applyNumberFormat="1" applyFont="1" applyAlignment="1" applyProtection="1">
      <alignment horizontal="left"/>
      <protection locked="0"/>
    </xf>
    <xf numFmtId="0" fontId="17" fillId="0" borderId="0" xfId="1" quotePrefix="1" applyFont="1" applyAlignment="1" applyProtection="1">
      <alignment horizontal="center"/>
      <protection locked="0"/>
    </xf>
    <xf numFmtId="0" fontId="24" fillId="2" borderId="0" xfId="1" applyFont="1" applyFill="1"/>
    <xf numFmtId="0" fontId="15" fillId="0" borderId="0" xfId="13" applyFont="1"/>
    <xf numFmtId="0" fontId="16" fillId="0" borderId="0" xfId="13" applyFont="1" applyProtection="1">
      <protection locked="0"/>
    </xf>
    <xf numFmtId="0" fontId="16" fillId="0" borderId="0" xfId="13" applyFont="1"/>
    <xf numFmtId="0" fontId="15" fillId="0" borderId="1" xfId="13" applyFont="1" applyBorder="1"/>
    <xf numFmtId="165" fontId="24" fillId="0" borderId="0" xfId="13" applyNumberFormat="1" applyFont="1" applyProtection="1">
      <protection locked="0"/>
    </xf>
    <xf numFmtId="0" fontId="24" fillId="0" borderId="0" xfId="13" applyFont="1" applyAlignment="1" applyProtection="1">
      <alignment horizontal="left"/>
      <protection locked="0"/>
    </xf>
    <xf numFmtId="0" fontId="24" fillId="0" borderId="0" xfId="13" applyFont="1" applyProtection="1">
      <protection locked="0"/>
    </xf>
    <xf numFmtId="37" fontId="24" fillId="0" borderId="0" xfId="13" applyNumberFormat="1" applyFont="1" applyProtection="1">
      <protection locked="0"/>
    </xf>
    <xf numFmtId="37" fontId="15" fillId="0" borderId="0" xfId="13" applyNumberFormat="1" applyFont="1" applyProtection="1"/>
    <xf numFmtId="37" fontId="21" fillId="0" borderId="0" xfId="13" applyNumberFormat="1" applyFont="1" applyProtection="1"/>
    <xf numFmtId="0" fontId="21" fillId="0" borderId="0" xfId="13" applyFont="1"/>
    <xf numFmtId="37" fontId="17" fillId="0" borderId="0" xfId="13" applyNumberFormat="1" applyFont="1" applyProtection="1"/>
    <xf numFmtId="37" fontId="25" fillId="0" borderId="0" xfId="13" applyNumberFormat="1" applyFont="1" applyProtection="1">
      <protection locked="0"/>
    </xf>
    <xf numFmtId="0" fontId="24" fillId="0" borderId="0" xfId="13" quotePrefix="1" applyFont="1" applyAlignment="1" applyProtection="1">
      <alignment horizontal="left"/>
      <protection locked="0"/>
    </xf>
    <xf numFmtId="37" fontId="23" fillId="0" borderId="0" xfId="13" applyNumberFormat="1" applyFont="1" applyProtection="1"/>
    <xf numFmtId="0" fontId="28" fillId="0" borderId="0" xfId="13" applyFont="1" applyAlignment="1" applyProtection="1">
      <alignment horizontal="left"/>
      <protection locked="0"/>
    </xf>
    <xf numFmtId="165" fontId="27" fillId="0" borderId="0" xfId="13" applyNumberFormat="1" applyFont="1" applyAlignment="1" applyProtection="1">
      <alignment horizontal="center"/>
    </xf>
    <xf numFmtId="0" fontId="26" fillId="0" borderId="0" xfId="13" applyFont="1" applyAlignment="1" applyProtection="1">
      <alignment horizontal="left"/>
      <protection locked="0"/>
    </xf>
    <xf numFmtId="37" fontId="3" fillId="0" borderId="0" xfId="13" applyNumberFormat="1" applyFont="1" applyProtection="1"/>
    <xf numFmtId="37" fontId="32" fillId="0" borderId="0" xfId="13" applyNumberFormat="1" applyFont="1" applyProtection="1"/>
    <xf numFmtId="0" fontId="26" fillId="0" borderId="0" xfId="13" quotePrefix="1" applyFont="1" applyAlignment="1" applyProtection="1">
      <alignment horizontal="left"/>
      <protection locked="0"/>
    </xf>
    <xf numFmtId="0" fontId="30" fillId="0" borderId="0" xfId="13" quotePrefix="1" applyFont="1" applyAlignment="1" applyProtection="1">
      <alignment horizontal="left"/>
      <protection locked="0"/>
    </xf>
    <xf numFmtId="0" fontId="33" fillId="0" borderId="0" xfId="13" quotePrefix="1" applyFont="1" applyAlignment="1" applyProtection="1">
      <alignment horizontal="left"/>
      <protection locked="0"/>
    </xf>
    <xf numFmtId="0" fontId="28" fillId="0" borderId="0" xfId="10" applyFont="1" applyAlignment="1" applyProtection="1">
      <alignment horizontal="left"/>
      <protection locked="0"/>
    </xf>
    <xf numFmtId="165" fontId="27" fillId="0" borderId="0" xfId="10" applyNumberFormat="1" applyFont="1" applyAlignment="1" applyProtection="1">
      <alignment horizontal="center"/>
    </xf>
    <xf numFmtId="0" fontId="26" fillId="0" borderId="0" xfId="10" applyFont="1" applyAlignment="1" applyProtection="1">
      <alignment horizontal="left"/>
      <protection locked="0"/>
    </xf>
    <xf numFmtId="0" fontId="26" fillId="0" borderId="0" xfId="10" quotePrefix="1" applyFont="1" applyAlignment="1" applyProtection="1">
      <alignment horizontal="left"/>
      <protection locked="0"/>
    </xf>
    <xf numFmtId="0" fontId="15" fillId="0" borderId="0" xfId="10" applyFont="1" applyAlignment="1" applyProtection="1">
      <alignment horizontal="left"/>
      <protection locked="0"/>
    </xf>
    <xf numFmtId="168" fontId="24" fillId="0" borderId="0" xfId="10" quotePrefix="1" applyNumberFormat="1" applyFont="1" applyAlignment="1" applyProtection="1">
      <alignment horizontal="left"/>
      <protection locked="0"/>
    </xf>
    <xf numFmtId="0" fontId="28" fillId="0" borderId="0" xfId="3" applyFont="1" applyAlignment="1" applyProtection="1">
      <alignment horizontal="left"/>
      <protection locked="0"/>
    </xf>
    <xf numFmtId="0" fontId="24" fillId="0" borderId="1" xfId="3" applyFont="1" applyBorder="1"/>
    <xf numFmtId="0" fontId="24" fillId="0" borderId="0" xfId="3" applyFont="1"/>
    <xf numFmtId="0" fontId="26" fillId="0" borderId="0" xfId="3" applyFont="1" applyAlignment="1" applyProtection="1">
      <alignment horizontal="left"/>
      <protection locked="0"/>
    </xf>
    <xf numFmtId="165" fontId="27" fillId="0" borderId="0" xfId="3" applyNumberFormat="1" applyFont="1" applyAlignment="1" applyProtection="1">
      <alignment horizontal="center"/>
    </xf>
    <xf numFmtId="0" fontId="26" fillId="0" borderId="0" xfId="3" quotePrefix="1" applyFont="1" applyAlignment="1" applyProtection="1">
      <alignment horizontal="left"/>
      <protection locked="0"/>
    </xf>
    <xf numFmtId="0" fontId="26" fillId="0" borderId="0" xfId="8" applyFont="1" applyAlignment="1" applyProtection="1">
      <alignment horizontal="left"/>
      <protection locked="0"/>
    </xf>
    <xf numFmtId="0" fontId="28" fillId="0" borderId="0" xfId="8" applyFont="1" applyAlignment="1" applyProtection="1">
      <alignment horizontal="left"/>
      <protection locked="0"/>
    </xf>
    <xf numFmtId="165" fontId="27" fillId="0" borderId="0" xfId="8" applyNumberFormat="1" applyFont="1" applyAlignment="1" applyProtection="1">
      <alignment horizontal="center"/>
    </xf>
    <xf numFmtId="0" fontId="24" fillId="0" borderId="0" xfId="8" applyFont="1"/>
    <xf numFmtId="0" fontId="28" fillId="0" borderId="0" xfId="4" applyFont="1" applyAlignment="1" applyProtection="1">
      <alignment horizontal="left"/>
      <protection locked="0"/>
    </xf>
    <xf numFmtId="0" fontId="24" fillId="0" borderId="1" xfId="4" applyFont="1" applyBorder="1"/>
    <xf numFmtId="0" fontId="24" fillId="0" borderId="0" xfId="4" applyFont="1"/>
    <xf numFmtId="0" fontId="26" fillId="0" borderId="0" xfId="4" applyFont="1" applyAlignment="1" applyProtection="1">
      <alignment horizontal="left"/>
      <protection locked="0"/>
    </xf>
    <xf numFmtId="165" fontId="27" fillId="0" borderId="0" xfId="4" applyNumberFormat="1" applyFont="1" applyAlignment="1" applyProtection="1">
      <alignment horizontal="center"/>
    </xf>
    <xf numFmtId="0" fontId="26" fillId="0" borderId="0" xfId="4" quotePrefix="1" applyFont="1" applyAlignment="1" applyProtection="1">
      <alignment horizontal="left"/>
      <protection locked="0"/>
    </xf>
    <xf numFmtId="0" fontId="26" fillId="0" borderId="0" xfId="7" applyFont="1" applyAlignment="1" applyProtection="1">
      <alignment horizontal="left"/>
      <protection locked="0"/>
    </xf>
    <xf numFmtId="165" fontId="26" fillId="0" borderId="0" xfId="7" applyNumberFormat="1" applyFont="1" applyAlignment="1" applyProtection="1">
      <alignment horizontal="left"/>
      <protection locked="0"/>
    </xf>
    <xf numFmtId="0" fontId="24" fillId="0" borderId="0" xfId="7" applyFont="1"/>
    <xf numFmtId="168" fontId="26" fillId="0" borderId="0" xfId="7" applyNumberFormat="1" applyFont="1" applyAlignment="1" applyProtection="1">
      <alignment horizontal="left"/>
      <protection locked="0"/>
    </xf>
    <xf numFmtId="0" fontId="26" fillId="0" borderId="0" xfId="7" applyFont="1"/>
    <xf numFmtId="165" fontId="28" fillId="0" borderId="0" xfId="7" applyNumberFormat="1" applyFont="1" applyAlignment="1" applyProtection="1">
      <alignment horizontal="left"/>
      <protection locked="0"/>
    </xf>
    <xf numFmtId="0" fontId="26" fillId="0" borderId="0" xfId="7" applyFont="1" applyAlignment="1">
      <alignment horizontal="center"/>
    </xf>
    <xf numFmtId="0" fontId="26" fillId="0" borderId="0" xfId="7" quotePrefix="1" applyFont="1" applyAlignment="1">
      <alignment horizontal="center"/>
    </xf>
    <xf numFmtId="165" fontId="27" fillId="0" borderId="0" xfId="7" applyNumberFormat="1" applyFont="1" applyAlignment="1" applyProtection="1">
      <alignment horizontal="center"/>
    </xf>
    <xf numFmtId="0" fontId="27" fillId="0" borderId="0" xfId="7" applyFont="1" applyAlignment="1" applyProtection="1">
      <alignment horizontal="center"/>
      <protection locked="0"/>
    </xf>
    <xf numFmtId="165" fontId="26" fillId="0" borderId="0" xfId="7" quotePrefix="1" applyNumberFormat="1" applyFont="1" applyAlignment="1" applyProtection="1">
      <alignment horizontal="center"/>
      <protection locked="0"/>
    </xf>
    <xf numFmtId="165" fontId="26" fillId="0" borderId="0" xfId="7" quotePrefix="1" applyNumberFormat="1" applyFont="1" applyAlignment="1" applyProtection="1">
      <alignment horizontal="left"/>
      <protection locked="0"/>
    </xf>
    <xf numFmtId="165" fontId="24" fillId="0" borderId="0" xfId="7" quotePrefix="1" applyNumberFormat="1" applyFont="1" applyAlignment="1" applyProtection="1">
      <alignment horizontal="left"/>
      <protection locked="0"/>
    </xf>
    <xf numFmtId="0" fontId="26" fillId="0" borderId="0" xfId="7" quotePrefix="1" applyFont="1" applyAlignment="1" applyProtection="1">
      <alignment horizontal="left"/>
      <protection locked="0"/>
    </xf>
    <xf numFmtId="0" fontId="24" fillId="0" borderId="0" xfId="7" quotePrefix="1" applyFont="1" applyAlignment="1" applyProtection="1">
      <alignment horizontal="left"/>
      <protection locked="0"/>
    </xf>
    <xf numFmtId="168" fontId="24" fillId="0" borderId="0" xfId="7" quotePrefix="1" applyNumberFormat="1" applyFont="1" applyAlignment="1" applyProtection="1">
      <alignment horizontal="left"/>
      <protection locked="0"/>
    </xf>
    <xf numFmtId="168" fontId="26" fillId="0" borderId="0" xfId="7" quotePrefix="1" applyNumberFormat="1" applyFont="1" applyAlignment="1" applyProtection="1">
      <alignment horizontal="left"/>
      <protection locked="0"/>
    </xf>
    <xf numFmtId="0" fontId="19" fillId="0" borderId="0" xfId="7" applyFont="1"/>
    <xf numFmtId="165" fontId="16" fillId="0" borderId="0" xfId="7" applyNumberFormat="1" applyFont="1" applyAlignment="1" applyProtection="1">
      <alignment horizontal="centerContinuous"/>
      <protection locked="0"/>
    </xf>
    <xf numFmtId="37" fontId="17" fillId="0" borderId="0" xfId="7" applyNumberFormat="1" applyFont="1" applyProtection="1">
      <protection locked="0"/>
    </xf>
    <xf numFmtId="37" fontId="16" fillId="0" borderId="0" xfId="7" applyNumberFormat="1" applyFont="1" applyProtection="1">
      <protection locked="0"/>
    </xf>
    <xf numFmtId="168" fontId="19" fillId="0" borderId="0" xfId="7" applyNumberFormat="1" applyFont="1" applyProtection="1"/>
    <xf numFmtId="165" fontId="17" fillId="0" borderId="0" xfId="7" applyNumberFormat="1" applyFont="1" applyAlignment="1">
      <alignment horizontal="center"/>
    </xf>
    <xf numFmtId="168" fontId="28" fillId="0" borderId="0" xfId="2" applyNumberFormat="1" applyFont="1" applyAlignment="1" applyProtection="1">
      <alignment horizontal="left"/>
      <protection locked="0"/>
    </xf>
    <xf numFmtId="0" fontId="27" fillId="0" borderId="0" xfId="2" applyFont="1" applyAlignment="1">
      <alignment horizontal="center"/>
    </xf>
    <xf numFmtId="168" fontId="26" fillId="0" borderId="0" xfId="2" applyNumberFormat="1" applyFont="1" applyAlignment="1" applyProtection="1">
      <alignment horizontal="left"/>
      <protection locked="0"/>
    </xf>
    <xf numFmtId="0" fontId="24" fillId="0" borderId="0" xfId="2" applyFont="1"/>
    <xf numFmtId="0" fontId="26" fillId="0" borderId="0" xfId="2" applyFont="1"/>
    <xf numFmtId="0" fontId="26" fillId="0" borderId="3" xfId="2" applyFont="1" applyBorder="1" applyAlignment="1" applyProtection="1">
      <alignment horizontal="centerContinuous"/>
      <protection locked="0"/>
    </xf>
    <xf numFmtId="0" fontId="26" fillId="0" borderId="3" xfId="2" applyFont="1" applyBorder="1" applyAlignment="1">
      <alignment horizontal="centerContinuous"/>
    </xf>
    <xf numFmtId="0" fontId="26" fillId="0" borderId="0" xfId="2" applyFont="1" applyAlignment="1">
      <alignment horizontal="center"/>
    </xf>
    <xf numFmtId="0" fontId="27" fillId="0" borderId="0" xfId="2" quotePrefix="1" applyFont="1" applyAlignment="1" applyProtection="1">
      <alignment horizontal="center"/>
      <protection locked="0"/>
    </xf>
    <xf numFmtId="0" fontId="27" fillId="0" borderId="0" xfId="2" applyFont="1" applyAlignment="1" applyProtection="1">
      <alignment horizontal="center"/>
      <protection locked="0"/>
    </xf>
    <xf numFmtId="168" fontId="27" fillId="0" borderId="0" xfId="2" applyNumberFormat="1" applyFont="1" applyBorder="1" applyAlignment="1" applyProtection="1">
      <alignment horizontal="centerContinuous"/>
    </xf>
    <xf numFmtId="168" fontId="24" fillId="0" borderId="0" xfId="2" quotePrefix="1" applyNumberFormat="1" applyFont="1" applyAlignment="1" applyProtection="1">
      <alignment horizontal="left"/>
      <protection locked="0"/>
    </xf>
    <xf numFmtId="0" fontId="24" fillId="0" borderId="0" xfId="2" quotePrefix="1" applyFont="1" applyAlignment="1" applyProtection="1">
      <alignment horizontal="left"/>
      <protection locked="0"/>
    </xf>
    <xf numFmtId="168" fontId="27" fillId="0" borderId="0" xfId="2" quotePrefix="1" applyNumberFormat="1" applyFont="1" applyAlignment="1" applyProtection="1">
      <alignment horizontal="left"/>
      <protection locked="0"/>
    </xf>
    <xf numFmtId="0" fontId="26" fillId="0" borderId="0" xfId="2" applyFont="1" applyAlignment="1" applyProtection="1">
      <alignment horizontal="left"/>
      <protection locked="0"/>
    </xf>
    <xf numFmtId="0" fontId="27" fillId="0" borderId="0" xfId="2" quotePrefix="1" applyFont="1" applyAlignment="1">
      <alignment horizontal="center"/>
    </xf>
    <xf numFmtId="0" fontId="26" fillId="0" borderId="0" xfId="2" quotePrefix="1" applyFont="1" applyAlignment="1" applyProtection="1">
      <alignment horizontal="center"/>
      <protection locked="0"/>
    </xf>
    <xf numFmtId="168" fontId="19" fillId="0" borderId="0" xfId="2" applyNumberFormat="1" applyFont="1" applyProtection="1"/>
    <xf numFmtId="168" fontId="15" fillId="0" borderId="0" xfId="2" applyNumberFormat="1" applyFont="1" applyAlignment="1" applyProtection="1">
      <alignment horizontal="center"/>
    </xf>
    <xf numFmtId="165" fontId="27" fillId="0" borderId="0" xfId="2" applyNumberFormat="1" applyFont="1" applyAlignment="1" applyProtection="1">
      <alignment horizontal="center"/>
    </xf>
    <xf numFmtId="37" fontId="15" fillId="0" borderId="0" xfId="2" applyNumberFormat="1" applyFont="1" applyProtection="1">
      <protection locked="0"/>
    </xf>
    <xf numFmtId="0" fontId="26" fillId="0" borderId="0" xfId="2" applyFont="1" applyAlignment="1">
      <alignment horizontal="left"/>
    </xf>
    <xf numFmtId="0" fontId="26" fillId="0" borderId="0" xfId="2" quotePrefix="1" applyFont="1" applyAlignment="1">
      <alignment horizontal="left"/>
    </xf>
    <xf numFmtId="0" fontId="24" fillId="0" borderId="0" xfId="0" applyFont="1"/>
    <xf numFmtId="0" fontId="24" fillId="0" borderId="0" xfId="2" quotePrefix="1" applyFont="1" applyAlignment="1">
      <alignment horizontal="left"/>
    </xf>
    <xf numFmtId="0" fontId="24" fillId="0" borderId="0" xfId="2" applyFont="1" applyAlignment="1">
      <alignment horizontal="left"/>
    </xf>
    <xf numFmtId="0" fontId="33" fillId="0" borderId="0" xfId="2" quotePrefix="1" applyFont="1" applyAlignment="1">
      <alignment horizontal="left"/>
    </xf>
    <xf numFmtId="0" fontId="15" fillId="0" borderId="0" xfId="2" applyFont="1" applyAlignment="1">
      <alignment horizontal="center"/>
    </xf>
    <xf numFmtId="37" fontId="21" fillId="0" borderId="0" xfId="2" applyNumberFormat="1" applyFont="1" applyProtection="1">
      <protection locked="0"/>
    </xf>
    <xf numFmtId="0" fontId="28" fillId="0" borderId="0" xfId="12" applyFont="1" applyAlignment="1" applyProtection="1">
      <alignment horizontal="left"/>
      <protection locked="0"/>
    </xf>
    <xf numFmtId="0" fontId="24" fillId="0" borderId="0" xfId="12" applyFont="1"/>
    <xf numFmtId="0" fontId="27" fillId="0" borderId="0" xfId="12" applyFont="1" applyAlignment="1" applyProtection="1">
      <alignment horizontal="center"/>
      <protection locked="0"/>
    </xf>
    <xf numFmtId="0" fontId="26" fillId="0" borderId="0" xfId="12" quotePrefix="1" applyFont="1" applyAlignment="1">
      <alignment horizontal="center"/>
    </xf>
    <xf numFmtId="0" fontId="1" fillId="0" borderId="0" xfId="12" applyFont="1" applyAlignment="1">
      <alignment horizontal="center"/>
    </xf>
    <xf numFmtId="0" fontId="26" fillId="0" borderId="0" xfId="11" quotePrefix="1" applyFont="1" applyAlignment="1" applyProtection="1">
      <alignment horizontal="left"/>
      <protection locked="0"/>
    </xf>
    <xf numFmtId="0" fontId="24" fillId="0" borderId="0" xfId="12" quotePrefix="1" applyFont="1" applyAlignment="1" applyProtection="1">
      <alignment horizontal="center"/>
      <protection locked="0"/>
    </xf>
    <xf numFmtId="0" fontId="24" fillId="0" borderId="0" xfId="12" applyFont="1" applyAlignment="1" applyProtection="1">
      <alignment horizontal="center"/>
      <protection locked="0"/>
    </xf>
    <xf numFmtId="37" fontId="26" fillId="0" borderId="0" xfId="14" quotePrefix="1" applyNumberFormat="1" applyFont="1" applyAlignment="1" applyProtection="1">
      <alignment horizontal="left"/>
      <protection locked="0"/>
    </xf>
    <xf numFmtId="168" fontId="24" fillId="0" borderId="0" xfId="14" quotePrefix="1" applyNumberFormat="1" applyFont="1" applyAlignment="1" applyProtection="1">
      <alignment horizontal="left"/>
      <protection locked="0"/>
    </xf>
    <xf numFmtId="0" fontId="24" fillId="0" borderId="0" xfId="12" quotePrefix="1" applyFont="1" applyAlignment="1">
      <alignment horizontal="left"/>
    </xf>
    <xf numFmtId="37" fontId="23" fillId="0" borderId="0" xfId="12" applyNumberFormat="1" applyFont="1" applyProtection="1"/>
    <xf numFmtId="0" fontId="26" fillId="0" borderId="0" xfId="12" quotePrefix="1" applyFont="1" applyAlignment="1">
      <alignment horizontal="left"/>
    </xf>
    <xf numFmtId="37" fontId="35" fillId="0" borderId="0" xfId="14" applyNumberFormat="1" applyFont="1" applyProtection="1">
      <protection locked="0"/>
    </xf>
    <xf numFmtId="37" fontId="35" fillId="0" borderId="0" xfId="14" applyNumberFormat="1" applyFont="1"/>
    <xf numFmtId="37" fontId="36" fillId="0" borderId="0" xfId="14" applyNumberFormat="1" applyFont="1" applyProtection="1">
      <protection locked="0"/>
    </xf>
    <xf numFmtId="167" fontId="35" fillId="0" borderId="0" xfId="1" applyNumberFormat="1" applyFont="1" applyProtection="1"/>
    <xf numFmtId="37" fontId="21" fillId="0" borderId="0" xfId="2" applyNumberFormat="1" applyFont="1" applyAlignment="1" applyProtection="1"/>
    <xf numFmtId="37" fontId="22" fillId="0" borderId="0" xfId="2" applyNumberFormat="1" applyFont="1"/>
    <xf numFmtId="0" fontId="24" fillId="0" borderId="0" xfId="2" quotePrefix="1" applyFont="1" applyAlignment="1" applyProtection="1">
      <alignment horizontal="center"/>
      <protection locked="0"/>
    </xf>
    <xf numFmtId="0" fontId="24" fillId="0" borderId="0" xfId="12" applyFont="1" applyAlignment="1">
      <alignment horizontal="center"/>
    </xf>
    <xf numFmtId="37" fontId="15" fillId="0" borderId="0" xfId="1" applyNumberFormat="1" applyFont="1" applyProtection="1">
      <protection locked="0"/>
    </xf>
    <xf numFmtId="37" fontId="35" fillId="0" borderId="0" xfId="1" applyNumberFormat="1" applyFont="1" applyProtection="1">
      <protection locked="0"/>
    </xf>
    <xf numFmtId="0" fontId="35" fillId="0" borderId="0" xfId="2" applyFont="1" applyAlignment="1" applyProtection="1">
      <alignment horizontal="center"/>
      <protection locked="0"/>
    </xf>
    <xf numFmtId="165" fontId="26" fillId="0" borderId="0" xfId="11" applyNumberFormat="1" applyFont="1" applyAlignment="1" applyProtection="1">
      <alignment horizontal="center"/>
      <protection locked="0"/>
    </xf>
    <xf numFmtId="165" fontId="26" fillId="0" borderId="0" xfId="14" applyNumberFormat="1" applyFont="1" applyAlignment="1" applyProtection="1">
      <alignment horizontal="center"/>
      <protection locked="0"/>
    </xf>
    <xf numFmtId="37" fontId="24" fillId="0" borderId="0" xfId="12" applyNumberFormat="1" applyFont="1" applyProtection="1"/>
    <xf numFmtId="37" fontId="35" fillId="0" borderId="0" xfId="12" applyNumberFormat="1" applyFont="1" applyProtection="1"/>
    <xf numFmtId="0" fontId="26" fillId="0" borderId="0" xfId="7" applyFont="1" applyAlignment="1" applyProtection="1">
      <alignment horizontal="centerContinuous"/>
      <protection locked="0"/>
    </xf>
    <xf numFmtId="0" fontId="26" fillId="0" borderId="0" xfId="2" applyFont="1" applyAlignment="1" applyProtection="1">
      <alignment horizontal="center"/>
      <protection locked="0"/>
    </xf>
    <xf numFmtId="168" fontId="26" fillId="0" borderId="1" xfId="1" applyNumberFormat="1" applyFont="1" applyBorder="1" applyAlignment="1" applyProtection="1">
      <alignment horizontal="centerContinuous"/>
      <protection locked="0"/>
    </xf>
    <xf numFmtId="37" fontId="35" fillId="0" borderId="0" xfId="2" applyNumberFormat="1" applyFont="1" applyProtection="1"/>
    <xf numFmtId="0" fontId="26" fillId="0" borderId="0" xfId="14" quotePrefix="1" applyFont="1" applyAlignment="1" applyProtection="1">
      <alignment horizontal="left"/>
      <protection locked="0"/>
    </xf>
    <xf numFmtId="37" fontId="24" fillId="0" borderId="0" xfId="13" applyNumberFormat="1" applyFont="1" applyProtection="1"/>
    <xf numFmtId="0" fontId="26" fillId="0" borderId="0" xfId="11" quotePrefix="1" applyFont="1" applyAlignment="1" applyProtection="1">
      <alignment horizontal="center"/>
      <protection locked="0"/>
    </xf>
    <xf numFmtId="0" fontId="26" fillId="0" borderId="0" xfId="14" quotePrefix="1" applyFont="1" applyAlignment="1" applyProtection="1">
      <alignment horizontal="center"/>
      <protection locked="0"/>
    </xf>
    <xf numFmtId="0" fontId="26" fillId="0" borderId="0" xfId="5" quotePrefix="1" applyFont="1" applyAlignment="1" applyProtection="1">
      <alignment horizontal="center"/>
      <protection locked="0"/>
    </xf>
    <xf numFmtId="0" fontId="26" fillId="0" borderId="0" xfId="13" quotePrefix="1" applyFont="1" applyAlignment="1" applyProtection="1">
      <alignment horizontal="center"/>
      <protection locked="0"/>
    </xf>
    <xf numFmtId="0" fontId="26" fillId="0" borderId="0" xfId="10" quotePrefix="1" applyFont="1" applyAlignment="1" applyProtection="1">
      <alignment horizontal="center"/>
      <protection locked="0"/>
    </xf>
    <xf numFmtId="0" fontId="26" fillId="0" borderId="0" xfId="3" quotePrefix="1" applyFont="1" applyAlignment="1" applyProtection="1">
      <alignment horizontal="center"/>
      <protection locked="0"/>
    </xf>
    <xf numFmtId="0" fontId="26" fillId="0" borderId="0" xfId="8" quotePrefix="1" applyFont="1" applyAlignment="1" applyProtection="1">
      <alignment horizontal="center"/>
      <protection locked="0"/>
    </xf>
    <xf numFmtId="0" fontId="26" fillId="0" borderId="0" xfId="4" quotePrefix="1" applyFont="1" applyAlignment="1" applyProtection="1">
      <alignment horizontal="center"/>
      <protection locked="0"/>
    </xf>
    <xf numFmtId="168" fontId="33" fillId="0" borderId="0" xfId="12" quotePrefix="1" applyNumberFormat="1" applyFont="1" applyAlignment="1" applyProtection="1">
      <alignment horizontal="center"/>
      <protection locked="0"/>
    </xf>
    <xf numFmtId="49" fontId="27" fillId="0" borderId="0" xfId="2" quotePrefix="1" applyNumberFormat="1" applyFont="1" applyAlignment="1" applyProtection="1">
      <alignment horizontal="center"/>
      <protection locked="0"/>
    </xf>
    <xf numFmtId="37" fontId="38" fillId="0" borderId="0" xfId="14" applyNumberFormat="1" applyFont="1" applyProtection="1">
      <protection locked="0"/>
    </xf>
    <xf numFmtId="37" fontId="39" fillId="0" borderId="0" xfId="1" applyNumberFormat="1" applyFont="1" applyProtection="1"/>
    <xf numFmtId="165" fontId="26" fillId="0" borderId="0" xfId="7" applyNumberFormat="1" applyFont="1" applyAlignment="1" applyProtection="1">
      <alignment horizontal="center"/>
      <protection locked="0"/>
    </xf>
    <xf numFmtId="175" fontId="25" fillId="0" borderId="0" xfId="7" applyNumberFormat="1" applyFont="1" applyProtection="1">
      <protection locked="0"/>
    </xf>
    <xf numFmtId="37" fontId="39" fillId="0" borderId="0" xfId="1" applyNumberFormat="1" applyFont="1" applyProtection="1">
      <protection locked="0"/>
    </xf>
    <xf numFmtId="168" fontId="26" fillId="0" borderId="0" xfId="7" quotePrefix="1" applyNumberFormat="1" applyFont="1" applyAlignment="1" applyProtection="1">
      <alignment horizontal="centerContinuous"/>
      <protection locked="0"/>
    </xf>
    <xf numFmtId="168" fontId="16" fillId="0" borderId="0" xfId="7" applyNumberFormat="1" applyFont="1" applyAlignment="1" applyProtection="1">
      <alignment horizontal="centerContinuous"/>
      <protection locked="0"/>
    </xf>
    <xf numFmtId="0" fontId="15" fillId="0" borderId="0" xfId="7" applyFont="1" applyAlignment="1">
      <alignment horizontal="centerContinuous"/>
    </xf>
    <xf numFmtId="168" fontId="16" fillId="0" borderId="0" xfId="7" applyNumberFormat="1" applyFont="1" applyAlignment="1" applyProtection="1">
      <alignment horizontal="centerContinuous"/>
    </xf>
    <xf numFmtId="0" fontId="16" fillId="0" borderId="0" xfId="7" applyFont="1" applyAlignment="1">
      <alignment horizontal="centerContinuous"/>
    </xf>
    <xf numFmtId="168" fontId="1" fillId="0" borderId="0" xfId="7" applyNumberFormat="1" applyFont="1" applyAlignment="1">
      <alignment horizontal="centerContinuous"/>
    </xf>
    <xf numFmtId="168" fontId="24" fillId="0" borderId="0" xfId="7" applyNumberFormat="1" applyFont="1" applyAlignment="1" applyProtection="1">
      <alignment horizontal="centerContinuous"/>
      <protection locked="0"/>
    </xf>
    <xf numFmtId="165" fontId="24" fillId="0" borderId="0" xfId="7" applyNumberFormat="1" applyFont="1" applyAlignment="1" applyProtection="1">
      <alignment horizontal="centerContinuous"/>
      <protection locked="0"/>
    </xf>
    <xf numFmtId="168" fontId="26" fillId="0" borderId="0" xfId="2" quotePrefix="1" applyNumberFormat="1" applyFont="1" applyAlignment="1" applyProtection="1">
      <alignment horizontal="centerContinuous"/>
      <protection locked="0"/>
    </xf>
    <xf numFmtId="168" fontId="26" fillId="0" borderId="0" xfId="2" applyNumberFormat="1" applyFont="1" applyAlignment="1" applyProtection="1">
      <alignment horizontal="centerContinuous"/>
      <protection locked="0"/>
    </xf>
    <xf numFmtId="0" fontId="26" fillId="0" borderId="0" xfId="2" applyFont="1" applyAlignment="1">
      <alignment horizontal="centerContinuous"/>
    </xf>
    <xf numFmtId="168" fontId="16" fillId="0" borderId="0" xfId="2" applyNumberFormat="1" applyFont="1" applyAlignment="1" applyProtection="1">
      <alignment horizontal="centerContinuous"/>
      <protection locked="0"/>
    </xf>
    <xf numFmtId="0" fontId="16" fillId="0" borderId="0" xfId="2" applyFont="1" applyAlignment="1">
      <alignment horizontal="centerContinuous"/>
    </xf>
    <xf numFmtId="168" fontId="24" fillId="0" borderId="0" xfId="2" applyNumberFormat="1" applyFont="1" applyAlignment="1" applyProtection="1">
      <alignment horizontal="centerContinuous"/>
      <protection locked="0"/>
    </xf>
    <xf numFmtId="0" fontId="15" fillId="0" borderId="0" xfId="2" applyFont="1" applyAlignment="1">
      <alignment horizontal="centerContinuous"/>
    </xf>
    <xf numFmtId="37" fontId="35" fillId="0" borderId="0" xfId="2" applyNumberFormat="1" applyFont="1" applyProtection="1">
      <protection locked="0"/>
    </xf>
    <xf numFmtId="37" fontId="36" fillId="0" borderId="0" xfId="2" applyNumberFormat="1" applyFont="1" applyProtection="1"/>
    <xf numFmtId="0" fontId="26" fillId="0" borderId="2" xfId="2" applyFont="1" applyBorder="1" applyAlignment="1" applyProtection="1">
      <alignment horizontal="centerContinuous"/>
      <protection locked="0"/>
    </xf>
    <xf numFmtId="0" fontId="26" fillId="0" borderId="1" xfId="2" quotePrefix="1" applyFont="1" applyBorder="1" applyAlignment="1">
      <alignment horizontal="centerContinuous"/>
    </xf>
    <xf numFmtId="0" fontId="26" fillId="0" borderId="1" xfId="2" applyFont="1" applyBorder="1" applyAlignment="1">
      <alignment horizontal="centerContinuous"/>
    </xf>
    <xf numFmtId="168" fontId="26" fillId="0" borderId="0" xfId="12" quotePrefix="1" applyNumberFormat="1" applyFont="1" applyAlignment="1" applyProtection="1">
      <alignment horizontal="centerContinuous"/>
      <protection locked="0"/>
    </xf>
    <xf numFmtId="168" fontId="16" fillId="0" borderId="0" xfId="12" applyNumberFormat="1" applyFont="1" applyAlignment="1" applyProtection="1">
      <alignment horizontal="centerContinuous"/>
      <protection locked="0"/>
    </xf>
    <xf numFmtId="0" fontId="15" fillId="0" borderId="0" xfId="12" applyFont="1" applyAlignment="1">
      <alignment horizontal="centerContinuous"/>
    </xf>
    <xf numFmtId="168" fontId="24" fillId="0" borderId="0" xfId="12" applyNumberFormat="1" applyFont="1" applyAlignment="1" applyProtection="1">
      <alignment horizontal="centerContinuous"/>
      <protection locked="0"/>
    </xf>
    <xf numFmtId="0" fontId="16" fillId="0" borderId="0" xfId="12" applyFont="1" applyAlignment="1">
      <alignment horizontal="centerContinuous"/>
    </xf>
    <xf numFmtId="37" fontId="21" fillId="0" borderId="0" xfId="14" applyNumberFormat="1" applyFont="1" applyBorder="1" applyProtection="1"/>
    <xf numFmtId="37" fontId="15" fillId="0" borderId="0" xfId="14" applyNumberFormat="1" applyFont="1" applyBorder="1" applyProtection="1"/>
    <xf numFmtId="37" fontId="35" fillId="0" borderId="0" xfId="1" applyNumberFormat="1" applyFont="1" applyProtection="1"/>
    <xf numFmtId="165" fontId="30" fillId="0" borderId="0" xfId="7" applyNumberFormat="1" applyFont="1" applyAlignment="1" applyProtection="1">
      <alignment horizontal="left"/>
      <protection locked="0"/>
    </xf>
    <xf numFmtId="37" fontId="35" fillId="0" borderId="0" xfId="7" applyNumberFormat="1" applyFont="1" applyProtection="1"/>
    <xf numFmtId="39" fontId="15" fillId="0" borderId="0" xfId="12" applyNumberFormat="1" applyFont="1" applyProtection="1"/>
    <xf numFmtId="39" fontId="0" fillId="0" borderId="0" xfId="0" applyNumberFormat="1"/>
    <xf numFmtId="37" fontId="29" fillId="0" borderId="0" xfId="7" applyNumberFormat="1" applyFont="1" applyProtection="1"/>
    <xf numFmtId="0" fontId="1" fillId="0" borderId="0" xfId="3" applyFont="1"/>
    <xf numFmtId="37" fontId="36" fillId="0" borderId="0" xfId="14" applyNumberFormat="1" applyFont="1" applyProtection="1"/>
    <xf numFmtId="37" fontId="35" fillId="0" borderId="0" xfId="10" applyNumberFormat="1" applyFont="1" applyProtection="1"/>
    <xf numFmtId="0" fontId="30" fillId="0" borderId="0" xfId="4" quotePrefix="1" applyFont="1" applyAlignment="1" applyProtection="1">
      <alignment horizontal="left"/>
      <protection locked="0"/>
    </xf>
    <xf numFmtId="37" fontId="3" fillId="0" borderId="0" xfId="6" applyFont="1"/>
    <xf numFmtId="181" fontId="10" fillId="0" borderId="0" xfId="6" applyNumberFormat="1" applyFont="1"/>
    <xf numFmtId="181" fontId="3" fillId="0" borderId="0" xfId="6" applyNumberFormat="1"/>
    <xf numFmtId="0" fontId="26" fillId="0" borderId="0" xfId="12" applyFont="1" applyAlignment="1">
      <alignment horizontal="center"/>
    </xf>
    <xf numFmtId="37" fontId="36" fillId="0" borderId="0" xfId="2" applyNumberFormat="1" applyFont="1" applyProtection="1">
      <protection locked="0"/>
    </xf>
    <xf numFmtId="37" fontId="30" fillId="0" borderId="0" xfId="8" applyNumberFormat="1" applyFont="1" applyProtection="1">
      <protection locked="0"/>
    </xf>
    <xf numFmtId="37" fontId="25" fillId="0" borderId="0" xfId="13" applyNumberFormat="1" applyFont="1" applyProtection="1"/>
    <xf numFmtId="0" fontId="42" fillId="0" borderId="0" xfId="14" quotePrefix="1" applyFont="1" applyAlignment="1" applyProtection="1">
      <alignment horizontal="left"/>
      <protection locked="0"/>
    </xf>
    <xf numFmtId="165" fontId="39" fillId="0" borderId="0" xfId="11" applyNumberFormat="1" applyFont="1" applyAlignment="1" applyProtection="1">
      <alignment horizontal="center"/>
      <protection locked="0"/>
    </xf>
    <xf numFmtId="165" fontId="39" fillId="0" borderId="0" xfId="14" quotePrefix="1" applyNumberFormat="1" applyFont="1" applyAlignment="1" applyProtection="1">
      <alignment horizontal="center"/>
      <protection locked="0"/>
    </xf>
    <xf numFmtId="165" fontId="39" fillId="0" borderId="0" xfId="7" applyNumberFormat="1" applyFont="1" applyAlignment="1" applyProtection="1">
      <alignment horizontal="center"/>
      <protection locked="0"/>
    </xf>
    <xf numFmtId="165" fontId="39" fillId="0" borderId="0" xfId="6" applyNumberFormat="1" applyFont="1" applyAlignment="1" applyProtection="1">
      <alignment horizontal="center"/>
      <protection locked="0"/>
    </xf>
    <xf numFmtId="165" fontId="39" fillId="0" borderId="0" xfId="13" applyNumberFormat="1" applyFont="1" applyAlignment="1" applyProtection="1">
      <alignment horizontal="center"/>
      <protection locked="0"/>
    </xf>
    <xf numFmtId="165" fontId="39" fillId="0" borderId="0" xfId="10" quotePrefix="1" applyNumberFormat="1" applyFont="1" applyAlignment="1" applyProtection="1">
      <alignment horizontal="center"/>
      <protection locked="0"/>
    </xf>
    <xf numFmtId="168" fontId="30" fillId="0" borderId="0" xfId="9" quotePrefix="1" applyNumberFormat="1" applyFont="1" applyAlignment="1" applyProtection="1">
      <alignment horizontal="left"/>
      <protection locked="0"/>
    </xf>
    <xf numFmtId="168" fontId="24" fillId="0" borderId="0" xfId="5" applyNumberFormat="1" applyFont="1" applyAlignment="1" applyProtection="1">
      <alignment horizontal="left" vertical="center"/>
      <protection locked="0"/>
    </xf>
    <xf numFmtId="0" fontId="24" fillId="0" borderId="0" xfId="5" quotePrefix="1" applyFont="1" applyAlignment="1" applyProtection="1">
      <alignment horizontal="left" vertical="center"/>
      <protection locked="0"/>
    </xf>
    <xf numFmtId="168" fontId="24" fillId="0" borderId="0" xfId="5" quotePrefix="1" applyNumberFormat="1" applyFont="1" applyAlignment="1" applyProtection="1">
      <alignment horizontal="left" vertical="center"/>
      <protection locked="0"/>
    </xf>
    <xf numFmtId="168" fontId="24" fillId="0" borderId="0" xfId="5" applyNumberFormat="1" applyFont="1" applyAlignment="1" applyProtection="1">
      <alignment vertical="center"/>
      <protection locked="0"/>
    </xf>
    <xf numFmtId="0" fontId="15" fillId="0" borderId="0" xfId="5" applyFont="1" applyAlignment="1">
      <alignment vertical="center"/>
    </xf>
    <xf numFmtId="0" fontId="26" fillId="0" borderId="0" xfId="5" applyFont="1" applyAlignment="1" applyProtection="1">
      <alignment horizontal="left" vertical="center"/>
      <protection locked="0"/>
    </xf>
    <xf numFmtId="0" fontId="0" fillId="0" borderId="0" xfId="0" applyAlignment="1">
      <alignment vertical="center"/>
    </xf>
    <xf numFmtId="168" fontId="30" fillId="0" borderId="0" xfId="5" quotePrefix="1" applyNumberFormat="1" applyFont="1" applyAlignment="1" applyProtection="1">
      <alignment horizontal="left" vertical="center"/>
      <protection locked="0"/>
    </xf>
    <xf numFmtId="0" fontId="24" fillId="0" borderId="0" xfId="5" applyFont="1" applyAlignment="1" applyProtection="1">
      <alignment horizontal="left" vertical="center"/>
      <protection locked="0"/>
    </xf>
    <xf numFmtId="168" fontId="26" fillId="0" borderId="0" xfId="5" applyNumberFormat="1" applyFont="1" applyAlignment="1" applyProtection="1">
      <alignment horizontal="left" vertical="center"/>
      <protection locked="0"/>
    </xf>
    <xf numFmtId="0" fontId="24" fillId="0" borderId="0" xfId="5" applyFont="1" applyAlignment="1">
      <alignment vertical="center"/>
    </xf>
    <xf numFmtId="0" fontId="28" fillId="0" borderId="0" xfId="5" quotePrefix="1" applyFont="1" applyAlignment="1" applyProtection="1">
      <alignment horizontal="left" vertical="center"/>
      <protection locked="0"/>
    </xf>
    <xf numFmtId="0" fontId="28" fillId="0" borderId="0" xfId="5" applyFont="1" applyAlignment="1" applyProtection="1">
      <alignment horizontal="left" vertical="center"/>
      <protection locked="0"/>
    </xf>
    <xf numFmtId="0" fontId="19" fillId="0" borderId="0" xfId="5" applyFont="1" applyAlignment="1">
      <alignment vertical="center"/>
    </xf>
    <xf numFmtId="0" fontId="24" fillId="0" borderId="1" xfId="5" applyFont="1" applyBorder="1" applyAlignment="1">
      <alignment vertical="center"/>
    </xf>
    <xf numFmtId="168" fontId="26" fillId="0" borderId="0" xfId="5" quotePrefix="1" applyNumberFormat="1" applyFont="1" applyAlignment="1" applyProtection="1">
      <alignment horizontal="left" vertical="center"/>
      <protection locked="0"/>
    </xf>
    <xf numFmtId="0" fontId="24" fillId="2" borderId="0" xfId="5" applyFont="1" applyFill="1" applyAlignment="1">
      <alignment vertical="center"/>
    </xf>
    <xf numFmtId="168" fontId="27" fillId="0" borderId="0" xfId="5" applyNumberFormat="1" applyFont="1" applyAlignment="1" applyProtection="1">
      <alignment horizontal="left" vertical="center"/>
      <protection locked="0"/>
    </xf>
    <xf numFmtId="37" fontId="15" fillId="0" borderId="0" xfId="5" applyNumberFormat="1" applyFont="1" applyAlignment="1">
      <alignment vertical="center"/>
    </xf>
    <xf numFmtId="37" fontId="15" fillId="0" borderId="0" xfId="5" applyNumberFormat="1" applyFont="1" applyAlignment="1" applyProtection="1">
      <alignment vertical="center"/>
    </xf>
    <xf numFmtId="37" fontId="24" fillId="0" borderId="0" xfId="5" applyNumberFormat="1" applyFont="1" applyAlignment="1" applyProtection="1">
      <alignment vertical="center"/>
      <protection locked="0"/>
    </xf>
    <xf numFmtId="37" fontId="2" fillId="0" borderId="0" xfId="5" applyNumberFormat="1" applyFont="1" applyAlignment="1" applyProtection="1">
      <alignment vertical="center"/>
    </xf>
    <xf numFmtId="37" fontId="25" fillId="0" borderId="0" xfId="5" applyNumberFormat="1" applyFont="1" applyAlignment="1" applyProtection="1">
      <alignment vertical="center"/>
      <protection locked="0"/>
    </xf>
    <xf numFmtId="37" fontId="21" fillId="0" borderId="0" xfId="5" applyNumberFormat="1" applyFont="1" applyAlignment="1" applyProtection="1">
      <alignment vertical="center"/>
    </xf>
    <xf numFmtId="37" fontId="16" fillId="0" borderId="0" xfId="5" applyNumberFormat="1" applyFont="1" applyAlignment="1">
      <alignment vertical="center"/>
    </xf>
    <xf numFmtId="37" fontId="23" fillId="0" borderId="0" xfId="5" applyNumberFormat="1" applyFont="1" applyAlignment="1" applyProtection="1">
      <alignment vertical="center"/>
    </xf>
    <xf numFmtId="37" fontId="35" fillId="0" borderId="0" xfId="5" applyNumberFormat="1" applyFont="1" applyAlignment="1" applyProtection="1">
      <alignment vertical="center"/>
      <protection locked="0"/>
    </xf>
    <xf numFmtId="37" fontId="35" fillId="0" borderId="0" xfId="5" applyNumberFormat="1" applyFont="1" applyAlignment="1" applyProtection="1">
      <alignment vertical="center"/>
    </xf>
    <xf numFmtId="0" fontId="16" fillId="0" borderId="0" xfId="5" applyFont="1" applyAlignment="1">
      <alignment vertical="center"/>
    </xf>
    <xf numFmtId="165" fontId="16" fillId="0" borderId="0" xfId="5" applyNumberFormat="1" applyFont="1" applyAlignment="1" applyProtection="1">
      <alignment vertical="center"/>
      <protection locked="0"/>
    </xf>
    <xf numFmtId="0" fontId="14" fillId="0" borderId="0" xfId="5" applyFont="1" applyAlignment="1">
      <alignment vertical="center"/>
    </xf>
    <xf numFmtId="165" fontId="16" fillId="0" borderId="0" xfId="5" applyNumberFormat="1" applyFont="1" applyBorder="1" applyAlignment="1" applyProtection="1">
      <alignment horizontal="center" vertical="center"/>
      <protection locked="0"/>
    </xf>
    <xf numFmtId="0" fontId="14" fillId="0" borderId="0" xfId="5" applyFont="1" applyBorder="1" applyAlignment="1">
      <alignment vertical="center"/>
    </xf>
    <xf numFmtId="165" fontId="17" fillId="0" borderId="0" xfId="5" applyNumberFormat="1" applyFont="1" applyAlignment="1" applyProtection="1">
      <alignment horizontal="center" vertical="center"/>
    </xf>
    <xf numFmtId="0" fontId="17" fillId="0" borderId="0" xfId="5" applyFont="1" applyAlignment="1">
      <alignment vertical="center"/>
    </xf>
    <xf numFmtId="37" fontId="24" fillId="0" borderId="0" xfId="5" applyNumberFormat="1" applyFont="1" applyAlignment="1" applyProtection="1">
      <alignment vertical="center"/>
    </xf>
    <xf numFmtId="37" fontId="25" fillId="0" borderId="0" xfId="5" applyNumberFormat="1" applyFont="1" applyAlignment="1" applyProtection="1">
      <alignment vertical="center"/>
    </xf>
    <xf numFmtId="37" fontId="16" fillId="0" borderId="0" xfId="5" applyNumberFormat="1" applyFont="1" applyAlignment="1" applyProtection="1">
      <alignment vertical="center"/>
    </xf>
    <xf numFmtId="37" fontId="17" fillId="0" borderId="0" xfId="5" applyNumberFormat="1" applyFont="1" applyAlignment="1" applyProtection="1">
      <alignment vertical="center"/>
    </xf>
    <xf numFmtId="0" fontId="15" fillId="2" borderId="0" xfId="5" applyFont="1" applyFill="1" applyAlignment="1">
      <alignment vertical="center"/>
    </xf>
    <xf numFmtId="10" fontId="15" fillId="0" borderId="0" xfId="5" applyNumberFormat="1" applyFont="1" applyAlignment="1" applyProtection="1">
      <alignment vertical="center"/>
    </xf>
    <xf numFmtId="167" fontId="15" fillId="0" borderId="0" xfId="5" applyNumberFormat="1" applyFont="1" applyAlignment="1" applyProtection="1">
      <alignment vertical="center"/>
    </xf>
    <xf numFmtId="165" fontId="39" fillId="0" borderId="0" xfId="3" applyNumberFormat="1" applyFont="1" applyAlignment="1" applyProtection="1">
      <alignment horizontal="center"/>
      <protection locked="0"/>
    </xf>
    <xf numFmtId="165" fontId="38" fillId="0" borderId="0" xfId="11" applyNumberFormat="1" applyFont="1" applyAlignment="1" applyProtection="1">
      <alignment horizontal="center"/>
      <protection locked="0"/>
    </xf>
    <xf numFmtId="165" fontId="38" fillId="0" borderId="0" xfId="14" quotePrefix="1" applyNumberFormat="1" applyFont="1" applyAlignment="1" applyProtection="1">
      <alignment horizontal="center"/>
      <protection locked="0"/>
    </xf>
    <xf numFmtId="0" fontId="42" fillId="0" borderId="0" xfId="7" quotePrefix="1" applyFont="1" applyAlignment="1" applyProtection="1">
      <alignment horizontal="left"/>
      <protection locked="0"/>
    </xf>
    <xf numFmtId="165" fontId="38" fillId="0" borderId="0" xfId="7" applyNumberFormat="1" applyFont="1" applyAlignment="1" applyProtection="1">
      <alignment horizontal="center"/>
      <protection locked="0"/>
    </xf>
    <xf numFmtId="165" fontId="38" fillId="0" borderId="0" xfId="6" applyNumberFormat="1" applyFont="1" applyAlignment="1" applyProtection="1">
      <alignment horizontal="center"/>
      <protection locked="0"/>
    </xf>
    <xf numFmtId="165" fontId="38" fillId="0" borderId="0" xfId="13" applyNumberFormat="1" applyFont="1" applyAlignment="1" applyProtection="1">
      <alignment horizontal="center"/>
      <protection locked="0"/>
    </xf>
    <xf numFmtId="165" fontId="38" fillId="0" borderId="0" xfId="10" quotePrefix="1" applyNumberFormat="1" applyFont="1" applyAlignment="1" applyProtection="1">
      <alignment horizontal="center"/>
      <protection locked="0"/>
    </xf>
    <xf numFmtId="165" fontId="38" fillId="0" borderId="0" xfId="3" applyNumberFormat="1" applyFont="1" applyAlignment="1" applyProtection="1">
      <alignment horizontal="center"/>
      <protection locked="0"/>
    </xf>
    <xf numFmtId="0" fontId="30" fillId="0" borderId="0" xfId="3" quotePrefix="1" applyFont="1" applyAlignment="1" applyProtection="1">
      <alignment horizontal="left"/>
      <protection locked="0"/>
    </xf>
    <xf numFmtId="37" fontId="31" fillId="0" borderId="0" xfId="3" applyNumberFormat="1" applyFont="1" applyProtection="1"/>
    <xf numFmtId="165" fontId="39" fillId="0" borderId="0" xfId="8" applyNumberFormat="1" applyFont="1" applyAlignment="1" applyProtection="1">
      <alignment horizontal="center"/>
      <protection locked="0"/>
    </xf>
    <xf numFmtId="165" fontId="38" fillId="0" borderId="0" xfId="8" applyNumberFormat="1" applyFont="1" applyAlignment="1" applyProtection="1">
      <alignment horizontal="center"/>
      <protection locked="0"/>
    </xf>
    <xf numFmtId="165" fontId="39" fillId="0" borderId="0" xfId="4" applyNumberFormat="1" applyFont="1" applyAlignment="1" applyProtection="1">
      <alignment horizontal="center"/>
      <protection locked="0"/>
    </xf>
    <xf numFmtId="165" fontId="38" fillId="0" borderId="0" xfId="4" applyNumberFormat="1" applyFont="1" applyAlignment="1" applyProtection="1">
      <alignment horizontal="center"/>
      <protection locked="0"/>
    </xf>
    <xf numFmtId="37" fontId="35" fillId="0" borderId="0" xfId="7" applyNumberFormat="1" applyFont="1" applyProtection="1">
      <protection locked="0"/>
    </xf>
    <xf numFmtId="37" fontId="36" fillId="0" borderId="0" xfId="7" applyNumberFormat="1" applyFont="1" applyProtection="1">
      <protection locked="0"/>
    </xf>
    <xf numFmtId="0" fontId="26" fillId="0" borderId="2" xfId="1" applyFont="1" applyBorder="1" applyAlignment="1" applyProtection="1">
      <alignment horizontal="centerContinuous"/>
      <protection locked="0"/>
    </xf>
    <xf numFmtId="10" fontId="34" fillId="0" borderId="0" xfId="1" applyNumberFormat="1" applyFont="1" applyProtection="1"/>
    <xf numFmtId="167" fontId="34" fillId="0" borderId="0" xfId="1" applyNumberFormat="1" applyFont="1" applyProtection="1"/>
    <xf numFmtId="0" fontId="38" fillId="0" borderId="0" xfId="14" quotePrefix="1" applyFont="1" applyAlignment="1" applyProtection="1">
      <alignment horizontal="center"/>
      <protection locked="0"/>
    </xf>
    <xf numFmtId="0" fontId="28" fillId="0" borderId="0" xfId="7" applyFont="1" applyAlignment="1" applyProtection="1">
      <alignment horizontal="left"/>
      <protection locked="0"/>
    </xf>
    <xf numFmtId="168" fontId="30" fillId="0" borderId="0" xfId="1" applyNumberFormat="1" applyFont="1" applyAlignment="1" applyProtection="1">
      <alignment horizontal="left"/>
      <protection locked="0"/>
    </xf>
    <xf numFmtId="37" fontId="2" fillId="0" borderId="0" xfId="1" applyNumberFormat="1" applyFont="1" applyProtection="1"/>
    <xf numFmtId="168" fontId="35" fillId="0" borderId="0" xfId="1" applyNumberFormat="1" applyFont="1" applyAlignment="1" applyProtection="1">
      <alignment horizontal="left"/>
      <protection locked="0"/>
    </xf>
    <xf numFmtId="168" fontId="39" fillId="0" borderId="0" xfId="1" quotePrefix="1" applyNumberFormat="1" applyFont="1" applyAlignment="1" applyProtection="1">
      <alignment horizontal="left"/>
      <protection locked="0"/>
    </xf>
    <xf numFmtId="168" fontId="30" fillId="0" borderId="0" xfId="1" quotePrefix="1" applyNumberFormat="1" applyFont="1" applyAlignment="1" applyProtection="1">
      <alignment horizontal="left"/>
      <protection locked="0"/>
    </xf>
    <xf numFmtId="37" fontId="41" fillId="0" borderId="0" xfId="1" applyNumberFormat="1" applyFont="1" applyProtection="1"/>
    <xf numFmtId="37" fontId="43" fillId="0" borderId="0" xfId="1" applyNumberFormat="1" applyFont="1" applyProtection="1"/>
    <xf numFmtId="37" fontId="36" fillId="0" borderId="0" xfId="1" applyNumberFormat="1" applyFont="1" applyProtection="1"/>
    <xf numFmtId="168" fontId="35" fillId="0" borderId="0" xfId="1" quotePrefix="1" applyNumberFormat="1" applyFont="1" applyAlignment="1" applyProtection="1">
      <alignment horizontal="left"/>
      <protection locked="0"/>
    </xf>
    <xf numFmtId="168" fontId="26" fillId="0" borderId="0" xfId="2" applyNumberFormat="1" applyFont="1" applyAlignment="1" applyProtection="1">
      <alignment horizontal="center"/>
      <protection locked="0"/>
    </xf>
    <xf numFmtId="37" fontId="30" fillId="0" borderId="0" xfId="4" applyNumberFormat="1" applyFont="1" applyProtection="1">
      <protection locked="0"/>
    </xf>
    <xf numFmtId="37" fontId="2" fillId="0" borderId="0" xfId="4" applyNumberFormat="1" applyFont="1" applyProtection="1"/>
    <xf numFmtId="165" fontId="28" fillId="0" borderId="0" xfId="7" quotePrefix="1" applyNumberFormat="1" applyFont="1" applyAlignment="1" applyProtection="1">
      <alignment horizontal="left"/>
      <protection locked="0"/>
    </xf>
    <xf numFmtId="37" fontId="33" fillId="0" borderId="0" xfId="1" applyNumberFormat="1" applyFont="1" applyProtection="1">
      <protection locked="0"/>
    </xf>
    <xf numFmtId="37" fontId="34" fillId="0" borderId="0" xfId="2" applyNumberFormat="1" applyFont="1" applyProtection="1"/>
    <xf numFmtId="37" fontId="34" fillId="0" borderId="0" xfId="12" applyNumberFormat="1" applyFont="1" applyProtection="1"/>
    <xf numFmtId="37" fontId="34" fillId="0" borderId="0" xfId="5" applyNumberFormat="1" applyFont="1" applyAlignment="1" applyProtection="1">
      <alignment vertical="center"/>
      <protection locked="0"/>
    </xf>
    <xf numFmtId="37" fontId="34" fillId="0" borderId="0" xfId="2" applyNumberFormat="1" applyFont="1" applyProtection="1">
      <protection locked="0"/>
    </xf>
    <xf numFmtId="49" fontId="26" fillId="0" borderId="0" xfId="2" applyNumberFormat="1" applyFont="1" applyAlignment="1" applyProtection="1">
      <alignment horizontal="center"/>
      <protection locked="0"/>
    </xf>
    <xf numFmtId="49" fontId="24" fillId="0" borderId="0" xfId="2" quotePrefix="1" applyNumberFormat="1" applyFont="1" applyAlignment="1" applyProtection="1">
      <alignment horizontal="center"/>
      <protection locked="0"/>
    </xf>
    <xf numFmtId="168" fontId="34" fillId="0" borderId="0" xfId="2" applyNumberFormat="1" applyFont="1" applyProtection="1">
      <protection locked="0"/>
    </xf>
    <xf numFmtId="0" fontId="34" fillId="0" borderId="0" xfId="12" quotePrefix="1" applyFont="1" applyAlignment="1" applyProtection="1">
      <alignment horizontal="left"/>
      <protection locked="0"/>
    </xf>
    <xf numFmtId="168" fontId="26" fillId="0" borderId="0" xfId="7" applyNumberFormat="1" applyFont="1" applyAlignment="1" applyProtection="1">
      <alignment horizontal="centerContinuous"/>
      <protection locked="0"/>
    </xf>
    <xf numFmtId="0" fontId="34" fillId="0" borderId="0" xfId="10" quotePrefix="1" applyFont="1" applyAlignment="1" applyProtection="1">
      <alignment horizontal="left"/>
      <protection locked="0"/>
    </xf>
    <xf numFmtId="49" fontId="26" fillId="0" borderId="0" xfId="7" applyNumberFormat="1" applyFont="1" applyAlignment="1" applyProtection="1">
      <alignment horizontal="centerContinuous"/>
      <protection locked="0"/>
    </xf>
    <xf numFmtId="164" fontId="18" fillId="0" borderId="0" xfId="11" applyNumberFormat="1" applyFont="1" applyProtection="1"/>
    <xf numFmtId="166" fontId="18" fillId="0" borderId="1" xfId="11" applyNumberFormat="1" applyFont="1" applyBorder="1" applyProtection="1"/>
    <xf numFmtId="164" fontId="18" fillId="0" borderId="0" xfId="2" applyNumberFormat="1" applyFont="1" applyProtection="1"/>
    <xf numFmtId="166" fontId="18" fillId="0" borderId="0" xfId="2" applyNumberFormat="1" applyFont="1" applyProtection="1"/>
    <xf numFmtId="164" fontId="18" fillId="0" borderId="0" xfId="12" applyNumberFormat="1" applyFont="1" applyProtection="1"/>
    <xf numFmtId="166" fontId="18" fillId="0" borderId="0" xfId="12" applyNumberFormat="1" applyFont="1" applyProtection="1"/>
    <xf numFmtId="37" fontId="35" fillId="0" borderId="0" xfId="0" applyNumberFormat="1" applyFont="1"/>
    <xf numFmtId="37" fontId="45" fillId="0" borderId="0" xfId="6" applyFont="1" applyBorder="1"/>
    <xf numFmtId="37" fontId="9" fillId="0" borderId="0" xfId="6" applyFont="1" applyBorder="1"/>
    <xf numFmtId="37" fontId="37" fillId="0" borderId="0" xfId="1" applyNumberFormat="1" applyFont="1" applyProtection="1">
      <protection locked="0"/>
    </xf>
    <xf numFmtId="37" fontId="46" fillId="0" borderId="0" xfId="1" applyNumberFormat="1" applyFont="1" applyProtection="1">
      <protection locked="0"/>
    </xf>
    <xf numFmtId="37" fontId="34" fillId="0" borderId="0" xfId="1" applyNumberFormat="1" applyFont="1" applyProtection="1"/>
    <xf numFmtId="37" fontId="34" fillId="0" borderId="0" xfId="1" applyNumberFormat="1" applyFont="1" applyProtection="1">
      <protection locked="0"/>
    </xf>
    <xf numFmtId="37" fontId="35" fillId="0" borderId="0" xfId="4" applyNumberFormat="1" applyFont="1" applyProtection="1">
      <protection locked="0"/>
    </xf>
    <xf numFmtId="0" fontId="34" fillId="0" borderId="0" xfId="5" applyFont="1" applyAlignment="1">
      <alignment vertical="center"/>
    </xf>
    <xf numFmtId="37" fontId="30" fillId="0" borderId="0" xfId="6" applyFont="1" applyAlignment="1" applyProtection="1">
      <alignment horizontal="left" vertical="center"/>
      <protection locked="0"/>
    </xf>
    <xf numFmtId="168" fontId="28" fillId="0" borderId="0" xfId="7" quotePrefix="1" applyNumberFormat="1" applyFont="1" applyAlignment="1" applyProtection="1">
      <alignment horizontal="left"/>
      <protection locked="0"/>
    </xf>
    <xf numFmtId="165" fontId="19" fillId="0" borderId="0" xfId="7" quotePrefix="1" applyNumberFormat="1" applyFont="1" applyAlignment="1" applyProtection="1">
      <alignment horizontal="left"/>
      <protection locked="0"/>
    </xf>
    <xf numFmtId="37" fontId="24" fillId="0" borderId="0" xfId="7" applyNumberFormat="1" applyFont="1" applyProtection="1"/>
    <xf numFmtId="37" fontId="25" fillId="0" borderId="0" xfId="7" applyNumberFormat="1" applyFont="1" applyProtection="1"/>
    <xf numFmtId="37" fontId="21" fillId="0" borderId="0" xfId="7" applyNumberFormat="1" applyFont="1" applyProtection="1">
      <protection locked="0"/>
    </xf>
    <xf numFmtId="0" fontId="28" fillId="0" borderId="0" xfId="7" quotePrefix="1" applyFont="1" applyAlignment="1" applyProtection="1">
      <alignment horizontal="left"/>
      <protection locked="0"/>
    </xf>
    <xf numFmtId="0" fontId="16" fillId="0" borderId="0" xfId="7" applyFont="1" applyAlignment="1">
      <alignment horizontal="center"/>
    </xf>
    <xf numFmtId="0" fontId="26" fillId="0" borderId="0" xfId="7" quotePrefix="1" applyFont="1" applyAlignment="1">
      <alignment horizontal="left"/>
    </xf>
    <xf numFmtId="0" fontId="15" fillId="0" borderId="0" xfId="7" applyFont="1" applyAlignment="1">
      <alignment horizontal="center"/>
    </xf>
    <xf numFmtId="37" fontId="15" fillId="0" borderId="0" xfId="7" applyNumberFormat="1" applyFont="1"/>
    <xf numFmtId="165" fontId="15" fillId="0" borderId="0" xfId="7" applyNumberFormat="1" applyFont="1" applyAlignment="1" applyProtection="1">
      <alignment horizontal="center"/>
    </xf>
    <xf numFmtId="0" fontId="42" fillId="0" borderId="0" xfId="7" applyFont="1" applyAlignment="1" applyProtection="1">
      <alignment horizontal="left"/>
      <protection locked="0"/>
    </xf>
    <xf numFmtId="0" fontId="24" fillId="0" borderId="0" xfId="8" quotePrefix="1" applyFont="1" applyAlignment="1" applyProtection="1">
      <alignment horizontal="center"/>
      <protection locked="0"/>
    </xf>
    <xf numFmtId="0" fontId="16" fillId="0" borderId="0" xfId="12" applyFont="1" applyAlignment="1" applyProtection="1">
      <alignment horizontal="center"/>
      <protection locked="0"/>
    </xf>
    <xf numFmtId="165" fontId="17" fillId="0" borderId="0" xfId="2" applyNumberFormat="1" applyFont="1" applyAlignment="1" applyProtection="1">
      <alignment horizontal="center"/>
      <protection locked="0"/>
    </xf>
    <xf numFmtId="0" fontId="17" fillId="0" borderId="0" xfId="12" applyFont="1" applyAlignment="1" applyProtection="1">
      <alignment horizontal="center"/>
      <protection locked="0"/>
    </xf>
    <xf numFmtId="49" fontId="27" fillId="0" borderId="0" xfId="5" quotePrefix="1" applyNumberFormat="1" applyFont="1" applyAlignment="1" applyProtection="1">
      <alignment horizontal="center" vertical="center"/>
      <protection locked="0"/>
    </xf>
    <xf numFmtId="37" fontId="34" fillId="0" borderId="0" xfId="8" applyNumberFormat="1" applyFont="1" applyProtection="1">
      <protection locked="0"/>
    </xf>
    <xf numFmtId="37" fontId="34" fillId="0" borderId="0" xfId="3" applyNumberFormat="1" applyFont="1" applyProtection="1">
      <protection locked="0"/>
    </xf>
    <xf numFmtId="49" fontId="27" fillId="0" borderId="0" xfId="2" applyNumberFormat="1" applyFont="1" applyAlignment="1" applyProtection="1">
      <alignment horizontal="center"/>
      <protection locked="0"/>
    </xf>
    <xf numFmtId="37" fontId="48" fillId="0" borderId="0" xfId="12" applyNumberFormat="1" applyFont="1" applyProtection="1"/>
    <xf numFmtId="0" fontId="48" fillId="0" borderId="0" xfId="12" quotePrefix="1" applyFont="1" applyAlignment="1" applyProtection="1">
      <alignment horizontal="left"/>
      <protection locked="0"/>
    </xf>
    <xf numFmtId="164" fontId="18" fillId="0" borderId="0" xfId="7" applyNumberFormat="1" applyFont="1" applyAlignment="1" applyProtection="1">
      <alignment horizontal="center"/>
    </xf>
    <xf numFmtId="166" fontId="18" fillId="0" borderId="0" xfId="7" applyNumberFormat="1" applyFont="1" applyAlignment="1" applyProtection="1">
      <alignment horizontal="center"/>
    </xf>
    <xf numFmtId="168" fontId="24" fillId="0" borderId="0" xfId="7" applyNumberFormat="1" applyFont="1" applyAlignment="1" applyProtection="1">
      <alignment horizontal="center"/>
      <protection locked="0"/>
    </xf>
    <xf numFmtId="164" fontId="15" fillId="0" borderId="0" xfId="7" applyNumberFormat="1" applyFont="1" applyAlignment="1" applyProtection="1">
      <alignment horizontal="center"/>
    </xf>
    <xf numFmtId="0" fontId="0" fillId="0" borderId="0" xfId="0" applyAlignment="1">
      <alignment horizontal="center"/>
    </xf>
    <xf numFmtId="168" fontId="16" fillId="0" borderId="0" xfId="7" applyNumberFormat="1" applyFont="1" applyAlignment="1" applyProtection="1">
      <alignment horizontal="center"/>
      <protection locked="0"/>
    </xf>
    <xf numFmtId="0" fontId="21" fillId="0" borderId="0" xfId="7" applyFont="1" applyAlignment="1">
      <alignment horizontal="center"/>
    </xf>
    <xf numFmtId="37" fontId="17" fillId="0" borderId="0" xfId="7" applyNumberFormat="1" applyFont="1" applyAlignment="1" applyProtection="1">
      <alignment horizontal="center"/>
    </xf>
    <xf numFmtId="0" fontId="26" fillId="0" borderId="0" xfId="5" quotePrefix="1" applyFont="1" applyAlignment="1" applyProtection="1">
      <alignment horizontal="left" vertical="center"/>
      <protection locked="0"/>
    </xf>
    <xf numFmtId="165" fontId="26" fillId="0" borderId="0" xfId="9" quotePrefix="1" applyNumberFormat="1" applyFont="1" applyAlignment="1" applyProtection="1">
      <alignment horizontal="left"/>
      <protection locked="0"/>
    </xf>
    <xf numFmtId="0" fontId="15" fillId="0" borderId="0" xfId="9" applyFont="1" applyAlignment="1">
      <alignment horizontal="center"/>
    </xf>
    <xf numFmtId="168" fontId="24" fillId="0" borderId="0" xfId="9" applyNumberFormat="1" applyFont="1" applyAlignment="1" applyProtection="1">
      <alignment horizontal="center"/>
      <protection locked="0"/>
    </xf>
    <xf numFmtId="168" fontId="26" fillId="0" borderId="0" xfId="9" quotePrefix="1" applyNumberFormat="1" applyFont="1" applyAlignment="1" applyProtection="1">
      <alignment horizontal="left"/>
      <protection locked="0"/>
    </xf>
    <xf numFmtId="0" fontId="26" fillId="0" borderId="0" xfId="14" applyFont="1" applyAlignment="1" applyProtection="1">
      <alignment horizontal="left"/>
      <protection locked="0"/>
    </xf>
    <xf numFmtId="0" fontId="15" fillId="0" borderId="0" xfId="14" applyFont="1" applyAlignment="1">
      <alignment horizontal="center"/>
    </xf>
    <xf numFmtId="164" fontId="18" fillId="0" borderId="0" xfId="14" applyNumberFormat="1" applyFont="1" applyAlignment="1" applyProtection="1">
      <alignment horizontal="center"/>
    </xf>
    <xf numFmtId="166" fontId="18" fillId="0" borderId="1" xfId="14" applyNumberFormat="1" applyFont="1" applyBorder="1" applyAlignment="1" applyProtection="1">
      <alignment horizontal="center"/>
    </xf>
    <xf numFmtId="37" fontId="1" fillId="0" borderId="0" xfId="14" applyNumberFormat="1" applyFont="1" applyAlignment="1" applyProtection="1">
      <alignment horizontal="center"/>
    </xf>
    <xf numFmtId="0" fontId="24" fillId="0" borderId="0" xfId="14" quotePrefix="1" applyFont="1" applyAlignment="1">
      <alignment horizontal="center"/>
    </xf>
    <xf numFmtId="0" fontId="1" fillId="0" borderId="0" xfId="14" applyFont="1" applyAlignment="1">
      <alignment horizontal="center"/>
    </xf>
    <xf numFmtId="37" fontId="15" fillId="0" borderId="0" xfId="14" applyNumberFormat="1" applyFont="1" applyAlignment="1" applyProtection="1">
      <alignment horizontal="center"/>
    </xf>
    <xf numFmtId="37" fontId="16" fillId="0" borderId="0" xfId="14" applyNumberFormat="1" applyFont="1" applyAlignment="1" applyProtection="1">
      <alignment horizontal="center"/>
    </xf>
    <xf numFmtId="0" fontId="16" fillId="0" borderId="0" xfId="14" applyFont="1" applyAlignment="1">
      <alignment horizontal="center"/>
    </xf>
    <xf numFmtId="0" fontId="3" fillId="0" borderId="0" xfId="14" applyAlignment="1">
      <alignment horizontal="center"/>
    </xf>
    <xf numFmtId="37" fontId="15" fillId="0" borderId="0" xfId="5" applyNumberFormat="1" applyFont="1" applyAlignment="1">
      <alignment horizontal="center" vertical="center"/>
    </xf>
    <xf numFmtId="37" fontId="5" fillId="0" borderId="0" xfId="14" applyNumberFormat="1" applyFont="1" applyAlignment="1" applyProtection="1">
      <alignment vertical="center"/>
      <protection locked="0"/>
    </xf>
    <xf numFmtId="37" fontId="26" fillId="0" borderId="0" xfId="14" quotePrefix="1" applyNumberFormat="1" applyFont="1" applyAlignment="1" applyProtection="1">
      <alignment horizontal="left" vertical="center"/>
      <protection locked="0"/>
    </xf>
    <xf numFmtId="37" fontId="16" fillId="0" borderId="0" xfId="5" applyNumberFormat="1" applyFont="1" applyAlignment="1">
      <alignment horizontal="center" vertical="center"/>
    </xf>
    <xf numFmtId="0" fontId="26" fillId="0" borderId="0" xfId="14" applyFont="1" applyAlignment="1" applyProtection="1">
      <alignment horizontal="left" vertical="center"/>
      <protection locked="0"/>
    </xf>
    <xf numFmtId="37" fontId="24" fillId="0" borderId="0" xfId="14" applyNumberFormat="1" applyFont="1" applyBorder="1" applyProtection="1">
      <protection locked="0"/>
    </xf>
    <xf numFmtId="0" fontId="34" fillId="0" borderId="0" xfId="14" applyFont="1" applyAlignment="1">
      <alignment horizontal="center"/>
    </xf>
    <xf numFmtId="37" fontId="16" fillId="0" borderId="0" xfId="14" applyNumberFormat="1" applyFont="1" applyAlignment="1" applyProtection="1">
      <alignment vertical="center"/>
    </xf>
    <xf numFmtId="37" fontId="16" fillId="0" borderId="0" xfId="14" applyNumberFormat="1" applyFont="1"/>
    <xf numFmtId="37" fontId="24" fillId="0" borderId="0" xfId="10" applyNumberFormat="1" applyFont="1" applyProtection="1"/>
    <xf numFmtId="37" fontId="25" fillId="0" borderId="0" xfId="10" applyNumberFormat="1" applyFont="1" applyProtection="1"/>
    <xf numFmtId="0" fontId="16" fillId="4" borderId="0" xfId="10" quotePrefix="1" applyFont="1" applyFill="1" applyAlignment="1" applyProtection="1">
      <alignment horizontal="left"/>
      <protection locked="0"/>
    </xf>
    <xf numFmtId="0" fontId="16" fillId="4" borderId="0" xfId="10" applyFont="1" applyFill="1"/>
    <xf numFmtId="37" fontId="17" fillId="4" borderId="0" xfId="10" applyNumberFormat="1" applyFont="1" applyFill="1" applyProtection="1"/>
    <xf numFmtId="0" fontId="15" fillId="0" borderId="0" xfId="5" applyFont="1" applyAlignment="1">
      <alignment horizontal="center"/>
    </xf>
    <xf numFmtId="164" fontId="18" fillId="0" borderId="0" xfId="5" applyNumberFormat="1" applyFont="1" applyAlignment="1" applyProtection="1">
      <alignment horizontal="center"/>
    </xf>
    <xf numFmtId="166" fontId="18" fillId="0" borderId="1" xfId="5" applyNumberFormat="1" applyFont="1" applyBorder="1" applyAlignment="1" applyProtection="1">
      <alignment horizontal="center"/>
    </xf>
    <xf numFmtId="0" fontId="0" fillId="0" borderId="0" xfId="0" applyAlignment="1">
      <alignment horizontal="center" vertical="center"/>
    </xf>
    <xf numFmtId="49" fontId="34" fillId="0" borderId="0" xfId="0" quotePrefix="1" applyNumberFormat="1" applyFont="1" applyAlignment="1">
      <alignment horizontal="center" vertical="center"/>
    </xf>
    <xf numFmtId="37" fontId="24" fillId="0" borderId="0" xfId="5" applyNumberFormat="1" applyFont="1" applyAlignment="1" applyProtection="1">
      <alignment horizontal="center" vertical="center"/>
      <protection locked="0"/>
    </xf>
    <xf numFmtId="37" fontId="16" fillId="0" borderId="0" xfId="5" applyNumberFormat="1" applyFont="1" applyAlignment="1" applyProtection="1">
      <alignment horizontal="center" vertical="center"/>
      <protection locked="0"/>
    </xf>
    <xf numFmtId="0" fontId="15" fillId="0" borderId="0" xfId="5" applyFont="1" applyAlignment="1">
      <alignment horizontal="center" vertical="center"/>
    </xf>
    <xf numFmtId="164" fontId="18" fillId="0" borderId="0" xfId="5" applyNumberFormat="1" applyFont="1" applyAlignment="1" applyProtection="1">
      <alignment horizontal="center" vertical="center"/>
    </xf>
    <xf numFmtId="166" fontId="18" fillId="0" borderId="1" xfId="5" applyNumberFormat="1" applyFont="1" applyBorder="1" applyAlignment="1" applyProtection="1">
      <alignment horizontal="center" vertical="center"/>
    </xf>
    <xf numFmtId="0" fontId="16" fillId="0" borderId="0" xfId="5" applyFont="1" applyAlignment="1">
      <alignment horizontal="center" vertical="center"/>
    </xf>
    <xf numFmtId="0" fontId="15" fillId="2" borderId="0" xfId="5" applyFont="1" applyFill="1" applyAlignment="1">
      <alignment horizontal="center" vertical="center"/>
    </xf>
    <xf numFmtId="0" fontId="14" fillId="0" borderId="0" xfId="5" applyFont="1" applyAlignment="1">
      <alignment horizontal="center"/>
    </xf>
    <xf numFmtId="0" fontId="10" fillId="0" borderId="0" xfId="5" applyFont="1" applyAlignment="1">
      <alignment horizontal="center"/>
    </xf>
    <xf numFmtId="0" fontId="3" fillId="0" borderId="0" xfId="5" applyAlignment="1">
      <alignment horizontal="center"/>
    </xf>
    <xf numFmtId="37" fontId="15" fillId="0" borderId="0" xfId="6" applyFont="1" applyAlignment="1">
      <alignment horizontal="center"/>
    </xf>
    <xf numFmtId="164" fontId="18" fillId="0" borderId="0" xfId="6" applyNumberFormat="1" applyFont="1" applyAlignment="1" applyProtection="1">
      <alignment horizontal="center"/>
    </xf>
    <xf numFmtId="166" fontId="18" fillId="0" borderId="1" xfId="6" applyNumberFormat="1" applyFont="1" applyBorder="1" applyAlignment="1" applyProtection="1">
      <alignment horizontal="center"/>
    </xf>
    <xf numFmtId="37" fontId="10" fillId="0" borderId="0" xfId="6" applyFont="1" applyAlignment="1">
      <alignment horizontal="center"/>
    </xf>
    <xf numFmtId="37" fontId="3" fillId="0" borderId="0" xfId="6" applyAlignment="1">
      <alignment horizontal="center"/>
    </xf>
    <xf numFmtId="37" fontId="26" fillId="0" borderId="0" xfId="6" quotePrefix="1" applyFont="1" applyAlignment="1" applyProtection="1">
      <alignment horizontal="left" vertical="center"/>
      <protection locked="0"/>
    </xf>
    <xf numFmtId="37" fontId="15" fillId="0" borderId="0" xfId="6" applyFont="1" applyAlignment="1">
      <alignment horizontal="center" vertical="center"/>
    </xf>
    <xf numFmtId="37" fontId="15" fillId="0" borderId="0" xfId="6" applyFont="1" applyAlignment="1">
      <alignment vertical="center"/>
    </xf>
    <xf numFmtId="37" fontId="14" fillId="0" borderId="0" xfId="6" applyFont="1" applyAlignment="1">
      <alignment vertical="center"/>
    </xf>
    <xf numFmtId="37" fontId="10" fillId="0" borderId="0" xfId="6" applyFont="1" applyAlignment="1">
      <alignment vertical="center"/>
    </xf>
    <xf numFmtId="37" fontId="35" fillId="0" borderId="0" xfId="6" applyNumberFormat="1" applyFont="1" applyAlignment="1" applyProtection="1">
      <alignment vertical="center"/>
      <protection locked="0"/>
    </xf>
    <xf numFmtId="37" fontId="15" fillId="0" borderId="0" xfId="6" applyNumberFormat="1" applyFont="1" applyAlignment="1" applyProtection="1">
      <alignment vertical="center"/>
    </xf>
    <xf numFmtId="37" fontId="24" fillId="0" borderId="0" xfId="6" applyNumberFormat="1" applyFont="1" applyAlignment="1" applyProtection="1">
      <alignment vertical="center"/>
    </xf>
    <xf numFmtId="37" fontId="30" fillId="0" borderId="0" xfId="6" quotePrefix="1" applyFont="1" applyAlignment="1" applyProtection="1">
      <alignment horizontal="left" vertical="center"/>
      <protection locked="0"/>
    </xf>
    <xf numFmtId="37" fontId="24" fillId="0" borderId="0" xfId="6" applyNumberFormat="1" applyFont="1" applyAlignment="1" applyProtection="1">
      <alignment vertical="center"/>
      <protection locked="0"/>
    </xf>
    <xf numFmtId="181" fontId="15" fillId="0" borderId="0" xfId="6" applyNumberFormat="1" applyFont="1" applyAlignment="1">
      <alignment horizontal="center" vertical="center"/>
    </xf>
    <xf numFmtId="37" fontId="21" fillId="0" borderId="0" xfId="6" applyNumberFormat="1" applyFont="1" applyAlignment="1" applyProtection="1">
      <alignment vertical="center"/>
    </xf>
    <xf numFmtId="37" fontId="25" fillId="0" borderId="0" xfId="6" applyNumberFormat="1" applyFont="1" applyAlignment="1" applyProtection="1">
      <alignment vertical="center"/>
    </xf>
    <xf numFmtId="37" fontId="36" fillId="0" borderId="0" xfId="6" applyFont="1" applyAlignment="1">
      <alignment vertical="center"/>
    </xf>
    <xf numFmtId="37" fontId="21" fillId="0" borderId="0" xfId="6" applyFont="1" applyAlignment="1">
      <alignment vertical="center"/>
    </xf>
    <xf numFmtId="37" fontId="16" fillId="0" borderId="0" xfId="6" applyFont="1" applyAlignment="1">
      <alignment horizontal="center" vertical="center"/>
    </xf>
    <xf numFmtId="37" fontId="40" fillId="0" borderId="0" xfId="6" applyNumberFormat="1" applyFont="1" applyAlignment="1" applyProtection="1">
      <alignment vertical="center"/>
      <protection locked="0"/>
    </xf>
    <xf numFmtId="37" fontId="26" fillId="0" borderId="0" xfId="6" applyFont="1" applyAlignment="1">
      <alignment vertical="center"/>
    </xf>
    <xf numFmtId="37" fontId="35" fillId="0" borderId="0" xfId="6" applyNumberFormat="1" applyFont="1" applyAlignment="1" applyProtection="1">
      <alignment vertical="center"/>
    </xf>
    <xf numFmtId="0" fontId="15" fillId="0" borderId="0" xfId="0" applyFont="1" applyAlignment="1">
      <alignment horizontal="center" vertical="center"/>
    </xf>
    <xf numFmtId="0" fontId="35" fillId="0" borderId="0" xfId="0" applyFont="1" applyAlignment="1">
      <alignment vertical="center"/>
    </xf>
    <xf numFmtId="37" fontId="36" fillId="0" borderId="0" xfId="6" applyNumberFormat="1" applyFont="1" applyAlignment="1" applyProtection="1">
      <alignment vertical="center"/>
      <protection locked="0"/>
    </xf>
    <xf numFmtId="37" fontId="10" fillId="0" borderId="0" xfId="6" applyNumberFormat="1" applyFont="1" applyAlignment="1" applyProtection="1">
      <alignment vertical="center"/>
    </xf>
    <xf numFmtId="37" fontId="24" fillId="0" borderId="0" xfId="6" quotePrefix="1" applyFont="1" applyAlignment="1" applyProtection="1">
      <alignment horizontal="left" vertical="center"/>
      <protection locked="0"/>
    </xf>
    <xf numFmtId="37" fontId="35" fillId="0" borderId="0" xfId="6" applyFont="1" applyAlignment="1">
      <alignment vertical="center"/>
    </xf>
    <xf numFmtId="37" fontId="39" fillId="0" borderId="0" xfId="6" applyNumberFormat="1" applyFont="1" applyAlignment="1" applyProtection="1">
      <alignment vertical="center"/>
    </xf>
    <xf numFmtId="37" fontId="16" fillId="0" borderId="0" xfId="6" applyNumberFormat="1" applyFont="1" applyAlignment="1" applyProtection="1">
      <alignment vertical="center"/>
    </xf>
    <xf numFmtId="37" fontId="36" fillId="0" borderId="0" xfId="6" applyNumberFormat="1" applyFont="1" applyAlignment="1" applyProtection="1">
      <alignment vertical="center"/>
    </xf>
    <xf numFmtId="37" fontId="26" fillId="0" borderId="0" xfId="6" applyFont="1" applyAlignment="1" applyProtection="1">
      <alignment horizontal="left" vertical="center"/>
      <protection locked="0"/>
    </xf>
    <xf numFmtId="37" fontId="44" fillId="0" borderId="0" xfId="6" applyNumberFormat="1" applyFont="1" applyAlignment="1" applyProtection="1">
      <alignment vertical="center"/>
    </xf>
    <xf numFmtId="37" fontId="23" fillId="0" borderId="0" xfId="6" applyNumberFormat="1" applyFont="1" applyAlignment="1" applyProtection="1">
      <alignment vertical="center"/>
    </xf>
    <xf numFmtId="181" fontId="24" fillId="0" borderId="0" xfId="0" applyNumberFormat="1" applyFont="1" applyAlignment="1">
      <alignment vertical="center"/>
    </xf>
    <xf numFmtId="181" fontId="25" fillId="0" borderId="0" xfId="0" applyNumberFormat="1" applyFont="1" applyAlignment="1">
      <alignment vertical="center"/>
    </xf>
    <xf numFmtId="0" fontId="26" fillId="0" borderId="0" xfId="0" quotePrefix="1" applyFont="1" applyAlignment="1">
      <alignment horizontal="left" vertical="center"/>
    </xf>
    <xf numFmtId="0" fontId="24" fillId="0" borderId="0" xfId="0" quotePrefix="1" applyFont="1" applyAlignment="1">
      <alignment vertical="center"/>
    </xf>
    <xf numFmtId="37" fontId="2" fillId="0" borderId="0" xfId="6" applyFont="1" applyAlignment="1">
      <alignment horizontal="center" vertical="center"/>
    </xf>
    <xf numFmtId="37" fontId="24" fillId="0" borderId="0" xfId="6" quotePrefix="1" applyFont="1" applyAlignment="1" applyProtection="1">
      <alignment vertical="center"/>
      <protection locked="0"/>
    </xf>
    <xf numFmtId="0" fontId="24" fillId="0" borderId="0" xfId="0" applyFont="1" applyAlignment="1">
      <alignment vertical="center"/>
    </xf>
    <xf numFmtId="37" fontId="17" fillId="0" borderId="0" xfId="6" applyNumberFormat="1" applyFont="1" applyAlignment="1" applyProtection="1">
      <alignment vertical="center"/>
    </xf>
    <xf numFmtId="37" fontId="38" fillId="0" borderId="0" xfId="6" applyFont="1" applyAlignment="1">
      <alignment vertical="center"/>
    </xf>
    <xf numFmtId="37" fontId="44" fillId="0" borderId="0" xfId="6" applyFont="1" applyAlignment="1">
      <alignment vertical="center"/>
    </xf>
    <xf numFmtId="164" fontId="18" fillId="0" borderId="0" xfId="1" applyNumberFormat="1" applyFont="1" applyAlignment="1" applyProtection="1">
      <alignment horizontal="center"/>
    </xf>
    <xf numFmtId="166" fontId="18" fillId="0" borderId="1" xfId="1" applyNumberFormat="1" applyFont="1" applyBorder="1" applyAlignment="1" applyProtection="1">
      <alignment horizontal="center"/>
    </xf>
    <xf numFmtId="168" fontId="24" fillId="0" borderId="0" xfId="1" applyNumberFormat="1" applyFont="1" applyAlignment="1" applyProtection="1">
      <alignment horizontal="center"/>
      <protection locked="0"/>
    </xf>
    <xf numFmtId="168" fontId="16" fillId="0" borderId="0" xfId="1" applyNumberFormat="1" applyFont="1" applyAlignment="1" applyProtection="1">
      <alignment horizontal="center"/>
      <protection locked="0"/>
    </xf>
    <xf numFmtId="0" fontId="16" fillId="0" borderId="0" xfId="1" applyFont="1" applyAlignment="1">
      <alignment horizontal="center"/>
    </xf>
    <xf numFmtId="168" fontId="24" fillId="2" borderId="0" xfId="1" applyNumberFormat="1" applyFont="1" applyFill="1" applyAlignment="1" applyProtection="1">
      <alignment horizontal="center"/>
      <protection locked="0"/>
    </xf>
    <xf numFmtId="0" fontId="25" fillId="0" borderId="0" xfId="1" applyFont="1" applyAlignment="1">
      <alignment horizontal="center"/>
    </xf>
    <xf numFmtId="0" fontId="24" fillId="0" borderId="0" xfId="1" applyFont="1" applyAlignment="1">
      <alignment horizontal="center"/>
    </xf>
    <xf numFmtId="0" fontId="15" fillId="3" borderId="0" xfId="1" applyFont="1" applyFill="1" applyAlignment="1">
      <alignment horizontal="center"/>
    </xf>
    <xf numFmtId="0" fontId="26" fillId="0" borderId="0" xfId="1" applyFont="1" applyAlignment="1">
      <alignment horizontal="center"/>
    </xf>
    <xf numFmtId="168" fontId="26" fillId="0" borderId="0" xfId="1" applyNumberFormat="1" applyFont="1" applyAlignment="1" applyProtection="1">
      <alignment horizontal="center"/>
      <protection locked="0"/>
    </xf>
    <xf numFmtId="0" fontId="15" fillId="0" borderId="0" xfId="13" applyFont="1" applyAlignment="1">
      <alignment horizontal="center"/>
    </xf>
    <xf numFmtId="164" fontId="18" fillId="0" borderId="0" xfId="13" applyNumberFormat="1" applyFont="1" applyAlignment="1" applyProtection="1">
      <alignment horizontal="center"/>
    </xf>
    <xf numFmtId="166" fontId="18" fillId="0" borderId="1" xfId="13" applyNumberFormat="1" applyFont="1" applyBorder="1" applyAlignment="1" applyProtection="1">
      <alignment horizontal="center"/>
    </xf>
    <xf numFmtId="0" fontId="24" fillId="0" borderId="0" xfId="13" applyFont="1" applyAlignment="1" applyProtection="1">
      <alignment horizontal="center"/>
      <protection locked="0"/>
    </xf>
    <xf numFmtId="0" fontId="16" fillId="0" borderId="0" xfId="13" applyFont="1" applyAlignment="1">
      <alignment horizontal="center"/>
    </xf>
    <xf numFmtId="37" fontId="24" fillId="0" borderId="0" xfId="13" quotePrefix="1" applyNumberFormat="1" applyFont="1" applyAlignment="1" applyProtection="1">
      <alignment horizontal="center"/>
    </xf>
    <xf numFmtId="37" fontId="15" fillId="0" borderId="0" xfId="13" applyNumberFormat="1" applyFont="1" applyAlignment="1" applyProtection="1">
      <alignment horizontal="center"/>
    </xf>
    <xf numFmtId="0" fontId="3" fillId="0" borderId="0" xfId="13" applyAlignment="1">
      <alignment horizontal="center"/>
    </xf>
    <xf numFmtId="37" fontId="37" fillId="0" borderId="0" xfId="5" applyNumberFormat="1" applyFont="1" applyAlignment="1" applyProtection="1">
      <alignment horizontal="center" vertical="center"/>
      <protection locked="0"/>
    </xf>
    <xf numFmtId="0" fontId="15" fillId="0" borderId="0" xfId="3" applyFont="1" applyAlignment="1">
      <alignment horizontal="center"/>
    </xf>
    <xf numFmtId="164" fontId="18" fillId="0" borderId="0" xfId="3" applyNumberFormat="1" applyFont="1" applyAlignment="1" applyProtection="1">
      <alignment horizontal="center"/>
    </xf>
    <xf numFmtId="166" fontId="18" fillId="0" borderId="1" xfId="3" applyNumberFormat="1" applyFont="1" applyBorder="1" applyAlignment="1" applyProtection="1">
      <alignment horizontal="center"/>
    </xf>
    <xf numFmtId="0" fontId="24" fillId="0" borderId="0" xfId="3" applyFont="1" applyAlignment="1" applyProtection="1">
      <alignment horizontal="center"/>
      <protection locked="0"/>
    </xf>
    <xf numFmtId="0" fontId="31" fillId="0" borderId="0" xfId="3" applyFont="1" applyAlignment="1">
      <alignment horizontal="center"/>
    </xf>
    <xf numFmtId="168" fontId="16" fillId="0" borderId="0" xfId="3" applyNumberFormat="1" applyFont="1" applyAlignment="1" applyProtection="1">
      <alignment horizontal="center"/>
      <protection locked="0"/>
    </xf>
    <xf numFmtId="0" fontId="16" fillId="0" borderId="0" xfId="3" applyFont="1" applyAlignment="1">
      <alignment horizontal="center"/>
    </xf>
    <xf numFmtId="0" fontId="15" fillId="0" borderId="0" xfId="10" applyFont="1" applyAlignment="1">
      <alignment horizontal="center"/>
    </xf>
    <xf numFmtId="164" fontId="18" fillId="0" borderId="0" xfId="10" applyNumberFormat="1" applyFont="1" applyAlignment="1" applyProtection="1">
      <alignment horizontal="center"/>
    </xf>
    <xf numFmtId="166" fontId="18" fillId="0" borderId="1" xfId="10" applyNumberFormat="1" applyFont="1" applyBorder="1" applyAlignment="1" applyProtection="1">
      <alignment horizontal="center"/>
    </xf>
    <xf numFmtId="168" fontId="24" fillId="0" borderId="0" xfId="10" applyNumberFormat="1" applyFont="1" applyAlignment="1" applyProtection="1">
      <alignment horizontal="center"/>
      <protection locked="0"/>
    </xf>
    <xf numFmtId="0" fontId="16" fillId="0" borderId="0" xfId="10" applyFont="1" applyAlignment="1">
      <alignment horizontal="center"/>
    </xf>
    <xf numFmtId="0" fontId="16" fillId="4" borderId="0" xfId="10" applyFont="1" applyFill="1" applyAlignment="1">
      <alignment horizontal="center"/>
    </xf>
    <xf numFmtId="0" fontId="34" fillId="0" borderId="0" xfId="12" quotePrefix="1" applyFont="1" applyAlignment="1">
      <alignment horizontal="center"/>
    </xf>
    <xf numFmtId="0" fontId="15" fillId="0" borderId="0" xfId="4" applyFont="1" applyAlignment="1">
      <alignment horizontal="center"/>
    </xf>
    <xf numFmtId="164" fontId="18" fillId="0" borderId="0" xfId="4" applyNumberFormat="1" applyFont="1" applyAlignment="1" applyProtection="1">
      <alignment horizontal="center"/>
    </xf>
    <xf numFmtId="166" fontId="18" fillId="0" borderId="1" xfId="4" applyNumberFormat="1" applyFont="1" applyBorder="1" applyAlignment="1" applyProtection="1">
      <alignment horizontal="center"/>
    </xf>
    <xf numFmtId="0" fontId="24" fillId="0" borderId="0" xfId="4" quotePrefix="1" applyFont="1" applyAlignment="1" applyProtection="1">
      <alignment horizontal="center"/>
      <protection locked="0"/>
    </xf>
    <xf numFmtId="0" fontId="24" fillId="0" borderId="0" xfId="4" applyFont="1" applyAlignment="1" applyProtection="1">
      <alignment horizontal="center"/>
      <protection locked="0"/>
    </xf>
    <xf numFmtId="0" fontId="24" fillId="0" borderId="0" xfId="4" quotePrefix="1" applyFont="1" applyAlignment="1">
      <alignment horizontal="center"/>
    </xf>
    <xf numFmtId="0" fontId="16" fillId="0" borderId="0" xfId="4" applyFont="1" applyAlignment="1">
      <alignment horizontal="center"/>
    </xf>
    <xf numFmtId="0" fontId="15" fillId="0" borderId="0" xfId="8" applyFont="1" applyAlignment="1">
      <alignment horizontal="center"/>
    </xf>
    <xf numFmtId="164" fontId="18" fillId="0" borderId="0" xfId="8" applyNumberFormat="1" applyFont="1" applyAlignment="1" applyProtection="1">
      <alignment horizontal="center"/>
    </xf>
    <xf numFmtId="166" fontId="18" fillId="0" borderId="1" xfId="8" applyNumberFormat="1" applyFont="1" applyBorder="1" applyAlignment="1" applyProtection="1">
      <alignment horizontal="center"/>
    </xf>
    <xf numFmtId="0" fontId="16" fillId="0" borderId="0" xfId="8" applyFont="1" applyAlignment="1">
      <alignment horizontal="center"/>
    </xf>
    <xf numFmtId="0" fontId="24" fillId="0" borderId="0" xfId="8" applyFont="1" applyAlignment="1" applyProtection="1">
      <alignment horizontal="center"/>
      <protection locked="0"/>
    </xf>
    <xf numFmtId="168" fontId="26" fillId="0" borderId="0" xfId="3" quotePrefix="1" applyNumberFormat="1" applyFont="1" applyAlignment="1" applyProtection="1">
      <alignment horizontal="left"/>
      <protection locked="0"/>
    </xf>
    <xf numFmtId="37" fontId="26" fillId="0" borderId="0" xfId="6" quotePrefix="1" applyFont="1" applyAlignment="1">
      <alignment horizontal="left" vertical="center"/>
    </xf>
    <xf numFmtId="37" fontId="22" fillId="0" borderId="0" xfId="6" applyFont="1" applyAlignment="1">
      <alignment vertical="center"/>
    </xf>
    <xf numFmtId="37" fontId="25" fillId="0" borderId="0" xfId="0" applyNumberFormat="1" applyFont="1" applyAlignment="1">
      <alignment vertical="center"/>
    </xf>
    <xf numFmtId="0" fontId="34" fillId="0" borderId="0" xfId="8" applyFont="1" applyAlignment="1" applyProtection="1">
      <alignment horizontal="center"/>
      <protection locked="0"/>
    </xf>
    <xf numFmtId="0" fontId="34" fillId="0" borderId="0" xfId="5" quotePrefix="1" applyFont="1" applyAlignment="1">
      <alignment horizontal="center" vertical="center"/>
    </xf>
    <xf numFmtId="37" fontId="34" fillId="0" borderId="0" xfId="6" applyFont="1" applyAlignment="1">
      <alignment horizontal="center" vertical="center"/>
    </xf>
    <xf numFmtId="0" fontId="34" fillId="0" borderId="0" xfId="10" applyFont="1" applyAlignment="1">
      <alignment horizontal="center"/>
    </xf>
    <xf numFmtId="0" fontId="34" fillId="0" borderId="0" xfId="10" quotePrefix="1" applyFont="1" applyAlignment="1">
      <alignment horizontal="center"/>
    </xf>
    <xf numFmtId="0" fontId="34" fillId="0" borderId="0" xfId="13" applyFont="1" applyAlignment="1">
      <alignment horizontal="center"/>
    </xf>
    <xf numFmtId="0" fontId="24" fillId="0" borderId="0" xfId="13" applyFont="1" applyAlignment="1">
      <alignment horizontal="center"/>
    </xf>
    <xf numFmtId="37" fontId="24" fillId="0" borderId="0" xfId="5" applyNumberFormat="1" applyFont="1" applyProtection="1">
      <protection locked="0"/>
    </xf>
    <xf numFmtId="0" fontId="34" fillId="0" borderId="0" xfId="3" applyFont="1" applyAlignment="1">
      <alignment horizontal="center"/>
    </xf>
    <xf numFmtId="0" fontId="34" fillId="0" borderId="0" xfId="8" applyFont="1" applyAlignment="1">
      <alignment horizontal="center"/>
    </xf>
    <xf numFmtId="0" fontId="34" fillId="0" borderId="0" xfId="4" applyFont="1" applyAlignment="1" applyProtection="1">
      <alignment horizontal="center"/>
      <protection locked="0"/>
    </xf>
    <xf numFmtId="37" fontId="15" fillId="0" borderId="0" xfId="2" applyNumberFormat="1" applyFont="1" applyAlignment="1">
      <alignment vertical="center"/>
    </xf>
    <xf numFmtId="37" fontId="15" fillId="0" borderId="0" xfId="2" applyNumberFormat="1" applyFont="1" applyAlignment="1" applyProtection="1">
      <alignment vertical="center"/>
    </xf>
    <xf numFmtId="37" fontId="21" fillId="0" borderId="0" xfId="2" applyNumberFormat="1" applyFont="1" applyAlignment="1" applyProtection="1">
      <alignment vertical="center"/>
    </xf>
    <xf numFmtId="0" fontId="47" fillId="0" borderId="0" xfId="13" quotePrefix="1" applyFont="1" applyAlignment="1" applyProtection="1">
      <alignment horizontal="left"/>
      <protection locked="0"/>
    </xf>
    <xf numFmtId="0" fontId="47" fillId="0" borderId="0" xfId="12" applyFont="1" applyAlignment="1" applyProtection="1">
      <alignment horizontal="center"/>
      <protection locked="0"/>
    </xf>
    <xf numFmtId="0" fontId="47" fillId="0" borderId="0" xfId="12" applyFont="1" applyAlignment="1" applyProtection="1">
      <alignment horizontal="left"/>
      <protection locked="0"/>
    </xf>
    <xf numFmtId="37" fontId="47" fillId="0" borderId="0" xfId="12" applyNumberFormat="1" applyFont="1" applyProtection="1"/>
    <xf numFmtId="37" fontId="34" fillId="0" borderId="0" xfId="6" applyNumberFormat="1" applyFont="1" applyAlignment="1" applyProtection="1">
      <alignment vertical="center"/>
      <protection locked="0"/>
    </xf>
    <xf numFmtId="37" fontId="15" fillId="0" borderId="0" xfId="8" applyNumberFormat="1" applyFont="1" applyProtection="1">
      <protection locked="0"/>
    </xf>
    <xf numFmtId="181" fontId="24" fillId="0" borderId="0" xfId="6" quotePrefix="1" applyNumberFormat="1" applyFont="1" applyAlignment="1" applyProtection="1">
      <alignment horizontal="left" vertical="center"/>
      <protection locked="0"/>
    </xf>
    <xf numFmtId="181" fontId="48" fillId="0" borderId="0" xfId="6" quotePrefix="1" applyNumberFormat="1" applyFont="1" applyAlignment="1" applyProtection="1">
      <alignment horizontal="left" vertical="center"/>
      <protection locked="0"/>
    </xf>
    <xf numFmtId="37" fontId="48" fillId="0" borderId="0" xfId="6" applyNumberFormat="1" applyFont="1" applyAlignment="1" applyProtection="1">
      <alignment vertical="center"/>
      <protection locked="0"/>
    </xf>
    <xf numFmtId="168" fontId="34" fillId="0" borderId="0" xfId="8" quotePrefix="1" applyNumberFormat="1" applyFont="1" applyAlignment="1" applyProtection="1">
      <alignment horizontal="left"/>
      <protection locked="0"/>
    </xf>
    <xf numFmtId="37" fontId="49" fillId="0" borderId="0" xfId="2" applyNumberFormat="1" applyFont="1" applyAlignment="1" applyProtection="1">
      <alignment vertical="center"/>
      <protection locked="0"/>
    </xf>
    <xf numFmtId="0" fontId="34" fillId="0" borderId="0" xfId="4" quotePrefix="1" applyFont="1" applyAlignment="1" applyProtection="1">
      <alignment horizontal="left"/>
      <protection locked="0"/>
    </xf>
    <xf numFmtId="184" fontId="15" fillId="0" borderId="0" xfId="0" applyNumberFormat="1" applyFont="1"/>
    <xf numFmtId="184" fontId="16" fillId="0" borderId="0" xfId="0" applyNumberFormat="1" applyFont="1" applyAlignment="1">
      <alignment horizontal="center"/>
    </xf>
    <xf numFmtId="184" fontId="16" fillId="5" borderId="0" xfId="0" applyNumberFormat="1" applyFont="1" applyFill="1" applyAlignment="1">
      <alignment horizontal="center"/>
    </xf>
    <xf numFmtId="184" fontId="15" fillId="0" borderId="0" xfId="0" applyNumberFormat="1" applyFont="1" applyAlignment="1">
      <alignment horizontal="center"/>
    </xf>
    <xf numFmtId="184" fontId="17" fillId="0" borderId="0" xfId="0" applyNumberFormat="1" applyFont="1" applyAlignment="1">
      <alignment horizontal="center"/>
    </xf>
    <xf numFmtId="184" fontId="17" fillId="5" borderId="0" xfId="0" applyNumberFormat="1" applyFont="1" applyFill="1" applyAlignment="1">
      <alignment horizontal="center"/>
    </xf>
    <xf numFmtId="184" fontId="21" fillId="0" borderId="0" xfId="0" applyNumberFormat="1" applyFont="1" applyAlignment="1">
      <alignment horizontal="center"/>
    </xf>
    <xf numFmtId="184" fontId="15" fillId="0" borderId="0" xfId="0" applyNumberFormat="1" applyFont="1" applyBorder="1"/>
    <xf numFmtId="184" fontId="15" fillId="5" borderId="0" xfId="0" applyNumberFormat="1" applyFont="1" applyFill="1"/>
    <xf numFmtId="184" fontId="15" fillId="0" borderId="0" xfId="0" applyNumberFormat="1" applyFont="1" applyAlignment="1">
      <alignment vertical="center"/>
    </xf>
    <xf numFmtId="184" fontId="16" fillId="0" borderId="0" xfId="0" applyNumberFormat="1" applyFont="1" applyAlignment="1">
      <alignment vertical="center"/>
    </xf>
    <xf numFmtId="37" fontId="15" fillId="0" borderId="0" xfId="0" applyNumberFormat="1" applyFont="1"/>
    <xf numFmtId="37" fontId="15" fillId="0" borderId="0" xfId="0" applyNumberFormat="1" applyFont="1" applyBorder="1"/>
    <xf numFmtId="37" fontId="15" fillId="5" borderId="0" xfId="0" applyNumberFormat="1" applyFont="1" applyFill="1"/>
    <xf numFmtId="37" fontId="15" fillId="0" borderId="0" xfId="0" quotePrefix="1" applyNumberFormat="1" applyFont="1" applyAlignment="1">
      <alignment horizontal="center"/>
    </xf>
    <xf numFmtId="37" fontId="15" fillId="0" borderId="0" xfId="0" applyNumberFormat="1" applyFont="1" applyAlignment="1">
      <alignment horizontal="center"/>
    </xf>
    <xf numFmtId="37" fontId="24" fillId="0" borderId="0" xfId="0" applyNumberFormat="1" applyFont="1"/>
    <xf numFmtId="37" fontId="50" fillId="0" borderId="0" xfId="0" applyNumberFormat="1" applyFont="1" applyAlignment="1">
      <alignment vertical="center"/>
    </xf>
    <xf numFmtId="37" fontId="15" fillId="0" borderId="0" xfId="0" applyNumberFormat="1" applyFont="1" applyAlignment="1">
      <alignment vertical="center"/>
    </xf>
    <xf numFmtId="37" fontId="50" fillId="0" borderId="0" xfId="0" applyNumberFormat="1" applyFont="1" applyBorder="1" applyAlignment="1">
      <alignment vertical="center"/>
    </xf>
    <xf numFmtId="37" fontId="50" fillId="5" borderId="0" xfId="0" applyNumberFormat="1" applyFont="1" applyFill="1" applyAlignment="1">
      <alignment vertical="center"/>
    </xf>
    <xf numFmtId="37" fontId="15" fillId="0" borderId="0" xfId="0" quotePrefix="1" applyNumberFormat="1" applyFont="1" applyAlignment="1">
      <alignment horizontal="center" vertical="center"/>
    </xf>
    <xf numFmtId="37" fontId="15" fillId="5" borderId="0" xfId="0" applyNumberFormat="1" applyFont="1" applyFill="1" applyBorder="1"/>
    <xf numFmtId="37" fontId="15" fillId="0" borderId="0" xfId="0" quotePrefix="1" applyNumberFormat="1" applyFont="1" applyAlignment="1">
      <alignment horizontal="left"/>
    </xf>
    <xf numFmtId="37" fontId="15" fillId="5" borderId="0" xfId="0" applyNumberFormat="1" applyFont="1" applyFill="1" applyAlignment="1">
      <alignment vertical="center"/>
    </xf>
    <xf numFmtId="37" fontId="15" fillId="0" borderId="0" xfId="0" applyNumberFormat="1" applyFont="1" applyAlignment="1">
      <alignment horizontal="center" vertical="center"/>
    </xf>
    <xf numFmtId="37" fontId="51" fillId="0" borderId="0" xfId="0" applyNumberFormat="1" applyFont="1" applyAlignment="1">
      <alignment vertical="center"/>
    </xf>
    <xf numFmtId="37" fontId="51" fillId="5" borderId="0" xfId="0" applyNumberFormat="1" applyFont="1" applyFill="1" applyAlignment="1">
      <alignment vertical="center"/>
    </xf>
    <xf numFmtId="37" fontId="16" fillId="0" borderId="4" xfId="0" applyNumberFormat="1" applyFont="1" applyBorder="1"/>
    <xf numFmtId="37" fontId="16" fillId="0" borderId="5" xfId="0" applyNumberFormat="1" applyFont="1" applyBorder="1"/>
    <xf numFmtId="37" fontId="16" fillId="0" borderId="6" xfId="0" applyNumberFormat="1" applyFont="1" applyBorder="1"/>
    <xf numFmtId="37" fontId="16" fillId="0" borderId="0" xfId="0" applyNumberFormat="1" applyFont="1" applyBorder="1"/>
    <xf numFmtId="37" fontId="16" fillId="5" borderId="0" xfId="0" applyNumberFormat="1" applyFont="1" applyFill="1" applyBorder="1"/>
    <xf numFmtId="37" fontId="16" fillId="0" borderId="7" xfId="0" applyNumberFormat="1" applyFont="1" applyBorder="1"/>
    <xf numFmtId="37" fontId="15" fillId="0" borderId="0" xfId="0" applyNumberFormat="1" applyFont="1" applyBorder="1" applyAlignment="1">
      <alignment vertical="center"/>
    </xf>
    <xf numFmtId="37" fontId="51" fillId="0" borderId="0" xfId="0" applyNumberFormat="1" applyFont="1" applyBorder="1" applyAlignment="1">
      <alignment vertical="center"/>
    </xf>
    <xf numFmtId="37" fontId="16" fillId="0" borderId="0" xfId="0" applyNumberFormat="1" applyFont="1" applyBorder="1" applyAlignment="1">
      <alignment vertical="center"/>
    </xf>
    <xf numFmtId="37" fontId="16" fillId="0" borderId="8" xfId="0" applyNumberFormat="1" applyFont="1" applyBorder="1"/>
    <xf numFmtId="0" fontId="28" fillId="0" borderId="0" xfId="14" quotePrefix="1" applyFont="1" applyAlignment="1" applyProtection="1">
      <alignment horizontal="left"/>
      <protection locked="0"/>
    </xf>
    <xf numFmtId="184" fontId="17" fillId="0" borderId="0" xfId="0" quotePrefix="1" applyNumberFormat="1" applyFont="1" applyBorder="1" applyAlignment="1">
      <alignment horizontal="center"/>
    </xf>
    <xf numFmtId="166" fontId="18" fillId="0" borderId="0" xfId="11" applyNumberFormat="1" applyFont="1" applyBorder="1" applyProtection="1"/>
    <xf numFmtId="49" fontId="27" fillId="0" borderId="0" xfId="0" applyNumberFormat="1" applyFont="1"/>
    <xf numFmtId="49" fontId="26" fillId="0" borderId="0" xfId="0" quotePrefix="1" applyNumberFormat="1" applyFont="1" applyAlignment="1">
      <alignment horizontal="left"/>
    </xf>
    <xf numFmtId="49" fontId="24" fillId="0" borderId="0" xfId="0" quotePrefix="1" applyNumberFormat="1" applyFont="1" applyAlignment="1">
      <alignment horizontal="left"/>
    </xf>
    <xf numFmtId="49" fontId="24" fillId="0" borderId="0" xfId="0" applyNumberFormat="1" applyFont="1"/>
    <xf numFmtId="49" fontId="24" fillId="0" borderId="0" xfId="0" quotePrefix="1" applyNumberFormat="1" applyFont="1" applyAlignment="1">
      <alignment horizontal="left" vertical="center"/>
    </xf>
    <xf numFmtId="49" fontId="24" fillId="0" borderId="0" xfId="0" applyNumberFormat="1" applyFont="1" applyAlignment="1">
      <alignment horizontal="left"/>
    </xf>
    <xf numFmtId="49" fontId="26" fillId="0" borderId="0" xfId="0" quotePrefix="1" applyNumberFormat="1" applyFont="1" applyAlignment="1">
      <alignment horizontal="left" vertical="center"/>
    </xf>
    <xf numFmtId="49" fontId="26" fillId="0" borderId="0" xfId="0" applyNumberFormat="1" applyFont="1"/>
    <xf numFmtId="49" fontId="24" fillId="0" borderId="0" xfId="0" applyNumberFormat="1" applyFont="1" applyAlignment="1">
      <alignment vertical="center"/>
    </xf>
    <xf numFmtId="49" fontId="26" fillId="0" borderId="0" xfId="0" applyNumberFormat="1" applyFont="1" applyAlignment="1">
      <alignment vertical="center"/>
    </xf>
    <xf numFmtId="37" fontId="35" fillId="0" borderId="0" xfId="14" applyNumberFormat="1" applyFont="1" applyProtection="1"/>
    <xf numFmtId="184" fontId="16" fillId="6" borderId="0" xfId="0" applyNumberFormat="1" applyFont="1" applyFill="1" applyAlignment="1">
      <alignment horizontal="center"/>
    </xf>
    <xf numFmtId="37" fontId="15" fillId="6" borderId="0" xfId="0" applyNumberFormat="1" applyFont="1" applyFill="1"/>
    <xf numFmtId="37" fontId="16" fillId="6" borderId="0" xfId="0" applyNumberFormat="1" applyFont="1" applyFill="1" applyBorder="1"/>
    <xf numFmtId="37" fontId="0" fillId="7" borderId="0" xfId="0" applyNumberFormat="1" applyFill="1"/>
    <xf numFmtId="184" fontId="15" fillId="7" borderId="0" xfId="0" applyNumberFormat="1" applyFont="1" applyFill="1"/>
    <xf numFmtId="37" fontId="21" fillId="0" borderId="0" xfId="0" applyNumberFormat="1" applyFont="1" applyBorder="1"/>
    <xf numFmtId="37" fontId="21" fillId="0" borderId="0" xfId="0" applyNumberFormat="1" applyFont="1"/>
    <xf numFmtId="49" fontId="27" fillId="0" borderId="0" xfId="0" quotePrefix="1" applyNumberFormat="1" applyFont="1" applyAlignment="1">
      <alignment horizontal="left"/>
    </xf>
    <xf numFmtId="37" fontId="15" fillId="0" borderId="9" xfId="0" applyNumberFormat="1" applyFont="1" applyBorder="1" applyAlignment="1">
      <alignment vertical="center"/>
    </xf>
    <xf numFmtId="37" fontId="15" fillId="0" borderId="10" xfId="0" applyNumberFormat="1" applyFont="1" applyBorder="1" applyAlignment="1">
      <alignment vertical="center"/>
    </xf>
    <xf numFmtId="37" fontId="15" fillId="0" borderId="11" xfId="0" applyNumberFormat="1" applyFont="1" applyBorder="1" applyAlignment="1">
      <alignment vertical="center"/>
    </xf>
    <xf numFmtId="49" fontId="26" fillId="0" borderId="0" xfId="0" quotePrefix="1" applyNumberFormat="1" applyFont="1" applyAlignment="1">
      <alignment vertical="center"/>
    </xf>
    <xf numFmtId="37" fontId="15" fillId="0" borderId="0" xfId="0" quotePrefix="1" applyNumberFormat="1" applyFont="1" applyAlignment="1">
      <alignment vertical="center"/>
    </xf>
    <xf numFmtId="37" fontId="48" fillId="0" borderId="0" xfId="0" applyNumberFormat="1" applyFont="1"/>
    <xf numFmtId="37" fontId="16" fillId="5" borderId="0" xfId="0" applyNumberFormat="1" applyFont="1" applyFill="1" applyAlignment="1">
      <alignment vertical="center"/>
    </xf>
    <xf numFmtId="37" fontId="16" fillId="0" borderId="9" xfId="0" applyNumberFormat="1" applyFont="1" applyBorder="1" applyAlignment="1">
      <alignment vertical="center"/>
    </xf>
    <xf numFmtId="37" fontId="16" fillId="0" borderId="10" xfId="0" applyNumberFormat="1" applyFont="1" applyBorder="1" applyAlignment="1">
      <alignment vertical="center"/>
    </xf>
    <xf numFmtId="37" fontId="16" fillId="0" borderId="11" xfId="0" applyNumberFormat="1" applyFont="1" applyBorder="1" applyAlignment="1">
      <alignment vertical="center"/>
    </xf>
    <xf numFmtId="49" fontId="24" fillId="0" borderId="0" xfId="0" quotePrefix="1" applyNumberFormat="1" applyFont="1" applyAlignment="1">
      <alignment vertical="center"/>
    </xf>
    <xf numFmtId="37" fontId="15" fillId="0" borderId="9" xfId="0" applyNumberFormat="1" applyFont="1" applyBorder="1"/>
    <xf numFmtId="37" fontId="15" fillId="0" borderId="10" xfId="0" applyNumberFormat="1" applyFont="1" applyBorder="1"/>
    <xf numFmtId="37" fontId="15" fillId="0" borderId="11" xfId="0" applyNumberFormat="1" applyFont="1" applyBorder="1"/>
    <xf numFmtId="49" fontId="24" fillId="0" borderId="0" xfId="0" quotePrefix="1" applyNumberFormat="1" applyFont="1" applyFill="1" applyAlignment="1">
      <alignment horizontal="left"/>
    </xf>
    <xf numFmtId="184" fontId="21" fillId="0" borderId="0" xfId="0" applyNumberFormat="1" applyFont="1" applyAlignment="1">
      <alignment vertical="center"/>
    </xf>
    <xf numFmtId="37" fontId="21" fillId="0" borderId="0" xfId="0" applyNumberFormat="1" applyFont="1" applyAlignment="1">
      <alignment vertical="center"/>
    </xf>
    <xf numFmtId="37" fontId="21" fillId="0" borderId="0" xfId="0" applyNumberFormat="1" applyFont="1" applyBorder="1" applyAlignment="1">
      <alignment vertical="center"/>
    </xf>
    <xf numFmtId="37" fontId="25" fillId="0" borderId="0" xfId="0" applyNumberFormat="1" applyFont="1"/>
    <xf numFmtId="37" fontId="24" fillId="0" borderId="9" xfId="8" applyNumberFormat="1" applyFont="1" applyBorder="1" applyProtection="1">
      <protection locked="0"/>
    </xf>
    <xf numFmtId="37" fontId="24" fillId="0" borderId="10" xfId="8" applyNumberFormat="1" applyFont="1" applyBorder="1" applyProtection="1">
      <protection locked="0"/>
    </xf>
    <xf numFmtId="37" fontId="15" fillId="0" borderId="11" xfId="8" applyNumberFormat="1" applyFont="1" applyBorder="1" applyProtection="1"/>
    <xf numFmtId="37" fontId="24" fillId="0" borderId="9" xfId="5" applyNumberFormat="1" applyFont="1" applyBorder="1" applyAlignment="1" applyProtection="1">
      <alignment vertical="center"/>
      <protection locked="0"/>
    </xf>
    <xf numFmtId="37" fontId="24" fillId="0" borderId="10" xfId="5" applyNumberFormat="1" applyFont="1" applyBorder="1" applyAlignment="1" applyProtection="1">
      <alignment vertical="center"/>
      <protection locked="0"/>
    </xf>
    <xf numFmtId="37" fontId="35" fillId="0" borderId="11" xfId="5" applyNumberFormat="1" applyFont="1" applyBorder="1" applyAlignment="1" applyProtection="1">
      <alignment vertical="center"/>
    </xf>
    <xf numFmtId="37" fontId="24" fillId="0" borderId="9" xfId="3" applyNumberFormat="1" applyFont="1" applyBorder="1" applyProtection="1">
      <protection locked="0"/>
    </xf>
    <xf numFmtId="37" fontId="24" fillId="0" borderId="10" xfId="3" applyNumberFormat="1" applyFont="1" applyBorder="1" applyProtection="1">
      <protection locked="0"/>
    </xf>
    <xf numFmtId="37" fontId="15" fillId="0" borderId="11" xfId="3" applyNumberFormat="1" applyFont="1" applyBorder="1" applyProtection="1"/>
    <xf numFmtId="37" fontId="24" fillId="0" borderId="0" xfId="0" applyNumberFormat="1" applyFont="1" applyAlignment="1">
      <alignment vertical="center"/>
    </xf>
    <xf numFmtId="49" fontId="27" fillId="0" borderId="0" xfId="0" applyNumberFormat="1" applyFont="1" applyAlignment="1">
      <alignment vertical="center"/>
    </xf>
    <xf numFmtId="37" fontId="21" fillId="5" borderId="0" xfId="0" applyNumberFormat="1" applyFont="1" applyFill="1"/>
    <xf numFmtId="37" fontId="16" fillId="0" borderId="5" xfId="0" applyNumberFormat="1" applyFont="1" applyBorder="1" applyAlignment="1">
      <alignment vertical="center"/>
    </xf>
    <xf numFmtId="37" fontId="16" fillId="0" borderId="6" xfId="0" applyNumberFormat="1" applyFont="1" applyBorder="1" applyAlignment="1">
      <alignment vertical="center"/>
    </xf>
    <xf numFmtId="37" fontId="16" fillId="0" borderId="8" xfId="0" applyNumberFormat="1" applyFont="1" applyBorder="1" applyAlignment="1">
      <alignment vertical="center"/>
    </xf>
    <xf numFmtId="37" fontId="16" fillId="5" borderId="0" xfId="0" applyNumberFormat="1" applyFont="1" applyFill="1" applyBorder="1" applyAlignment="1">
      <alignment vertical="center"/>
    </xf>
    <xf numFmtId="37" fontId="24" fillId="0" borderId="0" xfId="0" applyNumberFormat="1" applyFont="1" applyBorder="1"/>
    <xf numFmtId="37" fontId="17" fillId="0" borderId="0" xfId="0" applyNumberFormat="1" applyFont="1" applyAlignment="1">
      <alignment vertical="center"/>
    </xf>
    <xf numFmtId="37" fontId="15" fillId="5" borderId="0" xfId="0" applyNumberFormat="1" applyFont="1" applyFill="1" applyBorder="1" applyAlignment="1">
      <alignment vertical="center"/>
    </xf>
    <xf numFmtId="37" fontId="0" fillId="7" borderId="0" xfId="0" applyNumberFormat="1" applyFill="1" applyBorder="1"/>
    <xf numFmtId="37" fontId="15" fillId="6" borderId="0" xfId="0" applyNumberFormat="1" applyFont="1" applyFill="1" applyAlignment="1">
      <alignment vertical="center"/>
    </xf>
    <xf numFmtId="37" fontId="15" fillId="0" borderId="0" xfId="8" applyNumberFormat="1" applyFont="1" applyAlignment="1" applyProtection="1">
      <alignment vertical="center"/>
    </xf>
    <xf numFmtId="37" fontId="21" fillId="0" borderId="0" xfId="8" applyNumberFormat="1" applyFont="1" applyAlignment="1" applyProtection="1">
      <alignment vertical="center"/>
    </xf>
    <xf numFmtId="37" fontId="34" fillId="0" borderId="0" xfId="0" applyNumberFormat="1" applyFont="1" applyAlignment="1">
      <alignment vertical="center"/>
    </xf>
    <xf numFmtId="37" fontId="49" fillId="0" borderId="0" xfId="0" applyNumberFormat="1" applyFont="1" applyAlignment="1">
      <alignment vertical="center"/>
    </xf>
    <xf numFmtId="37" fontId="23" fillId="0" borderId="0" xfId="0" applyNumberFormat="1" applyFont="1" applyAlignment="1">
      <alignment vertical="center"/>
    </xf>
    <xf numFmtId="37" fontId="15" fillId="0" borderId="0" xfId="8" applyNumberFormat="1" applyFont="1" applyBorder="1" applyProtection="1"/>
    <xf numFmtId="37" fontId="35" fillId="0" borderId="0" xfId="5" applyNumberFormat="1" applyFont="1" applyBorder="1" applyAlignment="1" applyProtection="1">
      <alignment vertical="center"/>
    </xf>
    <xf numFmtId="37" fontId="15" fillId="0" borderId="0" xfId="3" applyNumberFormat="1" applyFont="1" applyBorder="1" applyProtection="1"/>
    <xf numFmtId="49" fontId="34" fillId="0" borderId="0" xfId="0" quotePrefix="1" applyNumberFormat="1" applyFont="1" applyAlignment="1">
      <alignment horizontal="left" vertical="center"/>
    </xf>
    <xf numFmtId="37" fontId="21" fillId="0" borderId="0" xfId="10" applyNumberFormat="1" applyFont="1" applyProtection="1">
      <protection locked="0"/>
    </xf>
    <xf numFmtId="37" fontId="25" fillId="0" borderId="0" xfId="6" applyNumberFormat="1" applyFont="1" applyAlignment="1" applyProtection="1">
      <alignment vertical="center"/>
      <protection locked="0"/>
    </xf>
    <xf numFmtId="37" fontId="15" fillId="0" borderId="0" xfId="6" applyNumberFormat="1" applyFont="1" applyAlignment="1" applyProtection="1">
      <alignment vertical="center"/>
      <protection locked="0"/>
    </xf>
    <xf numFmtId="37" fontId="35" fillId="0" borderId="0" xfId="11" applyNumberFormat="1" applyFont="1" applyProtection="1">
      <protection locked="0"/>
    </xf>
    <xf numFmtId="37" fontId="35" fillId="0" borderId="0" xfId="9" applyNumberFormat="1" applyFont="1" applyProtection="1">
      <protection locked="0"/>
    </xf>
    <xf numFmtId="37" fontId="36" fillId="0" borderId="0" xfId="5" applyNumberFormat="1" applyFont="1" applyAlignment="1" applyProtection="1">
      <alignment vertical="center"/>
    </xf>
    <xf numFmtId="37" fontId="35" fillId="0" borderId="0" xfId="14" applyNumberFormat="1" applyFont="1" applyBorder="1" applyProtection="1">
      <protection locked="0"/>
    </xf>
    <xf numFmtId="37" fontId="36" fillId="0" borderId="0" xfId="14" applyNumberFormat="1" applyFont="1" applyBorder="1" applyProtection="1">
      <protection locked="0"/>
    </xf>
    <xf numFmtId="37" fontId="35" fillId="0" borderId="0" xfId="14" applyNumberFormat="1" applyFont="1" applyAlignment="1" applyProtection="1">
      <alignment vertical="center"/>
      <protection locked="0"/>
    </xf>
    <xf numFmtId="37" fontId="38" fillId="0" borderId="0" xfId="5" applyNumberFormat="1" applyFont="1" applyAlignment="1" applyProtection="1">
      <alignment vertical="center"/>
      <protection locked="0"/>
    </xf>
    <xf numFmtId="37" fontId="38" fillId="0" borderId="0" xfId="1" applyNumberFormat="1" applyFont="1" applyProtection="1">
      <protection locked="0"/>
    </xf>
    <xf numFmtId="37" fontId="35" fillId="0" borderId="0" xfId="3" applyNumberFormat="1" applyFont="1" applyProtection="1">
      <protection locked="0"/>
    </xf>
    <xf numFmtId="37" fontId="35" fillId="0" borderId="0" xfId="13" applyNumberFormat="1" applyFont="1" applyProtection="1">
      <protection locked="0"/>
    </xf>
    <xf numFmtId="37" fontId="35" fillId="0" borderId="0" xfId="8" applyNumberFormat="1" applyFont="1" applyProtection="1">
      <protection locked="0"/>
    </xf>
    <xf numFmtId="37" fontId="35" fillId="0" borderId="0" xfId="10" applyNumberFormat="1" applyFont="1" applyProtection="1">
      <protection locked="0"/>
    </xf>
    <xf numFmtId="37" fontId="35" fillId="0" borderId="0" xfId="5" applyNumberFormat="1" applyFont="1" applyProtection="1">
      <protection locked="0"/>
    </xf>
    <xf numFmtId="37" fontId="36" fillId="0" borderId="0" xfId="8" applyNumberFormat="1" applyFont="1" applyProtection="1">
      <protection locked="0"/>
    </xf>
    <xf numFmtId="37" fontId="37" fillId="0" borderId="0" xfId="0" applyNumberFormat="1" applyFont="1" applyBorder="1"/>
    <xf numFmtId="49" fontId="37" fillId="0" borderId="0" xfId="0" quotePrefix="1" applyNumberFormat="1" applyFont="1" applyAlignment="1">
      <alignment horizontal="left" vertical="center"/>
    </xf>
    <xf numFmtId="49" fontId="37" fillId="0" borderId="0" xfId="0" quotePrefix="1" applyNumberFormat="1" applyFont="1" applyAlignment="1">
      <alignment horizontal="left"/>
    </xf>
    <xf numFmtId="37" fontId="52" fillId="0" borderId="0" xfId="0" applyNumberFormat="1" applyFont="1" applyAlignment="1">
      <alignment vertical="center"/>
    </xf>
    <xf numFmtId="184" fontId="27" fillId="0" borderId="0" xfId="0" quotePrefix="1" applyNumberFormat="1" applyFont="1" applyBorder="1" applyAlignment="1">
      <alignment horizontal="center"/>
    </xf>
    <xf numFmtId="184" fontId="26" fillId="0" borderId="2" xfId="0" applyNumberFormat="1" applyFont="1" applyBorder="1" applyAlignment="1">
      <alignment horizontal="centerContinuous"/>
    </xf>
    <xf numFmtId="184" fontId="27" fillId="0" borderId="0" xfId="0" applyNumberFormat="1" applyFont="1" applyAlignment="1">
      <alignment horizontal="center"/>
    </xf>
    <xf numFmtId="184" fontId="38" fillId="0" borderId="0" xfId="0" quotePrefix="1" applyNumberFormat="1" applyFont="1" applyBorder="1" applyAlignment="1">
      <alignment horizontal="center"/>
    </xf>
    <xf numFmtId="184" fontId="39" fillId="0" borderId="0" xfId="0" applyNumberFormat="1" applyFont="1" applyAlignment="1">
      <alignment horizontal="center"/>
    </xf>
    <xf numFmtId="165" fontId="39" fillId="0" borderId="0" xfId="7" applyNumberFormat="1" applyFont="1" applyAlignment="1" applyProtection="1">
      <alignment horizontal="center" vertical="center"/>
      <protection locked="0"/>
    </xf>
    <xf numFmtId="165" fontId="27" fillId="0" borderId="0" xfId="5" applyNumberFormat="1" applyFont="1" applyAlignment="1" applyProtection="1">
      <alignment horizontal="center" vertical="center"/>
    </xf>
    <xf numFmtId="165" fontId="38" fillId="0" borderId="0" xfId="7" applyNumberFormat="1" applyFont="1" applyAlignment="1" applyProtection="1">
      <alignment horizontal="center" vertical="center"/>
      <protection locked="0"/>
    </xf>
    <xf numFmtId="165" fontId="39" fillId="0" borderId="0" xfId="6" applyNumberFormat="1" applyFont="1" applyAlignment="1" applyProtection="1">
      <alignment horizontal="center" vertical="center"/>
      <protection locked="0"/>
    </xf>
    <xf numFmtId="165" fontId="27" fillId="0" borderId="0" xfId="6" applyNumberFormat="1" applyFont="1" applyAlignment="1" applyProtection="1">
      <alignment horizontal="center" vertical="center"/>
    </xf>
    <xf numFmtId="165" fontId="38" fillId="0" borderId="0" xfId="6" applyNumberFormat="1" applyFont="1" applyAlignment="1" applyProtection="1">
      <alignment horizontal="center" vertical="center"/>
      <protection locked="0"/>
    </xf>
    <xf numFmtId="184" fontId="34" fillId="0" borderId="0" xfId="0" applyNumberFormat="1" applyFont="1"/>
    <xf numFmtId="168" fontId="34" fillId="0" borderId="0" xfId="2" quotePrefix="1" applyNumberFormat="1" applyFont="1" applyAlignment="1" applyProtection="1">
      <alignment horizontal="left"/>
      <protection locked="0"/>
    </xf>
    <xf numFmtId="37" fontId="34" fillId="0" borderId="0" xfId="0" applyNumberFormat="1" applyFont="1"/>
    <xf numFmtId="49" fontId="24" fillId="0" borderId="0" xfId="0" applyNumberFormat="1" applyFont="1" applyAlignment="1">
      <alignment horizontal="left" vertical="center"/>
    </xf>
    <xf numFmtId="37" fontId="34" fillId="0" borderId="0" xfId="10" applyNumberFormat="1" applyFont="1" applyProtection="1">
      <protection locked="0"/>
    </xf>
    <xf numFmtId="37" fontId="36" fillId="0" borderId="0" xfId="7" applyNumberFormat="1" applyFont="1" applyProtection="1"/>
    <xf numFmtId="169" fontId="24" fillId="0" borderId="0" xfId="7" applyNumberFormat="1" applyFont="1" applyAlignment="1" applyProtection="1">
      <alignment horizontal="centerContinuous"/>
      <protection locked="0"/>
    </xf>
    <xf numFmtId="37" fontId="34" fillId="0" borderId="0" xfId="4" applyNumberFormat="1" applyFont="1" applyProtection="1">
      <protection locked="0"/>
    </xf>
  </cellXfs>
  <cellStyles count="15">
    <cellStyle name="Normal" xfId="0" builtinId="0"/>
    <cellStyle name="Normal_ADJ" xfId="1"/>
    <cellStyle name="Normal_DEFTAX" xfId="2"/>
    <cellStyle name="Normal_DEPRTAX" xfId="3"/>
    <cellStyle name="Normal_INTDEDUC" xfId="4"/>
    <cellStyle name="Normal_LIQOTHER" xfId="5"/>
    <cellStyle name="Normal_O&amp;M" xfId="6"/>
    <cellStyle name="Normal_OPERSUM" xfId="7"/>
    <cellStyle name="Normal_OTHERINC" xfId="8"/>
    <cellStyle name="Normal_PURCH" xfId="9"/>
    <cellStyle name="Normal_REGAMORT" xfId="10"/>
    <cellStyle name="Normal_SALES" xfId="11"/>
    <cellStyle name="Normal_SOURCE" xfId="12"/>
    <cellStyle name="Normal_TC&amp;S" xfId="13"/>
    <cellStyle name="Normal_TRANSPORT" xfId="1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28575</xdr:colOff>
          <xdr:row>2</xdr:row>
          <xdr:rowOff>9525</xdr:rowOff>
        </xdr:from>
        <xdr:to>
          <xdr:col>0</xdr:col>
          <xdr:colOff>1123950</xdr:colOff>
          <xdr:row>3</xdr:row>
          <xdr:rowOff>142875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Return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466725</xdr:colOff>
          <xdr:row>2</xdr:row>
          <xdr:rowOff>95250</xdr:rowOff>
        </xdr:from>
        <xdr:to>
          <xdr:col>1</xdr:col>
          <xdr:colOff>1409700</xdr:colOff>
          <xdr:row>5</xdr:row>
          <xdr:rowOff>104775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Create CF Data Sheet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Relationship Id="rId4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82"/>
  <sheetViews>
    <sheetView showGridLines="0" zoomScaleNormal="100" zoomScaleSheetLayoutView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2.75" x14ac:dyDescent="0.2"/>
  <cols>
    <col min="1" max="1" width="45.7109375" style="862" customWidth="1"/>
    <col min="2" max="2" width="7.7109375" style="862" customWidth="1"/>
    <col min="3" max="14" width="8.7109375" style="862" customWidth="1"/>
    <col min="15" max="15" width="9.7109375" style="862" customWidth="1"/>
    <col min="16" max="17" width="2.7109375" style="862" customWidth="1"/>
    <col min="18" max="18" width="20.7109375" style="918" customWidth="1"/>
    <col min="19" max="20" width="2.7109375" style="918" customWidth="1"/>
    <col min="21" max="25" width="9.7109375" style="862" customWidth="1"/>
    <col min="26" max="26" width="15.7109375" style="862" customWidth="1"/>
    <col min="27" max="16384" width="9.140625" style="862"/>
  </cols>
  <sheetData>
    <row r="1" spans="1:25" x14ac:dyDescent="0.2">
      <c r="A1" s="605" t="str">
        <f ca="1">CELL("FILENAME")</f>
        <v>C:\Users\Felienne\Enron\EnronSpreadsheets\[tracy_geaccone__40367__EMNNG02PL.xls]IncomeState</v>
      </c>
      <c r="C1" s="863"/>
      <c r="D1" s="863"/>
      <c r="E1" s="863"/>
      <c r="F1" s="863"/>
      <c r="G1" s="863"/>
      <c r="H1" s="863"/>
      <c r="I1" s="863"/>
      <c r="J1" s="863"/>
      <c r="K1" s="863"/>
      <c r="L1" s="863"/>
      <c r="M1" s="863"/>
      <c r="N1" s="863"/>
      <c r="O1" s="863"/>
      <c r="P1" s="863"/>
      <c r="Q1" s="864"/>
      <c r="R1" s="914"/>
      <c r="S1" s="864"/>
      <c r="T1" s="863"/>
    </row>
    <row r="2" spans="1:25" x14ac:dyDescent="0.2">
      <c r="A2" s="900" t="s">
        <v>538</v>
      </c>
      <c r="B2" s="649">
        <f ca="1">NOW()</f>
        <v>41887.551126967592</v>
      </c>
      <c r="C2" s="505" t="s">
        <v>877</v>
      </c>
      <c r="D2" s="505" t="s">
        <v>877</v>
      </c>
      <c r="E2" s="505" t="s">
        <v>877</v>
      </c>
      <c r="F2" s="505" t="s">
        <v>877</v>
      </c>
      <c r="G2" s="505" t="s">
        <v>877</v>
      </c>
      <c r="H2" s="505" t="s">
        <v>877</v>
      </c>
      <c r="I2" s="505" t="s">
        <v>877</v>
      </c>
      <c r="J2" s="505" t="s">
        <v>877</v>
      </c>
      <c r="K2" s="505" t="s">
        <v>877</v>
      </c>
      <c r="L2" s="505" t="s">
        <v>877</v>
      </c>
      <c r="M2" s="505" t="s">
        <v>877</v>
      </c>
      <c r="N2" s="505" t="s">
        <v>877</v>
      </c>
      <c r="O2" s="413" t="s">
        <v>805</v>
      </c>
      <c r="P2" s="554"/>
      <c r="Q2" s="867"/>
      <c r="R2" s="865" t="s">
        <v>401</v>
      </c>
      <c r="S2" s="867"/>
      <c r="T2" s="554"/>
      <c r="U2" s="993" t="s">
        <v>400</v>
      </c>
      <c r="V2" s="993"/>
      <c r="W2" s="993"/>
      <c r="X2" s="993"/>
      <c r="Y2" s="996" t="str">
        <f>+O2</f>
        <v>TOTAL</v>
      </c>
    </row>
    <row r="3" spans="1:25" x14ac:dyDescent="0.2">
      <c r="A3" s="552" t="str">
        <f>IncomeState!A3</f>
        <v>2002 OPERATING PLAN</v>
      </c>
      <c r="B3" s="902">
        <f ca="1">NOW()</f>
        <v>41887.551126967592</v>
      </c>
      <c r="C3" s="312" t="s">
        <v>1174</v>
      </c>
      <c r="D3" s="312" t="s">
        <v>1175</v>
      </c>
      <c r="E3" s="312" t="s">
        <v>1176</v>
      </c>
      <c r="F3" s="312" t="s">
        <v>1177</v>
      </c>
      <c r="G3" s="312" t="s">
        <v>1178</v>
      </c>
      <c r="H3" s="312" t="s">
        <v>1179</v>
      </c>
      <c r="I3" s="312" t="s">
        <v>1180</v>
      </c>
      <c r="J3" s="312" t="s">
        <v>1181</v>
      </c>
      <c r="K3" s="312" t="s">
        <v>1182</v>
      </c>
      <c r="L3" s="312" t="s">
        <v>1183</v>
      </c>
      <c r="M3" s="312" t="s">
        <v>1184</v>
      </c>
      <c r="N3" s="312" t="s">
        <v>1185</v>
      </c>
      <c r="O3" s="992" t="s">
        <v>279</v>
      </c>
      <c r="P3" s="901"/>
      <c r="Q3" s="867"/>
      <c r="R3" s="868" t="s">
        <v>402</v>
      </c>
      <c r="S3" s="867"/>
      <c r="T3" s="901"/>
      <c r="U3" s="994" t="s">
        <v>808</v>
      </c>
      <c r="V3" s="994" t="s">
        <v>809</v>
      </c>
      <c r="W3" s="994" t="s">
        <v>810</v>
      </c>
      <c r="X3" s="994" t="s">
        <v>811</v>
      </c>
      <c r="Y3" s="995" t="str">
        <f>+O3</f>
        <v>2002</v>
      </c>
    </row>
    <row r="4" spans="1:25" x14ac:dyDescent="0.2">
      <c r="A4" s="552"/>
      <c r="B4" s="902"/>
      <c r="C4" s="312"/>
      <c r="D4" s="312"/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604"/>
      <c r="P4" s="604"/>
      <c r="Q4" s="867"/>
      <c r="R4" s="868"/>
      <c r="S4" s="867"/>
      <c r="T4" s="604"/>
      <c r="U4" s="866"/>
      <c r="V4" s="866"/>
      <c r="W4" s="866"/>
      <c r="X4" s="866"/>
      <c r="Y4" s="901"/>
    </row>
    <row r="5" spans="1:25" x14ac:dyDescent="0.2">
      <c r="A5" s="903" t="s">
        <v>403</v>
      </c>
      <c r="O5" s="869"/>
      <c r="P5" s="869"/>
      <c r="Q5" s="870"/>
      <c r="R5" s="862"/>
      <c r="S5" s="870"/>
      <c r="T5" s="869"/>
    </row>
    <row r="6" spans="1:25" x14ac:dyDescent="0.2">
      <c r="A6" s="904" t="s">
        <v>539</v>
      </c>
      <c r="O6" s="869"/>
      <c r="P6" s="869"/>
      <c r="Q6" s="870"/>
      <c r="R6" s="862"/>
      <c r="S6" s="870"/>
      <c r="T6" s="869"/>
    </row>
    <row r="7" spans="1:25" x14ac:dyDescent="0.2">
      <c r="A7" s="905" t="s">
        <v>545</v>
      </c>
      <c r="C7" s="716">
        <v>0</v>
      </c>
      <c r="D7" s="716">
        <v>0</v>
      </c>
      <c r="E7" s="716">
        <v>0</v>
      </c>
      <c r="F7" s="716">
        <v>0</v>
      </c>
      <c r="G7" s="716">
        <v>0</v>
      </c>
      <c r="H7" s="716">
        <v>0</v>
      </c>
      <c r="I7" s="716">
        <v>0</v>
      </c>
      <c r="J7" s="716">
        <v>0</v>
      </c>
      <c r="K7" s="716">
        <v>0</v>
      </c>
      <c r="L7" s="716">
        <v>0</v>
      </c>
      <c r="M7" s="716">
        <v>0</v>
      </c>
      <c r="N7" s="716">
        <v>0</v>
      </c>
      <c r="O7" s="289">
        <f>SUM(C7:N7)</f>
        <v>0</v>
      </c>
      <c r="P7" s="289"/>
      <c r="Q7" s="875"/>
      <c r="R7" s="877" t="s">
        <v>774</v>
      </c>
      <c r="S7" s="875"/>
      <c r="T7" s="289"/>
      <c r="U7" s="874">
        <f>C7+D7+E7</f>
        <v>0</v>
      </c>
      <c r="V7" s="874">
        <f>F7+G7+H7</f>
        <v>0</v>
      </c>
      <c r="W7" s="874">
        <f>I7+J7+K7</f>
        <v>0</v>
      </c>
      <c r="X7" s="874">
        <f>L7+M7+N7</f>
        <v>0</v>
      </c>
      <c r="Y7" s="873">
        <f>SUM(U7:X7)</f>
        <v>0</v>
      </c>
    </row>
    <row r="8" spans="1:25" x14ac:dyDescent="0.2">
      <c r="A8" s="908" t="s">
        <v>505</v>
      </c>
      <c r="C8" s="716">
        <v>0</v>
      </c>
      <c r="D8" s="716">
        <v>0</v>
      </c>
      <c r="E8" s="716">
        <v>0</v>
      </c>
      <c r="F8" s="716">
        <v>0</v>
      </c>
      <c r="G8" s="716">
        <v>0</v>
      </c>
      <c r="H8" s="716">
        <v>0</v>
      </c>
      <c r="I8" s="716">
        <v>0</v>
      </c>
      <c r="J8" s="716">
        <v>0</v>
      </c>
      <c r="K8" s="716">
        <v>0</v>
      </c>
      <c r="L8" s="716">
        <v>0</v>
      </c>
      <c r="M8" s="716">
        <v>0</v>
      </c>
      <c r="N8" s="716">
        <v>0</v>
      </c>
      <c r="O8" s="289">
        <f>SUM(C8:N8)</f>
        <v>0</v>
      </c>
      <c r="P8" s="289"/>
      <c r="Q8" s="875"/>
      <c r="R8" s="877" t="s">
        <v>774</v>
      </c>
      <c r="S8" s="875"/>
      <c r="T8" s="289"/>
      <c r="U8" s="874">
        <f>C8+D8+E8</f>
        <v>0</v>
      </c>
      <c r="V8" s="874">
        <f>F8+G8+H8</f>
        <v>0</v>
      </c>
      <c r="W8" s="874">
        <f>I8+J8+K8</f>
        <v>0</v>
      </c>
      <c r="X8" s="874">
        <f>L8+M8+N8</f>
        <v>0</v>
      </c>
      <c r="Y8" s="873">
        <f>SUM(U8:X8)</f>
        <v>0</v>
      </c>
    </row>
    <row r="9" spans="1:25" x14ac:dyDescent="0.2">
      <c r="A9" s="905" t="s">
        <v>404</v>
      </c>
      <c r="C9" s="716">
        <v>0</v>
      </c>
      <c r="D9" s="716">
        <v>0</v>
      </c>
      <c r="E9" s="716">
        <v>0</v>
      </c>
      <c r="F9" s="716">
        <v>0</v>
      </c>
      <c r="G9" s="716">
        <v>0</v>
      </c>
      <c r="H9" s="716">
        <v>0</v>
      </c>
      <c r="I9" s="716">
        <v>0</v>
      </c>
      <c r="J9" s="716">
        <v>0</v>
      </c>
      <c r="K9" s="716">
        <v>0</v>
      </c>
      <c r="L9" s="716">
        <v>0</v>
      </c>
      <c r="M9" s="716">
        <v>0</v>
      </c>
      <c r="N9" s="716">
        <v>0</v>
      </c>
      <c r="O9" s="52">
        <f>SUM(C9:N9)</f>
        <v>0</v>
      </c>
      <c r="P9" s="52"/>
      <c r="Q9" s="875"/>
      <c r="R9" s="877" t="s">
        <v>506</v>
      </c>
      <c r="S9" s="875"/>
      <c r="T9" s="52"/>
      <c r="U9" s="874">
        <f>C9+D9+E9</f>
        <v>0</v>
      </c>
      <c r="V9" s="874">
        <f>F9+G9+H9</f>
        <v>0</v>
      </c>
      <c r="W9" s="874">
        <f>I9+J9+K9</f>
        <v>0</v>
      </c>
      <c r="X9" s="874">
        <f>L9+M9+N9</f>
        <v>0</v>
      </c>
      <c r="Y9" s="873">
        <f>SUM(U9:X9)</f>
        <v>0</v>
      </c>
    </row>
    <row r="10" spans="1:25" x14ac:dyDescent="0.2">
      <c r="A10" s="908" t="s">
        <v>505</v>
      </c>
      <c r="C10" s="716">
        <v>0</v>
      </c>
      <c r="D10" s="716">
        <v>0</v>
      </c>
      <c r="E10" s="716">
        <v>0</v>
      </c>
      <c r="F10" s="716">
        <v>0</v>
      </c>
      <c r="G10" s="716">
        <v>0</v>
      </c>
      <c r="H10" s="716">
        <v>0</v>
      </c>
      <c r="I10" s="716">
        <v>0</v>
      </c>
      <c r="J10" s="716">
        <v>0</v>
      </c>
      <c r="K10" s="716">
        <v>0</v>
      </c>
      <c r="L10" s="716">
        <v>0</v>
      </c>
      <c r="M10" s="716">
        <v>0</v>
      </c>
      <c r="N10" s="716">
        <v>0</v>
      </c>
      <c r="O10" s="289">
        <f>SUM(C10:N10)</f>
        <v>0</v>
      </c>
      <c r="P10" s="289"/>
      <c r="Q10" s="875"/>
      <c r="R10" s="877" t="s">
        <v>506</v>
      </c>
      <c r="S10" s="875"/>
      <c r="T10" s="289"/>
      <c r="U10" s="874">
        <f>C10+D10+E10</f>
        <v>0</v>
      </c>
      <c r="V10" s="874">
        <f>F10+G10+H10</f>
        <v>0</v>
      </c>
      <c r="W10" s="874">
        <f>I10+J10+K10</f>
        <v>0</v>
      </c>
      <c r="X10" s="874">
        <f>L10+M10+N10</f>
        <v>0</v>
      </c>
      <c r="Y10" s="873">
        <f>SUM(U10:X10)</f>
        <v>0</v>
      </c>
    </row>
    <row r="11" spans="1:25" ht="6" customHeight="1" x14ac:dyDescent="0.2">
      <c r="A11" s="908"/>
      <c r="C11" s="716"/>
      <c r="D11" s="716"/>
      <c r="E11" s="716"/>
      <c r="F11" s="716"/>
      <c r="G11" s="716"/>
      <c r="H11" s="716"/>
      <c r="I11" s="716"/>
      <c r="J11" s="716"/>
      <c r="K11" s="716"/>
      <c r="L11" s="716"/>
      <c r="M11" s="716"/>
      <c r="N11" s="716"/>
      <c r="O11" s="289"/>
      <c r="P11" s="289"/>
      <c r="Q11" s="875"/>
      <c r="R11" s="877"/>
      <c r="S11" s="875"/>
      <c r="T11" s="289"/>
      <c r="U11" s="874"/>
      <c r="V11" s="874"/>
      <c r="W11" s="874"/>
      <c r="X11" s="874"/>
      <c r="Y11" s="873"/>
    </row>
    <row r="12" spans="1:25" x14ac:dyDescent="0.2">
      <c r="A12" s="905" t="s">
        <v>540</v>
      </c>
      <c r="C12" s="303">
        <v>46978</v>
      </c>
      <c r="D12" s="303">
        <v>46951</v>
      </c>
      <c r="E12" s="303">
        <v>48450</v>
      </c>
      <c r="F12" s="303">
        <v>16693</v>
      </c>
      <c r="G12" s="303">
        <v>16486</v>
      </c>
      <c r="H12" s="303">
        <v>16595</v>
      </c>
      <c r="I12" s="303">
        <v>16868</v>
      </c>
      <c r="J12" s="303">
        <v>16528</v>
      </c>
      <c r="K12" s="303">
        <v>16481</v>
      </c>
      <c r="L12" s="303">
        <v>16081</v>
      </c>
      <c r="M12" s="303">
        <v>46500</v>
      </c>
      <c r="N12" s="303">
        <v>46562</v>
      </c>
      <c r="O12" s="874">
        <f t="shared" ref="O12:O36" si="0">SUM(C12:N12)</f>
        <v>351173</v>
      </c>
      <c r="P12" s="874"/>
      <c r="Q12" s="875"/>
      <c r="R12" s="876" t="s">
        <v>407</v>
      </c>
      <c r="S12" s="875"/>
      <c r="T12" s="874"/>
      <c r="U12" s="874">
        <f t="shared" ref="U12:U38" si="1">C12+D12+E12</f>
        <v>142379</v>
      </c>
      <c r="V12" s="874">
        <f t="shared" ref="V12:V38" si="2">F12+G12+H12</f>
        <v>49774</v>
      </c>
      <c r="W12" s="874">
        <f t="shared" ref="W12:W38" si="3">I12+J12+K12</f>
        <v>49877</v>
      </c>
      <c r="X12" s="874">
        <f t="shared" ref="X12:X38" si="4">L12+M12+N12</f>
        <v>109143</v>
      </c>
      <c r="Y12" s="873">
        <f t="shared" ref="Y12:Y38" si="5">SUM(U12:X12)</f>
        <v>351173</v>
      </c>
    </row>
    <row r="13" spans="1:25" x14ac:dyDescent="0.2">
      <c r="A13" s="905" t="s">
        <v>408</v>
      </c>
      <c r="C13" s="303">
        <v>0</v>
      </c>
      <c r="D13" s="303">
        <v>0</v>
      </c>
      <c r="E13" s="303">
        <v>0</v>
      </c>
      <c r="F13" s="303">
        <v>0</v>
      </c>
      <c r="G13" s="303">
        <v>0</v>
      </c>
      <c r="H13" s="303">
        <v>0</v>
      </c>
      <c r="I13" s="303">
        <v>0</v>
      </c>
      <c r="J13" s="303">
        <v>0</v>
      </c>
      <c r="K13" s="303">
        <v>0</v>
      </c>
      <c r="L13" s="303">
        <v>0</v>
      </c>
      <c r="M13" s="303">
        <v>0</v>
      </c>
      <c r="N13" s="303">
        <v>0</v>
      </c>
      <c r="O13" s="874">
        <f t="shared" si="0"/>
        <v>0</v>
      </c>
      <c r="P13" s="874"/>
      <c r="Q13" s="875"/>
      <c r="R13" s="876" t="s">
        <v>407</v>
      </c>
      <c r="S13" s="875"/>
      <c r="T13" s="874"/>
      <c r="U13" s="874">
        <f t="shared" si="1"/>
        <v>0</v>
      </c>
      <c r="V13" s="874">
        <f t="shared" si="2"/>
        <v>0</v>
      </c>
      <c r="W13" s="874">
        <f t="shared" si="3"/>
        <v>0</v>
      </c>
      <c r="X13" s="874">
        <f t="shared" si="4"/>
        <v>0</v>
      </c>
      <c r="Y13" s="873">
        <f t="shared" si="5"/>
        <v>0</v>
      </c>
    </row>
    <row r="14" spans="1:25" x14ac:dyDescent="0.2">
      <c r="A14" s="315" t="s">
        <v>542</v>
      </c>
      <c r="C14" s="303">
        <v>0</v>
      </c>
      <c r="D14" s="303">
        <v>0</v>
      </c>
      <c r="E14" s="303">
        <v>0</v>
      </c>
      <c r="F14" s="303">
        <v>0</v>
      </c>
      <c r="G14" s="303">
        <v>0</v>
      </c>
      <c r="H14" s="303">
        <v>0</v>
      </c>
      <c r="I14" s="303">
        <v>0</v>
      </c>
      <c r="J14" s="303">
        <v>0</v>
      </c>
      <c r="K14" s="303">
        <v>0</v>
      </c>
      <c r="L14" s="303">
        <v>0</v>
      </c>
      <c r="M14" s="303">
        <v>0</v>
      </c>
      <c r="N14" s="303">
        <v>0</v>
      </c>
      <c r="O14" s="874">
        <f t="shared" si="0"/>
        <v>0</v>
      </c>
      <c r="P14" s="874"/>
      <c r="Q14" s="875"/>
      <c r="R14" s="876" t="s">
        <v>407</v>
      </c>
      <c r="S14" s="875"/>
      <c r="T14" s="874"/>
      <c r="U14" s="874">
        <f t="shared" si="1"/>
        <v>0</v>
      </c>
      <c r="V14" s="874">
        <f t="shared" si="2"/>
        <v>0</v>
      </c>
      <c r="W14" s="874">
        <f t="shared" si="3"/>
        <v>0</v>
      </c>
      <c r="X14" s="874">
        <f t="shared" si="4"/>
        <v>0</v>
      </c>
      <c r="Y14" s="873">
        <f t="shared" si="5"/>
        <v>0</v>
      </c>
    </row>
    <row r="15" spans="1:25" x14ac:dyDescent="0.2">
      <c r="A15" s="905" t="s">
        <v>541</v>
      </c>
      <c r="C15" s="303">
        <v>4397</v>
      </c>
      <c r="D15" s="303">
        <v>3795</v>
      </c>
      <c r="E15" s="303">
        <v>3535</v>
      </c>
      <c r="F15" s="303">
        <v>2978</v>
      </c>
      <c r="G15" s="303">
        <v>2692</v>
      </c>
      <c r="H15" s="303">
        <v>2798</v>
      </c>
      <c r="I15" s="303">
        <v>2865</v>
      </c>
      <c r="J15" s="303">
        <v>2880</v>
      </c>
      <c r="K15" s="303">
        <v>2792</v>
      </c>
      <c r="L15" s="303">
        <v>2985</v>
      </c>
      <c r="M15" s="303">
        <v>3471</v>
      </c>
      <c r="N15" s="303">
        <v>4126</v>
      </c>
      <c r="O15" s="874">
        <f t="shared" si="0"/>
        <v>39314</v>
      </c>
      <c r="P15" s="874"/>
      <c r="Q15" s="875"/>
      <c r="R15" s="876" t="s">
        <v>407</v>
      </c>
      <c r="S15" s="875"/>
      <c r="T15" s="874"/>
      <c r="U15" s="874">
        <f t="shared" si="1"/>
        <v>11727</v>
      </c>
      <c r="V15" s="874">
        <f t="shared" si="2"/>
        <v>8468</v>
      </c>
      <c r="W15" s="874">
        <f t="shared" si="3"/>
        <v>8537</v>
      </c>
      <c r="X15" s="874">
        <f t="shared" si="4"/>
        <v>10582</v>
      </c>
      <c r="Y15" s="873">
        <f t="shared" si="5"/>
        <v>39314</v>
      </c>
    </row>
    <row r="16" spans="1:25" x14ac:dyDescent="0.2">
      <c r="A16" s="905" t="s">
        <v>408</v>
      </c>
      <c r="C16" s="303">
        <v>0</v>
      </c>
      <c r="D16" s="303">
        <v>0</v>
      </c>
      <c r="E16" s="303">
        <v>0</v>
      </c>
      <c r="F16" s="303">
        <v>0</v>
      </c>
      <c r="G16" s="303">
        <v>0</v>
      </c>
      <c r="H16" s="303">
        <v>0</v>
      </c>
      <c r="I16" s="303">
        <v>0</v>
      </c>
      <c r="J16" s="303">
        <v>0</v>
      </c>
      <c r="K16" s="303">
        <v>0</v>
      </c>
      <c r="L16" s="303">
        <v>0</v>
      </c>
      <c r="M16" s="303">
        <v>0</v>
      </c>
      <c r="N16" s="303">
        <v>0</v>
      </c>
      <c r="O16" s="874">
        <f t="shared" si="0"/>
        <v>0</v>
      </c>
      <c r="P16" s="874"/>
      <c r="Q16" s="875"/>
      <c r="R16" s="876" t="s">
        <v>407</v>
      </c>
      <c r="S16" s="875"/>
      <c r="T16" s="874"/>
      <c r="U16" s="874">
        <f t="shared" si="1"/>
        <v>0</v>
      </c>
      <c r="V16" s="874">
        <f t="shared" si="2"/>
        <v>0</v>
      </c>
      <c r="W16" s="874">
        <f t="shared" si="3"/>
        <v>0</v>
      </c>
      <c r="X16" s="874">
        <f t="shared" si="4"/>
        <v>0</v>
      </c>
      <c r="Y16" s="873">
        <f t="shared" si="5"/>
        <v>0</v>
      </c>
    </row>
    <row r="17" spans="1:25" x14ac:dyDescent="0.2">
      <c r="A17" s="315" t="s">
        <v>542</v>
      </c>
      <c r="C17" s="303">
        <v>0</v>
      </c>
      <c r="D17" s="303">
        <v>0</v>
      </c>
      <c r="E17" s="303">
        <v>0</v>
      </c>
      <c r="F17" s="303">
        <v>0</v>
      </c>
      <c r="G17" s="303">
        <v>0</v>
      </c>
      <c r="H17" s="303">
        <v>0</v>
      </c>
      <c r="I17" s="303">
        <v>0</v>
      </c>
      <c r="J17" s="303">
        <v>0</v>
      </c>
      <c r="K17" s="303">
        <v>0</v>
      </c>
      <c r="L17" s="303">
        <v>0</v>
      </c>
      <c r="M17" s="303">
        <v>0</v>
      </c>
      <c r="N17" s="303">
        <v>0</v>
      </c>
      <c r="O17" s="874">
        <f t="shared" si="0"/>
        <v>0</v>
      </c>
      <c r="P17" s="874"/>
      <c r="Q17" s="875"/>
      <c r="R17" s="876" t="s">
        <v>407</v>
      </c>
      <c r="S17" s="875"/>
      <c r="T17" s="874"/>
      <c r="U17" s="874">
        <f t="shared" si="1"/>
        <v>0</v>
      </c>
      <c r="V17" s="874">
        <f t="shared" si="2"/>
        <v>0</v>
      </c>
      <c r="W17" s="874">
        <f t="shared" si="3"/>
        <v>0</v>
      </c>
      <c r="X17" s="874">
        <f t="shared" si="4"/>
        <v>0</v>
      </c>
      <c r="Y17" s="873">
        <f t="shared" si="5"/>
        <v>0</v>
      </c>
    </row>
    <row r="18" spans="1:25" x14ac:dyDescent="0.2">
      <c r="A18" s="905" t="s">
        <v>543</v>
      </c>
      <c r="C18" s="303">
        <v>0</v>
      </c>
      <c r="D18" s="303">
        <v>0</v>
      </c>
      <c r="E18" s="303">
        <v>0</v>
      </c>
      <c r="F18" s="303">
        <v>0</v>
      </c>
      <c r="G18" s="303">
        <v>0</v>
      </c>
      <c r="H18" s="303">
        <v>0</v>
      </c>
      <c r="I18" s="303">
        <v>0</v>
      </c>
      <c r="J18" s="303">
        <v>0</v>
      </c>
      <c r="K18" s="303">
        <v>0</v>
      </c>
      <c r="L18" s="303">
        <v>0</v>
      </c>
      <c r="M18" s="303">
        <v>0</v>
      </c>
      <c r="N18" s="303">
        <v>0</v>
      </c>
      <c r="O18" s="302">
        <f t="shared" si="0"/>
        <v>0</v>
      </c>
      <c r="P18" s="302"/>
      <c r="Q18" s="875"/>
      <c r="R18" s="876" t="s">
        <v>407</v>
      </c>
      <c r="S18" s="875"/>
      <c r="T18" s="302"/>
      <c r="U18" s="874">
        <f t="shared" si="1"/>
        <v>0</v>
      </c>
      <c r="V18" s="874">
        <f t="shared" si="2"/>
        <v>0</v>
      </c>
      <c r="W18" s="874">
        <f t="shared" si="3"/>
        <v>0</v>
      </c>
      <c r="X18" s="874">
        <f t="shared" si="4"/>
        <v>0</v>
      </c>
      <c r="Y18" s="873">
        <f t="shared" si="5"/>
        <v>0</v>
      </c>
    </row>
    <row r="19" spans="1:25" x14ac:dyDescent="0.2">
      <c r="A19" s="905" t="s">
        <v>409</v>
      </c>
      <c r="C19" s="303">
        <v>0</v>
      </c>
      <c r="D19" s="303">
        <v>0</v>
      </c>
      <c r="E19" s="303">
        <v>0</v>
      </c>
      <c r="F19" s="303">
        <v>0</v>
      </c>
      <c r="G19" s="303">
        <v>0</v>
      </c>
      <c r="H19" s="303">
        <v>0</v>
      </c>
      <c r="I19" s="303">
        <v>0</v>
      </c>
      <c r="J19" s="303">
        <v>0</v>
      </c>
      <c r="K19" s="303">
        <v>0</v>
      </c>
      <c r="L19" s="303">
        <v>0</v>
      </c>
      <c r="M19" s="303">
        <v>0</v>
      </c>
      <c r="N19" s="303">
        <v>0</v>
      </c>
      <c r="O19" s="302">
        <f t="shared" si="0"/>
        <v>0</v>
      </c>
      <c r="P19" s="302"/>
      <c r="Q19" s="875"/>
      <c r="R19" s="876" t="s">
        <v>407</v>
      </c>
      <c r="S19" s="875"/>
      <c r="T19" s="302"/>
      <c r="U19" s="874">
        <f t="shared" si="1"/>
        <v>0</v>
      </c>
      <c r="V19" s="874">
        <f t="shared" si="2"/>
        <v>0</v>
      </c>
      <c r="W19" s="874">
        <f t="shared" si="3"/>
        <v>0</v>
      </c>
      <c r="X19" s="874">
        <f t="shared" si="4"/>
        <v>0</v>
      </c>
      <c r="Y19" s="873">
        <f t="shared" si="5"/>
        <v>0</v>
      </c>
    </row>
    <row r="20" spans="1:25" x14ac:dyDescent="0.2">
      <c r="A20" s="905" t="s">
        <v>410</v>
      </c>
      <c r="B20" s="1003" t="s">
        <v>1205</v>
      </c>
      <c r="C20" s="873"/>
      <c r="D20" s="873"/>
      <c r="E20" s="873"/>
      <c r="F20" s="873"/>
      <c r="G20" s="873"/>
      <c r="H20" s="873"/>
      <c r="I20" s="873"/>
      <c r="J20" s="873"/>
      <c r="K20" s="873"/>
      <c r="L20" s="873"/>
      <c r="M20" s="873"/>
      <c r="N20" s="873"/>
      <c r="O20" s="302">
        <f t="shared" si="0"/>
        <v>0</v>
      </c>
      <c r="P20" s="302"/>
      <c r="Q20" s="875"/>
      <c r="R20" s="876" t="s">
        <v>407</v>
      </c>
      <c r="S20" s="875"/>
      <c r="T20" s="302"/>
      <c r="U20" s="874">
        <f t="shared" si="1"/>
        <v>0</v>
      </c>
      <c r="V20" s="874">
        <f t="shared" si="2"/>
        <v>0</v>
      </c>
      <c r="W20" s="874">
        <f t="shared" si="3"/>
        <v>0</v>
      </c>
      <c r="X20" s="874">
        <f t="shared" si="4"/>
        <v>0</v>
      </c>
      <c r="Y20" s="873">
        <f t="shared" si="5"/>
        <v>0</v>
      </c>
    </row>
    <row r="21" spans="1:25" x14ac:dyDescent="0.2">
      <c r="A21" s="905" t="s">
        <v>411</v>
      </c>
      <c r="B21" s="1003" t="s">
        <v>1205</v>
      </c>
      <c r="C21" s="873"/>
      <c r="D21" s="873"/>
      <c r="E21" s="873"/>
      <c r="F21" s="873"/>
      <c r="G21" s="873"/>
      <c r="H21" s="873"/>
      <c r="I21" s="873"/>
      <c r="J21" s="873"/>
      <c r="K21" s="873"/>
      <c r="L21" s="873"/>
      <c r="M21" s="873"/>
      <c r="N21" s="873"/>
      <c r="O21" s="302">
        <f t="shared" si="0"/>
        <v>0</v>
      </c>
      <c r="P21" s="302"/>
      <c r="Q21" s="875"/>
      <c r="R21" s="876" t="s">
        <v>407</v>
      </c>
      <c r="S21" s="875"/>
      <c r="T21" s="302"/>
      <c r="U21" s="874">
        <f t="shared" si="1"/>
        <v>0</v>
      </c>
      <c r="V21" s="874">
        <f t="shared" si="2"/>
        <v>0</v>
      </c>
      <c r="W21" s="874">
        <f t="shared" si="3"/>
        <v>0</v>
      </c>
      <c r="X21" s="874">
        <f t="shared" si="4"/>
        <v>0</v>
      </c>
      <c r="Y21" s="873">
        <f t="shared" si="5"/>
        <v>0</v>
      </c>
    </row>
    <row r="22" spans="1:25" x14ac:dyDescent="0.2">
      <c r="A22" s="905" t="s">
        <v>412</v>
      </c>
      <c r="C22" s="716">
        <v>0</v>
      </c>
      <c r="D22" s="716">
        <v>0</v>
      </c>
      <c r="E22" s="716">
        <v>0</v>
      </c>
      <c r="F22" s="716">
        <v>0</v>
      </c>
      <c r="G22" s="716">
        <v>0</v>
      </c>
      <c r="H22" s="716">
        <v>0</v>
      </c>
      <c r="I22" s="716">
        <v>0</v>
      </c>
      <c r="J22" s="716">
        <v>0</v>
      </c>
      <c r="K22" s="716">
        <v>0</v>
      </c>
      <c r="L22" s="716">
        <v>0</v>
      </c>
      <c r="M22" s="716">
        <v>0</v>
      </c>
      <c r="N22" s="716">
        <v>0</v>
      </c>
      <c r="O22" s="534">
        <f t="shared" si="0"/>
        <v>0</v>
      </c>
      <c r="P22" s="534"/>
      <c r="Q22" s="875"/>
      <c r="R22" s="876" t="s">
        <v>407</v>
      </c>
      <c r="S22" s="875"/>
      <c r="T22" s="534"/>
      <c r="U22" s="874">
        <f t="shared" si="1"/>
        <v>0</v>
      </c>
      <c r="V22" s="874">
        <f t="shared" si="2"/>
        <v>0</v>
      </c>
      <c r="W22" s="874">
        <f t="shared" si="3"/>
        <v>0</v>
      </c>
      <c r="X22" s="874">
        <f t="shared" si="4"/>
        <v>0</v>
      </c>
      <c r="Y22" s="873">
        <f t="shared" si="5"/>
        <v>0</v>
      </c>
    </row>
    <row r="23" spans="1:25" x14ac:dyDescent="0.2">
      <c r="A23" s="905" t="s">
        <v>413</v>
      </c>
      <c r="C23" s="716">
        <v>0</v>
      </c>
      <c r="D23" s="716">
        <v>0</v>
      </c>
      <c r="E23" s="716">
        <v>0</v>
      </c>
      <c r="F23" s="716">
        <v>0</v>
      </c>
      <c r="G23" s="716">
        <v>0</v>
      </c>
      <c r="H23" s="716">
        <v>0</v>
      </c>
      <c r="I23" s="716">
        <v>0</v>
      </c>
      <c r="J23" s="716">
        <v>0</v>
      </c>
      <c r="K23" s="716">
        <v>0</v>
      </c>
      <c r="L23" s="716">
        <v>0</v>
      </c>
      <c r="M23" s="716">
        <v>0</v>
      </c>
      <c r="N23" s="716">
        <v>0</v>
      </c>
      <c r="O23" s="534">
        <f t="shared" si="0"/>
        <v>0</v>
      </c>
      <c r="P23" s="534"/>
      <c r="Q23" s="875"/>
      <c r="R23" s="876" t="s">
        <v>407</v>
      </c>
      <c r="S23" s="875"/>
      <c r="T23" s="534"/>
      <c r="U23" s="874">
        <f t="shared" si="1"/>
        <v>0</v>
      </c>
      <c r="V23" s="874">
        <f t="shared" si="2"/>
        <v>0</v>
      </c>
      <c r="W23" s="874">
        <f t="shared" si="3"/>
        <v>0</v>
      </c>
      <c r="X23" s="874">
        <f t="shared" si="4"/>
        <v>0</v>
      </c>
      <c r="Y23" s="873">
        <f t="shared" si="5"/>
        <v>0</v>
      </c>
    </row>
    <row r="24" spans="1:25" x14ac:dyDescent="0.2">
      <c r="A24" s="905" t="s">
        <v>414</v>
      </c>
      <c r="C24" s="303">
        <v>0</v>
      </c>
      <c r="D24" s="303">
        <v>0</v>
      </c>
      <c r="E24" s="303">
        <v>0</v>
      </c>
      <c r="F24" s="303">
        <v>0</v>
      </c>
      <c r="G24" s="303">
        <v>0</v>
      </c>
      <c r="H24" s="303">
        <v>0</v>
      </c>
      <c r="I24" s="303">
        <v>0</v>
      </c>
      <c r="J24" s="303">
        <v>0</v>
      </c>
      <c r="K24" s="303">
        <v>0</v>
      </c>
      <c r="L24" s="303">
        <v>0</v>
      </c>
      <c r="M24" s="303">
        <v>0</v>
      </c>
      <c r="N24" s="303">
        <v>0</v>
      </c>
      <c r="O24" s="534">
        <f t="shared" si="0"/>
        <v>0</v>
      </c>
      <c r="P24" s="534"/>
      <c r="Q24" s="875"/>
      <c r="R24" s="876" t="s">
        <v>407</v>
      </c>
      <c r="S24" s="875"/>
      <c r="T24" s="534"/>
      <c r="U24" s="874">
        <f t="shared" si="1"/>
        <v>0</v>
      </c>
      <c r="V24" s="874">
        <f t="shared" si="2"/>
        <v>0</v>
      </c>
      <c r="W24" s="874">
        <f t="shared" si="3"/>
        <v>0</v>
      </c>
      <c r="X24" s="874">
        <f t="shared" si="4"/>
        <v>0</v>
      </c>
      <c r="Y24" s="873">
        <f t="shared" si="5"/>
        <v>0</v>
      </c>
    </row>
    <row r="25" spans="1:25" x14ac:dyDescent="0.2">
      <c r="A25" s="905" t="s">
        <v>555</v>
      </c>
      <c r="C25" s="303">
        <v>0</v>
      </c>
      <c r="D25" s="303">
        <v>0</v>
      </c>
      <c r="E25" s="303">
        <v>0</v>
      </c>
      <c r="F25" s="303">
        <v>0</v>
      </c>
      <c r="G25" s="303">
        <v>0</v>
      </c>
      <c r="H25" s="303">
        <v>0</v>
      </c>
      <c r="I25" s="303">
        <v>0</v>
      </c>
      <c r="J25" s="303">
        <v>0</v>
      </c>
      <c r="K25" s="303">
        <v>0</v>
      </c>
      <c r="L25" s="303">
        <v>0</v>
      </c>
      <c r="M25" s="303">
        <v>0</v>
      </c>
      <c r="N25" s="303">
        <v>0</v>
      </c>
      <c r="O25" s="302">
        <f t="shared" si="0"/>
        <v>0</v>
      </c>
      <c r="P25" s="302"/>
      <c r="Q25" s="875"/>
      <c r="R25" s="876" t="s">
        <v>407</v>
      </c>
      <c r="S25" s="875"/>
      <c r="T25" s="302"/>
      <c r="U25" s="874">
        <f t="shared" si="1"/>
        <v>0</v>
      </c>
      <c r="V25" s="874">
        <f t="shared" si="2"/>
        <v>0</v>
      </c>
      <c r="W25" s="874">
        <f t="shared" si="3"/>
        <v>0</v>
      </c>
      <c r="X25" s="874">
        <f t="shared" si="4"/>
        <v>0</v>
      </c>
      <c r="Y25" s="873">
        <f t="shared" si="5"/>
        <v>0</v>
      </c>
    </row>
    <row r="26" spans="1:25" x14ac:dyDescent="0.2">
      <c r="A26" s="905" t="s">
        <v>415</v>
      </c>
      <c r="C26" s="303">
        <v>0</v>
      </c>
      <c r="D26" s="303">
        <v>0</v>
      </c>
      <c r="E26" s="303">
        <v>0</v>
      </c>
      <c r="F26" s="303">
        <v>0</v>
      </c>
      <c r="G26" s="303">
        <v>0</v>
      </c>
      <c r="H26" s="303">
        <v>0</v>
      </c>
      <c r="I26" s="303">
        <v>0</v>
      </c>
      <c r="J26" s="303">
        <v>0</v>
      </c>
      <c r="K26" s="303">
        <v>0</v>
      </c>
      <c r="L26" s="303">
        <v>0</v>
      </c>
      <c r="M26" s="303">
        <v>0</v>
      </c>
      <c r="N26" s="303">
        <v>0</v>
      </c>
      <c r="O26" s="534">
        <f t="shared" si="0"/>
        <v>0</v>
      </c>
      <c r="P26" s="534"/>
      <c r="Q26" s="875"/>
      <c r="R26" s="876" t="s">
        <v>407</v>
      </c>
      <c r="S26" s="875"/>
      <c r="T26" s="534"/>
      <c r="U26" s="874">
        <f t="shared" si="1"/>
        <v>0</v>
      </c>
      <c r="V26" s="874">
        <f t="shared" si="2"/>
        <v>0</v>
      </c>
      <c r="W26" s="874">
        <f t="shared" si="3"/>
        <v>0</v>
      </c>
      <c r="X26" s="874">
        <f t="shared" si="4"/>
        <v>0</v>
      </c>
      <c r="Y26" s="873">
        <f t="shared" si="5"/>
        <v>0</v>
      </c>
    </row>
    <row r="27" spans="1:25" x14ac:dyDescent="0.2">
      <c r="A27" s="905" t="s">
        <v>556</v>
      </c>
      <c r="C27" s="303">
        <v>0</v>
      </c>
      <c r="D27" s="303">
        <v>0</v>
      </c>
      <c r="E27" s="303">
        <v>0</v>
      </c>
      <c r="F27" s="303">
        <v>0</v>
      </c>
      <c r="G27" s="303">
        <v>0</v>
      </c>
      <c r="H27" s="303">
        <v>0</v>
      </c>
      <c r="I27" s="303">
        <v>0</v>
      </c>
      <c r="J27" s="303">
        <v>0</v>
      </c>
      <c r="K27" s="303">
        <v>0</v>
      </c>
      <c r="L27" s="303">
        <v>0</v>
      </c>
      <c r="M27" s="303">
        <v>0</v>
      </c>
      <c r="N27" s="303">
        <v>0</v>
      </c>
      <c r="O27" s="302">
        <f t="shared" si="0"/>
        <v>0</v>
      </c>
      <c r="P27" s="302"/>
      <c r="Q27" s="875"/>
      <c r="R27" s="876" t="s">
        <v>407</v>
      </c>
      <c r="S27" s="875"/>
      <c r="T27" s="302"/>
      <c r="U27" s="874">
        <f t="shared" si="1"/>
        <v>0</v>
      </c>
      <c r="V27" s="874">
        <f t="shared" si="2"/>
        <v>0</v>
      </c>
      <c r="W27" s="874">
        <f t="shared" si="3"/>
        <v>0</v>
      </c>
      <c r="X27" s="874">
        <f t="shared" si="4"/>
        <v>0</v>
      </c>
      <c r="Y27" s="873">
        <f t="shared" si="5"/>
        <v>0</v>
      </c>
    </row>
    <row r="28" spans="1:25" x14ac:dyDescent="0.2">
      <c r="A28" s="905" t="s">
        <v>416</v>
      </c>
      <c r="C28" s="303">
        <v>0</v>
      </c>
      <c r="D28" s="303">
        <v>0</v>
      </c>
      <c r="E28" s="303">
        <v>0</v>
      </c>
      <c r="F28" s="303">
        <v>0</v>
      </c>
      <c r="G28" s="303">
        <v>0</v>
      </c>
      <c r="H28" s="303">
        <v>0</v>
      </c>
      <c r="I28" s="303">
        <v>0</v>
      </c>
      <c r="J28" s="303">
        <v>0</v>
      </c>
      <c r="K28" s="303">
        <v>0</v>
      </c>
      <c r="L28" s="303">
        <v>0</v>
      </c>
      <c r="M28" s="303">
        <v>0</v>
      </c>
      <c r="N28" s="303">
        <v>0</v>
      </c>
      <c r="O28" s="534">
        <f t="shared" si="0"/>
        <v>0</v>
      </c>
      <c r="P28" s="534"/>
      <c r="Q28" s="875"/>
      <c r="R28" s="876" t="s">
        <v>407</v>
      </c>
      <c r="S28" s="875"/>
      <c r="T28" s="534"/>
      <c r="U28" s="874">
        <f t="shared" si="1"/>
        <v>0</v>
      </c>
      <c r="V28" s="874">
        <f t="shared" si="2"/>
        <v>0</v>
      </c>
      <c r="W28" s="874">
        <f t="shared" si="3"/>
        <v>0</v>
      </c>
      <c r="X28" s="874">
        <f t="shared" si="4"/>
        <v>0</v>
      </c>
      <c r="Y28" s="873">
        <f t="shared" si="5"/>
        <v>0</v>
      </c>
    </row>
    <row r="29" spans="1:25" x14ac:dyDescent="0.2">
      <c r="A29" s="905" t="s">
        <v>417</v>
      </c>
      <c r="C29" s="303">
        <v>0</v>
      </c>
      <c r="D29" s="303">
        <v>0</v>
      </c>
      <c r="E29" s="303">
        <v>0</v>
      </c>
      <c r="F29" s="303">
        <v>0</v>
      </c>
      <c r="G29" s="303">
        <v>0</v>
      </c>
      <c r="H29" s="303">
        <v>0</v>
      </c>
      <c r="I29" s="303">
        <v>0</v>
      </c>
      <c r="J29" s="303">
        <v>0</v>
      </c>
      <c r="K29" s="303">
        <v>0</v>
      </c>
      <c r="L29" s="303">
        <v>0</v>
      </c>
      <c r="M29" s="303">
        <v>0</v>
      </c>
      <c r="N29" s="303">
        <v>0</v>
      </c>
      <c r="O29" s="534">
        <f t="shared" si="0"/>
        <v>0</v>
      </c>
      <c r="P29" s="534"/>
      <c r="Q29" s="875"/>
      <c r="R29" s="876" t="s">
        <v>407</v>
      </c>
      <c r="S29" s="875"/>
      <c r="T29" s="534"/>
      <c r="U29" s="874">
        <f t="shared" si="1"/>
        <v>0</v>
      </c>
      <c r="V29" s="874">
        <f t="shared" si="2"/>
        <v>0</v>
      </c>
      <c r="W29" s="874">
        <f t="shared" si="3"/>
        <v>0</v>
      </c>
      <c r="X29" s="874">
        <f t="shared" si="4"/>
        <v>0</v>
      </c>
      <c r="Y29" s="873">
        <f t="shared" si="5"/>
        <v>0</v>
      </c>
    </row>
    <row r="30" spans="1:25" x14ac:dyDescent="0.2">
      <c r="A30" s="905" t="s">
        <v>558</v>
      </c>
      <c r="C30" s="595">
        <v>1155</v>
      </c>
      <c r="D30" s="595">
        <v>1155</v>
      </c>
      <c r="E30" s="595">
        <v>1155</v>
      </c>
      <c r="F30" s="595">
        <v>1155</v>
      </c>
      <c r="G30" s="595">
        <v>1155</v>
      </c>
      <c r="H30" s="595">
        <v>1155</v>
      </c>
      <c r="I30" s="595">
        <v>1155</v>
      </c>
      <c r="J30" s="595">
        <v>1154</v>
      </c>
      <c r="K30" s="595">
        <v>1154</v>
      </c>
      <c r="L30" s="595">
        <v>1154</v>
      </c>
      <c r="M30" s="595">
        <v>1155</v>
      </c>
      <c r="N30" s="595">
        <v>1155</v>
      </c>
      <c r="O30" s="579">
        <f t="shared" si="0"/>
        <v>13857</v>
      </c>
      <c r="P30" s="579"/>
      <c r="Q30" s="875"/>
      <c r="R30" s="876" t="s">
        <v>407</v>
      </c>
      <c r="S30" s="875"/>
      <c r="T30" s="579"/>
      <c r="U30" s="874">
        <f t="shared" si="1"/>
        <v>3465</v>
      </c>
      <c r="V30" s="874">
        <f t="shared" si="2"/>
        <v>3465</v>
      </c>
      <c r="W30" s="874">
        <f t="shared" si="3"/>
        <v>3463</v>
      </c>
      <c r="X30" s="874">
        <f t="shared" si="4"/>
        <v>3464</v>
      </c>
      <c r="Y30" s="873">
        <f t="shared" si="5"/>
        <v>13857</v>
      </c>
    </row>
    <row r="31" spans="1:25" x14ac:dyDescent="0.2">
      <c r="A31" s="905" t="s">
        <v>418</v>
      </c>
      <c r="C31" s="595">
        <v>0</v>
      </c>
      <c r="D31" s="595">
        <v>0</v>
      </c>
      <c r="E31" s="595">
        <v>0</v>
      </c>
      <c r="F31" s="595">
        <v>0</v>
      </c>
      <c r="G31" s="595">
        <v>0</v>
      </c>
      <c r="H31" s="595">
        <v>2776</v>
      </c>
      <c r="I31" s="595">
        <v>2776</v>
      </c>
      <c r="J31" s="595">
        <v>2776</v>
      </c>
      <c r="K31" s="595">
        <v>2776</v>
      </c>
      <c r="L31" s="595">
        <v>2776</v>
      </c>
      <c r="M31" s="595">
        <v>0</v>
      </c>
      <c r="N31" s="595">
        <v>0</v>
      </c>
      <c r="O31" s="579">
        <f t="shared" si="0"/>
        <v>13880</v>
      </c>
      <c r="P31" s="579"/>
      <c r="Q31" s="875"/>
      <c r="R31" s="876" t="s">
        <v>407</v>
      </c>
      <c r="S31" s="875"/>
      <c r="T31" s="579"/>
      <c r="U31" s="874">
        <f t="shared" si="1"/>
        <v>0</v>
      </c>
      <c r="V31" s="874">
        <f t="shared" si="2"/>
        <v>2776</v>
      </c>
      <c r="W31" s="874">
        <f t="shared" si="3"/>
        <v>8328</v>
      </c>
      <c r="X31" s="874">
        <f t="shared" si="4"/>
        <v>2776</v>
      </c>
      <c r="Y31" s="873">
        <f t="shared" si="5"/>
        <v>13880</v>
      </c>
    </row>
    <row r="32" spans="1:25" x14ac:dyDescent="0.2">
      <c r="A32" s="905" t="s">
        <v>419</v>
      </c>
      <c r="C32" s="595">
        <v>250</v>
      </c>
      <c r="D32" s="595">
        <v>200</v>
      </c>
      <c r="E32" s="595">
        <v>95</v>
      </c>
      <c r="F32" s="595">
        <v>50</v>
      </c>
      <c r="G32" s="595">
        <v>0</v>
      </c>
      <c r="H32" s="595">
        <v>115</v>
      </c>
      <c r="I32" s="595">
        <v>170</v>
      </c>
      <c r="J32" s="595">
        <v>190</v>
      </c>
      <c r="K32" s="595">
        <v>150</v>
      </c>
      <c r="L32" s="595">
        <v>175</v>
      </c>
      <c r="M32" s="595">
        <v>50</v>
      </c>
      <c r="N32" s="595">
        <v>195</v>
      </c>
      <c r="O32" s="579">
        <f t="shared" si="0"/>
        <v>1640</v>
      </c>
      <c r="P32" s="579"/>
      <c r="Q32" s="875"/>
      <c r="R32" s="876" t="s">
        <v>407</v>
      </c>
      <c r="S32" s="875"/>
      <c r="T32" s="579"/>
      <c r="U32" s="874">
        <f t="shared" si="1"/>
        <v>545</v>
      </c>
      <c r="V32" s="874">
        <f t="shared" si="2"/>
        <v>165</v>
      </c>
      <c r="W32" s="874">
        <f t="shared" si="3"/>
        <v>510</v>
      </c>
      <c r="X32" s="874">
        <f t="shared" si="4"/>
        <v>420</v>
      </c>
      <c r="Y32" s="873">
        <f t="shared" si="5"/>
        <v>1640</v>
      </c>
    </row>
    <row r="33" spans="1:25" x14ac:dyDescent="0.2">
      <c r="A33" s="905" t="s">
        <v>420</v>
      </c>
      <c r="C33" s="595">
        <v>0</v>
      </c>
      <c r="D33" s="595">
        <v>0</v>
      </c>
      <c r="E33" s="595">
        <v>0</v>
      </c>
      <c r="F33" s="595">
        <v>0</v>
      </c>
      <c r="G33" s="595">
        <v>0</v>
      </c>
      <c r="H33" s="595">
        <v>0</v>
      </c>
      <c r="I33" s="595">
        <v>0</v>
      </c>
      <c r="J33" s="595">
        <v>0</v>
      </c>
      <c r="K33" s="595">
        <v>0</v>
      </c>
      <c r="L33" s="595">
        <v>0</v>
      </c>
      <c r="M33" s="595">
        <v>0</v>
      </c>
      <c r="N33" s="595">
        <v>0</v>
      </c>
      <c r="O33" s="579">
        <f t="shared" si="0"/>
        <v>0</v>
      </c>
      <c r="P33" s="579"/>
      <c r="Q33" s="875"/>
      <c r="R33" s="876" t="s">
        <v>407</v>
      </c>
      <c r="S33" s="875"/>
      <c r="T33" s="579"/>
      <c r="U33" s="874">
        <f t="shared" si="1"/>
        <v>0</v>
      </c>
      <c r="V33" s="874">
        <f t="shared" si="2"/>
        <v>0</v>
      </c>
      <c r="W33" s="874">
        <f t="shared" si="3"/>
        <v>0</v>
      </c>
      <c r="X33" s="874">
        <f t="shared" si="4"/>
        <v>0</v>
      </c>
      <c r="Y33" s="873">
        <f t="shared" si="5"/>
        <v>0</v>
      </c>
    </row>
    <row r="34" spans="1:25" x14ac:dyDescent="0.2">
      <c r="A34" s="905" t="s">
        <v>421</v>
      </c>
      <c r="C34" s="595">
        <v>1702</v>
      </c>
      <c r="D34" s="595">
        <v>1435</v>
      </c>
      <c r="E34" s="595">
        <v>3835</v>
      </c>
      <c r="F34" s="595">
        <v>1646</v>
      </c>
      <c r="G34" s="595">
        <v>1185</v>
      </c>
      <c r="H34" s="595">
        <v>1194</v>
      </c>
      <c r="I34" s="595">
        <v>742</v>
      </c>
      <c r="J34" s="595">
        <v>635</v>
      </c>
      <c r="K34" s="595">
        <v>591</v>
      </c>
      <c r="L34" s="595">
        <v>578</v>
      </c>
      <c r="M34" s="595">
        <v>669</v>
      </c>
      <c r="N34" s="595">
        <v>611</v>
      </c>
      <c r="O34" s="579">
        <f t="shared" si="0"/>
        <v>14823</v>
      </c>
      <c r="P34" s="579"/>
      <c r="Q34" s="875"/>
      <c r="R34" s="876" t="s">
        <v>407</v>
      </c>
      <c r="S34" s="875"/>
      <c r="T34" s="579"/>
      <c r="U34" s="874">
        <f t="shared" si="1"/>
        <v>6972</v>
      </c>
      <c r="V34" s="874">
        <f t="shared" si="2"/>
        <v>4025</v>
      </c>
      <c r="W34" s="874">
        <f t="shared" si="3"/>
        <v>1968</v>
      </c>
      <c r="X34" s="874">
        <f t="shared" si="4"/>
        <v>1858</v>
      </c>
      <c r="Y34" s="873">
        <f t="shared" si="5"/>
        <v>14823</v>
      </c>
    </row>
    <row r="35" spans="1:25" x14ac:dyDescent="0.2">
      <c r="A35" s="905" t="s">
        <v>559</v>
      </c>
      <c r="C35" s="716">
        <v>0</v>
      </c>
      <c r="D35" s="716">
        <v>0</v>
      </c>
      <c r="E35" s="716">
        <v>0</v>
      </c>
      <c r="F35" s="716">
        <v>0</v>
      </c>
      <c r="G35" s="716">
        <v>0</v>
      </c>
      <c r="H35" s="716">
        <v>0</v>
      </c>
      <c r="I35" s="716">
        <v>0</v>
      </c>
      <c r="J35" s="716">
        <v>0</v>
      </c>
      <c r="K35" s="716">
        <v>0</v>
      </c>
      <c r="L35" s="716">
        <v>0</v>
      </c>
      <c r="M35" s="716">
        <v>0</v>
      </c>
      <c r="N35" s="716">
        <v>0</v>
      </c>
      <c r="O35" s="302">
        <f t="shared" si="0"/>
        <v>0</v>
      </c>
      <c r="P35" s="302"/>
      <c r="Q35" s="875"/>
      <c r="R35" s="876" t="s">
        <v>407</v>
      </c>
      <c r="S35" s="875"/>
      <c r="T35" s="302"/>
      <c r="U35" s="874">
        <f t="shared" si="1"/>
        <v>0</v>
      </c>
      <c r="V35" s="874">
        <f t="shared" si="2"/>
        <v>0</v>
      </c>
      <c r="W35" s="874">
        <f t="shared" si="3"/>
        <v>0</v>
      </c>
      <c r="X35" s="874">
        <f t="shared" si="4"/>
        <v>0</v>
      </c>
      <c r="Y35" s="873">
        <f t="shared" si="5"/>
        <v>0</v>
      </c>
    </row>
    <row r="36" spans="1:25" x14ac:dyDescent="0.2">
      <c r="A36" s="905" t="s">
        <v>416</v>
      </c>
      <c r="B36" s="1003" t="s">
        <v>1205</v>
      </c>
      <c r="C36" s="873"/>
      <c r="D36" s="873"/>
      <c r="E36" s="873"/>
      <c r="F36" s="873"/>
      <c r="G36" s="873"/>
      <c r="H36" s="873"/>
      <c r="I36" s="873"/>
      <c r="J36" s="873"/>
      <c r="K36" s="873"/>
      <c r="L36" s="873"/>
      <c r="M36" s="873"/>
      <c r="N36" s="873"/>
      <c r="O36" s="302">
        <f t="shared" si="0"/>
        <v>0</v>
      </c>
      <c r="P36" s="302"/>
      <c r="Q36" s="875"/>
      <c r="R36" s="876" t="s">
        <v>407</v>
      </c>
      <c r="S36" s="875"/>
      <c r="T36" s="302"/>
      <c r="U36" s="874">
        <f t="shared" si="1"/>
        <v>0</v>
      </c>
      <c r="V36" s="874">
        <f t="shared" si="2"/>
        <v>0</v>
      </c>
      <c r="W36" s="874">
        <f t="shared" si="3"/>
        <v>0</v>
      </c>
      <c r="X36" s="874">
        <f t="shared" si="4"/>
        <v>0</v>
      </c>
      <c r="Y36" s="873">
        <f t="shared" si="5"/>
        <v>0</v>
      </c>
    </row>
    <row r="37" spans="1:25" ht="6" customHeight="1" x14ac:dyDescent="0.2">
      <c r="A37" s="905"/>
      <c r="C37" s="873"/>
      <c r="D37" s="873"/>
      <c r="E37" s="873"/>
      <c r="F37" s="873"/>
      <c r="G37" s="873"/>
      <c r="H37" s="873"/>
      <c r="I37" s="873"/>
      <c r="J37" s="873"/>
      <c r="K37" s="873"/>
      <c r="L37" s="873"/>
      <c r="M37" s="873"/>
      <c r="N37" s="873"/>
      <c r="O37" s="302"/>
      <c r="P37" s="302"/>
      <c r="Q37" s="875"/>
      <c r="R37" s="876"/>
      <c r="S37" s="875"/>
      <c r="T37" s="302"/>
      <c r="U37" s="874"/>
      <c r="V37" s="874"/>
      <c r="W37" s="874"/>
      <c r="X37" s="874"/>
      <c r="Y37" s="873"/>
    </row>
    <row r="38" spans="1:25" x14ac:dyDescent="0.2">
      <c r="A38" s="905" t="s">
        <v>1047</v>
      </c>
      <c r="C38" s="128">
        <v>0</v>
      </c>
      <c r="D38" s="128">
        <v>0</v>
      </c>
      <c r="E38" s="128">
        <v>0</v>
      </c>
      <c r="F38" s="128">
        <v>0</v>
      </c>
      <c r="G38" s="128">
        <v>0</v>
      </c>
      <c r="H38" s="128">
        <v>0</v>
      </c>
      <c r="I38" s="128">
        <v>0</v>
      </c>
      <c r="J38" s="128">
        <v>0</v>
      </c>
      <c r="K38" s="128">
        <v>0</v>
      </c>
      <c r="L38" s="128">
        <v>0</v>
      </c>
      <c r="M38" s="128">
        <v>0</v>
      </c>
      <c r="N38" s="128">
        <v>0</v>
      </c>
      <c r="O38" s="129">
        <f>SUM(C38:N38)</f>
        <v>0</v>
      </c>
      <c r="P38" s="129"/>
      <c r="Q38" s="875"/>
      <c r="R38" s="877" t="s">
        <v>424</v>
      </c>
      <c r="S38" s="875"/>
      <c r="T38" s="129"/>
      <c r="U38" s="874">
        <f t="shared" si="1"/>
        <v>0</v>
      </c>
      <c r="V38" s="874">
        <f t="shared" si="2"/>
        <v>0</v>
      </c>
      <c r="W38" s="874">
        <f t="shared" si="3"/>
        <v>0</v>
      </c>
      <c r="X38" s="874">
        <f t="shared" si="4"/>
        <v>0</v>
      </c>
      <c r="Y38" s="873">
        <f t="shared" si="5"/>
        <v>0</v>
      </c>
    </row>
    <row r="39" spans="1:25" x14ac:dyDescent="0.2">
      <c r="A39" s="905" t="s">
        <v>1048</v>
      </c>
      <c r="C39" s="878">
        <v>0</v>
      </c>
      <c r="D39" s="878">
        <v>0</v>
      </c>
      <c r="E39" s="878">
        <v>0</v>
      </c>
      <c r="F39" s="878">
        <v>0</v>
      </c>
      <c r="G39" s="878">
        <v>0</v>
      </c>
      <c r="H39" s="878">
        <v>0</v>
      </c>
      <c r="I39" s="878">
        <v>0</v>
      </c>
      <c r="J39" s="878">
        <v>0</v>
      </c>
      <c r="K39" s="878">
        <v>0</v>
      </c>
      <c r="L39" s="878">
        <v>0</v>
      </c>
      <c r="M39" s="878">
        <v>0</v>
      </c>
      <c r="N39" s="878">
        <v>0</v>
      </c>
      <c r="O39" s="129">
        <f>SUM(C39:N39)</f>
        <v>0</v>
      </c>
      <c r="P39" s="129"/>
      <c r="Q39" s="875"/>
      <c r="R39" s="877" t="s">
        <v>424</v>
      </c>
      <c r="S39" s="875"/>
      <c r="T39" s="129"/>
      <c r="U39" s="874">
        <f>C39+D39+E39</f>
        <v>0</v>
      </c>
      <c r="V39" s="874">
        <f>F39+G39+H39</f>
        <v>0</v>
      </c>
      <c r="W39" s="874">
        <f>I39+J39+K39</f>
        <v>0</v>
      </c>
      <c r="X39" s="874">
        <f>L39+M39+N39</f>
        <v>0</v>
      </c>
      <c r="Y39" s="873">
        <f>SUM(U39:X39)</f>
        <v>0</v>
      </c>
    </row>
    <row r="40" spans="1:25" x14ac:dyDescent="0.2">
      <c r="A40" s="905" t="s">
        <v>1049</v>
      </c>
      <c r="C40" s="878">
        <v>0</v>
      </c>
      <c r="D40" s="878">
        <v>0</v>
      </c>
      <c r="E40" s="878">
        <v>0</v>
      </c>
      <c r="F40" s="878">
        <v>0</v>
      </c>
      <c r="G40" s="878">
        <v>0</v>
      </c>
      <c r="H40" s="878">
        <v>0</v>
      </c>
      <c r="I40" s="878">
        <v>0</v>
      </c>
      <c r="J40" s="878">
        <v>0</v>
      </c>
      <c r="K40" s="878">
        <v>0</v>
      </c>
      <c r="L40" s="878">
        <v>0</v>
      </c>
      <c r="M40" s="878">
        <v>0</v>
      </c>
      <c r="N40" s="878">
        <v>0</v>
      </c>
      <c r="O40" s="129">
        <f>SUM(C40:N40)</f>
        <v>0</v>
      </c>
      <c r="P40" s="129"/>
      <c r="Q40" s="875"/>
      <c r="R40" s="877" t="s">
        <v>424</v>
      </c>
      <c r="S40" s="875"/>
      <c r="T40" s="129"/>
      <c r="U40" s="874">
        <f>C40+D40+E40</f>
        <v>0</v>
      </c>
      <c r="V40" s="874">
        <f>F40+G40+H40</f>
        <v>0</v>
      </c>
      <c r="W40" s="874">
        <f>I40+J40+K40</f>
        <v>0</v>
      </c>
      <c r="X40" s="874">
        <f>L40+M40+N40</f>
        <v>0</v>
      </c>
      <c r="Y40" s="873">
        <f>SUM(U40:X40)</f>
        <v>0</v>
      </c>
    </row>
    <row r="41" spans="1:25" x14ac:dyDescent="0.2">
      <c r="A41" s="905" t="s">
        <v>1050</v>
      </c>
      <c r="C41" s="878">
        <v>0</v>
      </c>
      <c r="D41" s="878">
        <v>0</v>
      </c>
      <c r="E41" s="878">
        <v>0</v>
      </c>
      <c r="F41" s="878">
        <v>0</v>
      </c>
      <c r="G41" s="878">
        <v>0</v>
      </c>
      <c r="H41" s="878">
        <v>0</v>
      </c>
      <c r="I41" s="878">
        <v>0</v>
      </c>
      <c r="J41" s="878">
        <v>0</v>
      </c>
      <c r="K41" s="878">
        <v>0</v>
      </c>
      <c r="L41" s="878">
        <v>0</v>
      </c>
      <c r="M41" s="878">
        <v>0</v>
      </c>
      <c r="N41" s="878">
        <v>0</v>
      </c>
      <c r="O41" s="129">
        <f>SUM(C41:N41)</f>
        <v>0</v>
      </c>
      <c r="P41" s="129"/>
      <c r="Q41" s="875"/>
      <c r="R41" s="877" t="s">
        <v>424</v>
      </c>
      <c r="S41" s="875"/>
      <c r="T41" s="129"/>
      <c r="U41" s="874">
        <f>C41+D41+E41</f>
        <v>0</v>
      </c>
      <c r="V41" s="874">
        <f>F41+G41+H41</f>
        <v>0</v>
      </c>
      <c r="W41" s="874">
        <f>I41+J41+K41</f>
        <v>0</v>
      </c>
      <c r="X41" s="874">
        <f>L41+M41+N41</f>
        <v>0</v>
      </c>
      <c r="Y41" s="873">
        <f>SUM(U41:X41)</f>
        <v>0</v>
      </c>
    </row>
    <row r="42" spans="1:25" ht="6" customHeight="1" x14ac:dyDescent="0.2">
      <c r="A42" s="905"/>
      <c r="C42" s="873"/>
      <c r="D42" s="873"/>
      <c r="E42" s="873"/>
      <c r="F42" s="873"/>
      <c r="G42" s="873"/>
      <c r="H42" s="873"/>
      <c r="I42" s="873"/>
      <c r="J42" s="873"/>
      <c r="K42" s="873"/>
      <c r="L42" s="873"/>
      <c r="M42" s="873"/>
      <c r="N42" s="873"/>
      <c r="O42" s="874"/>
      <c r="P42" s="874"/>
      <c r="Q42" s="875"/>
      <c r="R42" s="877"/>
      <c r="S42" s="875"/>
      <c r="T42" s="874"/>
      <c r="U42" s="874"/>
      <c r="V42" s="874"/>
      <c r="W42" s="874"/>
      <c r="X42" s="874"/>
      <c r="Y42" s="873"/>
    </row>
    <row r="43" spans="1:25" ht="12.75" customHeight="1" x14ac:dyDescent="0.2">
      <c r="A43" s="905" t="s">
        <v>560</v>
      </c>
      <c r="C43" s="303">
        <f>580-28</f>
        <v>552</v>
      </c>
      <c r="D43" s="303">
        <f>580-28</f>
        <v>552</v>
      </c>
      <c r="E43" s="303">
        <f>580-28</f>
        <v>552</v>
      </c>
      <c r="F43" s="303">
        <f>580-28</f>
        <v>552</v>
      </c>
      <c r="G43" s="303">
        <f>580-28</f>
        <v>552</v>
      </c>
      <c r="H43" s="303">
        <v>552</v>
      </c>
      <c r="I43" s="303">
        <v>552</v>
      </c>
      <c r="J43" s="303">
        <v>552</v>
      </c>
      <c r="K43" s="303">
        <v>552</v>
      </c>
      <c r="L43" s="303">
        <v>552</v>
      </c>
      <c r="M43" s="303">
        <v>552</v>
      </c>
      <c r="N43" s="303">
        <v>552</v>
      </c>
      <c r="O43" s="874">
        <f>C43+D43+E43+F43+G43+H43+I43+J43+K43+L43+M43+N43</f>
        <v>6624</v>
      </c>
      <c r="P43" s="874"/>
      <c r="Q43" s="875"/>
      <c r="R43" s="876" t="s">
        <v>407</v>
      </c>
      <c r="S43" s="875"/>
      <c r="T43" s="874"/>
      <c r="U43" s="874">
        <f>C43+D43+E43</f>
        <v>1656</v>
      </c>
      <c r="V43" s="874">
        <f>F43+G43+H43</f>
        <v>1656</v>
      </c>
      <c r="W43" s="874">
        <f>I43+J43+K43</f>
        <v>1656</v>
      </c>
      <c r="X43" s="874">
        <f>L43+M43+N43</f>
        <v>1656</v>
      </c>
      <c r="Y43" s="873">
        <f>SUM(U43:X43)</f>
        <v>6624</v>
      </c>
    </row>
    <row r="44" spans="1:25" ht="12.75" customHeight="1" x14ac:dyDescent="0.2">
      <c r="A44" s="905" t="s">
        <v>428</v>
      </c>
      <c r="C44" s="303">
        <v>0</v>
      </c>
      <c r="D44" s="303">
        <v>0</v>
      </c>
      <c r="E44" s="303">
        <v>0</v>
      </c>
      <c r="F44" s="303">
        <v>0</v>
      </c>
      <c r="G44" s="303">
        <v>0</v>
      </c>
      <c r="H44" s="303">
        <v>0</v>
      </c>
      <c r="I44" s="303">
        <v>0</v>
      </c>
      <c r="J44" s="303">
        <v>0</v>
      </c>
      <c r="K44" s="303">
        <v>0</v>
      </c>
      <c r="L44" s="303">
        <v>0</v>
      </c>
      <c r="M44" s="303">
        <v>0</v>
      </c>
      <c r="N44" s="303">
        <v>0</v>
      </c>
      <c r="O44" s="302">
        <f>SUM(C44:N44)</f>
        <v>0</v>
      </c>
      <c r="P44" s="302"/>
      <c r="Q44" s="875"/>
      <c r="R44" s="876" t="s">
        <v>407</v>
      </c>
      <c r="S44" s="875"/>
      <c r="T44" s="302"/>
      <c r="U44" s="874">
        <f>C44+D44+E44</f>
        <v>0</v>
      </c>
      <c r="V44" s="874">
        <f>F44+G44+H44</f>
        <v>0</v>
      </c>
      <c r="W44" s="874">
        <f>I44+J44+K44</f>
        <v>0</v>
      </c>
      <c r="X44" s="874">
        <f>L44+M44+N44</f>
        <v>0</v>
      </c>
      <c r="Y44" s="873">
        <f>SUM(U44:X44)</f>
        <v>0</v>
      </c>
    </row>
    <row r="45" spans="1:25" ht="12.75" customHeight="1" x14ac:dyDescent="0.2">
      <c r="A45" s="905" t="s">
        <v>1220</v>
      </c>
      <c r="C45" s="640">
        <f>-1012-150</f>
        <v>-1162</v>
      </c>
      <c r="D45" s="640">
        <f>-1012-150</f>
        <v>-1162</v>
      </c>
      <c r="E45" s="640">
        <f>-1012-150</f>
        <v>-1162</v>
      </c>
      <c r="F45" s="640">
        <f>-281-150</f>
        <v>-431</v>
      </c>
      <c r="G45" s="640">
        <f>-281-150</f>
        <v>-431</v>
      </c>
      <c r="H45" s="580">
        <v>-50</v>
      </c>
      <c r="I45" s="580">
        <v>-50</v>
      </c>
      <c r="J45" s="580">
        <v>-50</v>
      </c>
      <c r="K45" s="640">
        <f>-281-50</f>
        <v>-331</v>
      </c>
      <c r="L45" s="640">
        <f>-281-50</f>
        <v>-331</v>
      </c>
      <c r="M45" s="640">
        <f>-281-50</f>
        <v>-331</v>
      </c>
      <c r="N45" s="640">
        <f>-1012-150</f>
        <v>-1162</v>
      </c>
      <c r="O45" s="579">
        <f>SUM(C45:N45)</f>
        <v>-6653</v>
      </c>
      <c r="P45" s="579"/>
      <c r="Q45" s="875"/>
      <c r="R45" s="876" t="s">
        <v>1096</v>
      </c>
      <c r="S45" s="875"/>
      <c r="T45" s="579"/>
      <c r="U45" s="874">
        <f>C45+D45+E45</f>
        <v>-3486</v>
      </c>
      <c r="V45" s="874">
        <f>F45+G45+H45</f>
        <v>-912</v>
      </c>
      <c r="W45" s="874">
        <f>I45+J45+K45</f>
        <v>-431</v>
      </c>
      <c r="X45" s="874">
        <f>L45+M45+N45</f>
        <v>-1824</v>
      </c>
      <c r="Y45" s="873">
        <f>SUM(U45:X45)</f>
        <v>-6653</v>
      </c>
    </row>
    <row r="46" spans="1:25" ht="12.75" customHeight="1" x14ac:dyDescent="0.2">
      <c r="A46" s="905" t="s">
        <v>427</v>
      </c>
      <c r="C46" s="938">
        <f>+C47-SUM(C43:C45)</f>
        <v>610</v>
      </c>
      <c r="D46" s="938">
        <f t="shared" ref="D46:N46" si="6">+D47-SUM(D43:D45)</f>
        <v>610</v>
      </c>
      <c r="E46" s="938">
        <f t="shared" si="6"/>
        <v>610</v>
      </c>
      <c r="F46" s="938">
        <f t="shared" si="6"/>
        <v>-121</v>
      </c>
      <c r="G46" s="938">
        <f t="shared" si="6"/>
        <v>-121</v>
      </c>
      <c r="H46" s="938">
        <f t="shared" si="6"/>
        <v>-502</v>
      </c>
      <c r="I46" s="938">
        <f t="shared" si="6"/>
        <v>-502</v>
      </c>
      <c r="J46" s="938">
        <f t="shared" si="6"/>
        <v>-502</v>
      </c>
      <c r="K46" s="938">
        <f t="shared" si="6"/>
        <v>-221</v>
      </c>
      <c r="L46" s="938">
        <f t="shared" si="6"/>
        <v>-221</v>
      </c>
      <c r="M46" s="938">
        <f t="shared" si="6"/>
        <v>-221</v>
      </c>
      <c r="N46" s="938">
        <f t="shared" si="6"/>
        <v>610</v>
      </c>
      <c r="O46" s="304">
        <f>SUM(C46:N46)</f>
        <v>29</v>
      </c>
      <c r="P46" s="304"/>
      <c r="Q46" s="952"/>
      <c r="R46" s="876" t="s">
        <v>1096</v>
      </c>
      <c r="S46" s="952"/>
      <c r="T46" s="304"/>
      <c r="U46" s="919">
        <f>C46+D46+E46</f>
        <v>1830</v>
      </c>
      <c r="V46" s="919">
        <f>F46+G46+H46</f>
        <v>-744</v>
      </c>
      <c r="W46" s="919">
        <f>I46+J46+K46</f>
        <v>-1225</v>
      </c>
      <c r="X46" s="919">
        <f>L46+M46+N46</f>
        <v>168</v>
      </c>
      <c r="Y46" s="920">
        <f>SUM(U46:X46)</f>
        <v>29</v>
      </c>
    </row>
    <row r="47" spans="1:25" ht="12.75" customHeight="1" x14ac:dyDescent="0.2">
      <c r="A47" s="907" t="s">
        <v>562</v>
      </c>
      <c r="C47" s="878">
        <v>0</v>
      </c>
      <c r="D47" s="878">
        <v>0</v>
      </c>
      <c r="E47" s="878">
        <v>0</v>
      </c>
      <c r="F47" s="878">
        <v>0</v>
      </c>
      <c r="G47" s="878">
        <v>0</v>
      </c>
      <c r="H47" s="878">
        <v>0</v>
      </c>
      <c r="I47" s="878">
        <v>0</v>
      </c>
      <c r="J47" s="878">
        <v>0</v>
      </c>
      <c r="K47" s="878">
        <v>0</v>
      </c>
      <c r="L47" s="878">
        <v>0</v>
      </c>
      <c r="M47" s="878">
        <v>0</v>
      </c>
      <c r="N47" s="878">
        <v>0</v>
      </c>
      <c r="O47" s="302">
        <f>SUM(C47:N47)</f>
        <v>0</v>
      </c>
      <c r="P47" s="302"/>
      <c r="Q47" s="875"/>
      <c r="R47" s="877"/>
      <c r="S47" s="875"/>
      <c r="T47" s="302"/>
      <c r="U47" s="874">
        <f>C47+D47+E47</f>
        <v>0</v>
      </c>
      <c r="V47" s="874">
        <f>F47+G47+H47</f>
        <v>0</v>
      </c>
      <c r="W47" s="874">
        <f>I47+J47+K47</f>
        <v>0</v>
      </c>
      <c r="X47" s="874">
        <f>L47+M47+N47</f>
        <v>0</v>
      </c>
      <c r="Y47" s="873">
        <f>SUM(U47:X47)</f>
        <v>0</v>
      </c>
    </row>
    <row r="48" spans="1:25" ht="6" customHeight="1" x14ac:dyDescent="0.2">
      <c r="A48" s="905"/>
      <c r="C48" s="873"/>
      <c r="D48" s="873"/>
      <c r="E48" s="873"/>
      <c r="F48" s="873"/>
      <c r="G48" s="873"/>
      <c r="H48" s="873"/>
      <c r="I48" s="873"/>
      <c r="J48" s="873"/>
      <c r="K48" s="873"/>
      <c r="L48" s="873"/>
      <c r="M48" s="873"/>
      <c r="N48" s="873"/>
      <c r="O48" s="874"/>
      <c r="P48" s="874"/>
      <c r="Q48" s="875"/>
      <c r="R48" s="877"/>
      <c r="S48" s="875"/>
      <c r="T48" s="874"/>
      <c r="U48" s="874"/>
      <c r="V48" s="874"/>
      <c r="W48" s="874"/>
      <c r="X48" s="874"/>
      <c r="Y48" s="873"/>
    </row>
    <row r="49" spans="1:25" ht="12.75" customHeight="1" x14ac:dyDescent="0.2">
      <c r="A49" s="905" t="s">
        <v>561</v>
      </c>
      <c r="C49" s="303">
        <v>34</v>
      </c>
      <c r="D49" s="303">
        <v>34</v>
      </c>
      <c r="E49" s="303">
        <v>34</v>
      </c>
      <c r="F49" s="303">
        <v>0</v>
      </c>
      <c r="G49" s="303">
        <v>0</v>
      </c>
      <c r="H49" s="303">
        <v>0</v>
      </c>
      <c r="I49" s="303">
        <v>0</v>
      </c>
      <c r="J49" s="303">
        <v>0</v>
      </c>
      <c r="K49" s="303">
        <v>0</v>
      </c>
      <c r="L49" s="303">
        <v>0</v>
      </c>
      <c r="M49" s="303">
        <v>34</v>
      </c>
      <c r="N49" s="303">
        <v>34</v>
      </c>
      <c r="O49" s="874">
        <f>C49+D49+E49+F49+G49+H49+I49+J49+K49+L49+M49+N49</f>
        <v>170</v>
      </c>
      <c r="P49" s="874"/>
      <c r="Q49" s="875"/>
      <c r="R49" s="876" t="s">
        <v>407</v>
      </c>
      <c r="S49" s="875"/>
      <c r="T49" s="874"/>
      <c r="U49" s="874">
        <f>C49+D49+E49</f>
        <v>102</v>
      </c>
      <c r="V49" s="874">
        <f>F49+G49+H49</f>
        <v>0</v>
      </c>
      <c r="W49" s="874">
        <f>I49+J49+K49</f>
        <v>0</v>
      </c>
      <c r="X49" s="874">
        <f>L49+M49+N49</f>
        <v>68</v>
      </c>
      <c r="Y49" s="873">
        <f>SUM(U49:X49)</f>
        <v>170</v>
      </c>
    </row>
    <row r="50" spans="1:25" ht="12.75" customHeight="1" x14ac:dyDescent="0.2">
      <c r="A50" s="905" t="s">
        <v>428</v>
      </c>
      <c r="C50" s="303">
        <v>219</v>
      </c>
      <c r="D50" s="303">
        <v>175</v>
      </c>
      <c r="E50" s="303">
        <v>132</v>
      </c>
      <c r="F50" s="303">
        <v>0</v>
      </c>
      <c r="G50" s="303">
        <v>0</v>
      </c>
      <c r="H50" s="303">
        <v>0</v>
      </c>
      <c r="I50" s="303">
        <v>0</v>
      </c>
      <c r="J50" s="303">
        <v>0</v>
      </c>
      <c r="K50" s="303">
        <v>0</v>
      </c>
      <c r="L50" s="303">
        <v>0</v>
      </c>
      <c r="M50" s="303">
        <v>132</v>
      </c>
      <c r="N50" s="303">
        <v>219</v>
      </c>
      <c r="O50" s="913">
        <f>SUM(C50:N50)</f>
        <v>877</v>
      </c>
      <c r="P50" s="913"/>
      <c r="Q50" s="875"/>
      <c r="R50" s="876" t="s">
        <v>407</v>
      </c>
      <c r="S50" s="875"/>
      <c r="T50" s="913"/>
      <c r="U50" s="874">
        <f>C50+D50+E50</f>
        <v>526</v>
      </c>
      <c r="V50" s="874">
        <f>F50+G50+H50</f>
        <v>0</v>
      </c>
      <c r="W50" s="874">
        <f>I50+J50+K50</f>
        <v>0</v>
      </c>
      <c r="X50" s="874">
        <f>L50+M50+N50</f>
        <v>351</v>
      </c>
      <c r="Y50" s="873">
        <f>SUM(U50:X50)</f>
        <v>877</v>
      </c>
    </row>
    <row r="51" spans="1:25" ht="12.75" customHeight="1" x14ac:dyDescent="0.2">
      <c r="A51" s="905" t="s">
        <v>429</v>
      </c>
      <c r="B51" s="1003" t="s">
        <v>1221</v>
      </c>
      <c r="C51" s="68">
        <v>0</v>
      </c>
      <c r="D51" s="68">
        <v>0</v>
      </c>
      <c r="E51" s="68">
        <v>0</v>
      </c>
      <c r="F51" s="68">
        <v>0</v>
      </c>
      <c r="G51" s="661">
        <v>-1826</v>
      </c>
      <c r="H51" s="68">
        <v>0</v>
      </c>
      <c r="I51" s="68">
        <v>0</v>
      </c>
      <c r="J51" s="68">
        <v>0</v>
      </c>
      <c r="K51" s="68">
        <v>0</v>
      </c>
      <c r="L51" s="68">
        <v>0</v>
      </c>
      <c r="M51" s="68">
        <v>0</v>
      </c>
      <c r="N51" s="68">
        <v>0</v>
      </c>
      <c r="O51" s="69">
        <f>SUM(C51:N51)</f>
        <v>-1826</v>
      </c>
      <c r="P51" s="69"/>
      <c r="Q51" s="875"/>
      <c r="R51" s="876" t="s">
        <v>1096</v>
      </c>
      <c r="S51" s="875"/>
      <c r="T51" s="69"/>
      <c r="U51" s="874">
        <f>C51+D51+E51</f>
        <v>0</v>
      </c>
      <c r="V51" s="874">
        <f>F51+G51+H51</f>
        <v>-1826</v>
      </c>
      <c r="W51" s="874">
        <f>I51+J51+K51</f>
        <v>0</v>
      </c>
      <c r="X51" s="874">
        <f>L51+M51+N51</f>
        <v>0</v>
      </c>
      <c r="Y51" s="873">
        <f>SUM(U51:X51)</f>
        <v>-1826</v>
      </c>
    </row>
    <row r="52" spans="1:25" ht="12.75" customHeight="1" x14ac:dyDescent="0.2">
      <c r="A52" s="905" t="s">
        <v>427</v>
      </c>
      <c r="C52" s="938">
        <f t="shared" ref="C52:N52" si="7">+C53-SUM(C49:C51)</f>
        <v>-253</v>
      </c>
      <c r="D52" s="938">
        <f t="shared" si="7"/>
        <v>-209</v>
      </c>
      <c r="E52" s="938">
        <f t="shared" si="7"/>
        <v>-166</v>
      </c>
      <c r="F52" s="938">
        <f t="shared" si="7"/>
        <v>0</v>
      </c>
      <c r="G52" s="938">
        <f t="shared" si="7"/>
        <v>1826</v>
      </c>
      <c r="H52" s="938">
        <f t="shared" si="7"/>
        <v>0</v>
      </c>
      <c r="I52" s="938">
        <f t="shared" si="7"/>
        <v>0</v>
      </c>
      <c r="J52" s="938">
        <f t="shared" si="7"/>
        <v>0</v>
      </c>
      <c r="K52" s="938">
        <f t="shared" si="7"/>
        <v>0</v>
      </c>
      <c r="L52" s="938">
        <f t="shared" si="7"/>
        <v>0</v>
      </c>
      <c r="M52" s="938">
        <f t="shared" si="7"/>
        <v>-166</v>
      </c>
      <c r="N52" s="879">
        <f t="shared" si="7"/>
        <v>-253</v>
      </c>
      <c r="O52" s="542">
        <f>SUM(C52:N52)</f>
        <v>779</v>
      </c>
      <c r="P52" s="542"/>
      <c r="Q52" s="875"/>
      <c r="R52" s="876" t="s">
        <v>1096</v>
      </c>
      <c r="S52" s="875"/>
      <c r="T52" s="542"/>
      <c r="U52" s="919">
        <f>C52+D52+E52</f>
        <v>-628</v>
      </c>
      <c r="V52" s="919">
        <f>F52+G52+H52</f>
        <v>1826</v>
      </c>
      <c r="W52" s="919">
        <f>I52+J52+K52</f>
        <v>0</v>
      </c>
      <c r="X52" s="919">
        <f>L52+M52+N52</f>
        <v>-419</v>
      </c>
      <c r="Y52" s="920">
        <f>SUM(U52:X52)</f>
        <v>779</v>
      </c>
    </row>
    <row r="53" spans="1:25" ht="12.75" customHeight="1" x14ac:dyDescent="0.2">
      <c r="A53" s="907" t="s">
        <v>564</v>
      </c>
      <c r="C53" s="878">
        <v>0</v>
      </c>
      <c r="D53" s="878">
        <v>0</v>
      </c>
      <c r="E53" s="878">
        <v>0</v>
      </c>
      <c r="F53" s="878">
        <v>0</v>
      </c>
      <c r="G53" s="878">
        <v>0</v>
      </c>
      <c r="H53" s="878">
        <v>0</v>
      </c>
      <c r="I53" s="878">
        <v>0</v>
      </c>
      <c r="J53" s="878">
        <v>0</v>
      </c>
      <c r="K53" s="878">
        <v>0</v>
      </c>
      <c r="L53" s="878">
        <v>0</v>
      </c>
      <c r="M53" s="878">
        <v>0</v>
      </c>
      <c r="N53" s="878">
        <v>0</v>
      </c>
      <c r="O53" s="913">
        <f>SUM(C53:N53)</f>
        <v>0</v>
      </c>
      <c r="P53" s="913"/>
      <c r="Q53" s="875"/>
      <c r="R53" s="877"/>
      <c r="S53" s="875"/>
      <c r="T53" s="913"/>
      <c r="U53" s="874">
        <f>C53+D53+E53</f>
        <v>0</v>
      </c>
      <c r="V53" s="874">
        <f>F53+G53+H53</f>
        <v>0</v>
      </c>
      <c r="W53" s="874">
        <f>I53+J53+K53</f>
        <v>0</v>
      </c>
      <c r="X53" s="874">
        <f>L53+M53+N53</f>
        <v>0</v>
      </c>
      <c r="Y53" s="873">
        <f>SUM(U53:X53)</f>
        <v>0</v>
      </c>
    </row>
    <row r="54" spans="1:25" ht="6" customHeight="1" x14ac:dyDescent="0.2">
      <c r="A54" s="905"/>
      <c r="C54" s="873"/>
      <c r="D54" s="873"/>
      <c r="E54" s="873"/>
      <c r="F54" s="873"/>
      <c r="G54" s="873"/>
      <c r="H54" s="873"/>
      <c r="I54" s="873"/>
      <c r="J54" s="873"/>
      <c r="K54" s="873"/>
      <c r="L54" s="873"/>
      <c r="M54" s="873"/>
      <c r="N54" s="873"/>
      <c r="O54" s="874"/>
      <c r="P54" s="874"/>
      <c r="Q54" s="875"/>
      <c r="R54" s="877"/>
      <c r="S54" s="875"/>
      <c r="T54" s="874"/>
      <c r="U54" s="874"/>
      <c r="V54" s="874"/>
      <c r="W54" s="874"/>
      <c r="X54" s="874"/>
      <c r="Y54" s="873"/>
    </row>
    <row r="55" spans="1:25" x14ac:dyDescent="0.2">
      <c r="A55" s="905" t="s">
        <v>566</v>
      </c>
      <c r="C55" s="580">
        <v>175</v>
      </c>
      <c r="D55" s="580">
        <v>125</v>
      </c>
      <c r="E55" s="580">
        <v>100</v>
      </c>
      <c r="F55" s="580">
        <v>25</v>
      </c>
      <c r="G55" s="580">
        <v>25</v>
      </c>
      <c r="H55" s="580">
        <v>25</v>
      </c>
      <c r="I55" s="580">
        <v>25</v>
      </c>
      <c r="J55" s="580">
        <v>25</v>
      </c>
      <c r="K55" s="580">
        <v>25</v>
      </c>
      <c r="L55" s="580">
        <v>25</v>
      </c>
      <c r="M55" s="580">
        <v>75</v>
      </c>
      <c r="N55" s="580">
        <v>100</v>
      </c>
      <c r="O55" s="587">
        <f t="shared" ref="O55:O64" si="8">SUM(C55:N55)</f>
        <v>750</v>
      </c>
      <c r="P55" s="587"/>
      <c r="Q55" s="875"/>
      <c r="R55" s="876" t="s">
        <v>422</v>
      </c>
      <c r="S55" s="875"/>
      <c r="T55" s="587"/>
      <c r="U55" s="874">
        <f t="shared" ref="U55:U64" si="9">C55+D55+E55</f>
        <v>400</v>
      </c>
      <c r="V55" s="874">
        <f t="shared" ref="V55:V64" si="10">F55+G55+H55</f>
        <v>75</v>
      </c>
      <c r="W55" s="874">
        <f t="shared" ref="W55:W64" si="11">I55+J55+K55</f>
        <v>75</v>
      </c>
      <c r="X55" s="874">
        <f t="shared" ref="X55:X64" si="12">L55+M55+N55</f>
        <v>200</v>
      </c>
      <c r="Y55" s="873">
        <f t="shared" ref="Y55:Y64" si="13">SUM(U55:X55)</f>
        <v>750</v>
      </c>
    </row>
    <row r="56" spans="1:25" x14ac:dyDescent="0.2">
      <c r="A56" s="905" t="s">
        <v>232</v>
      </c>
      <c r="C56" s="580">
        <f>0</f>
        <v>0</v>
      </c>
      <c r="D56" s="580">
        <f>0</f>
        <v>0</v>
      </c>
      <c r="E56" s="580">
        <f>0</f>
        <v>0</v>
      </c>
      <c r="F56" s="580">
        <f>0</f>
        <v>0</v>
      </c>
      <c r="G56" s="580">
        <f>0</f>
        <v>0</v>
      </c>
      <c r="H56" s="580">
        <f>0</f>
        <v>0</v>
      </c>
      <c r="I56" s="580">
        <f>0</f>
        <v>0</v>
      </c>
      <c r="J56" s="580">
        <f>0</f>
        <v>0</v>
      </c>
      <c r="K56" s="580">
        <f>0</f>
        <v>0</v>
      </c>
      <c r="L56" s="580">
        <f>0</f>
        <v>0</v>
      </c>
      <c r="M56" s="580">
        <f>0</f>
        <v>0</v>
      </c>
      <c r="N56" s="580">
        <f>0</f>
        <v>0</v>
      </c>
      <c r="O56" s="587">
        <f t="shared" si="8"/>
        <v>0</v>
      </c>
      <c r="P56" s="587"/>
      <c r="Q56" s="875"/>
      <c r="R56" s="876" t="s">
        <v>422</v>
      </c>
      <c r="S56" s="875"/>
      <c r="T56" s="587"/>
      <c r="U56" s="874">
        <f t="shared" si="9"/>
        <v>0</v>
      </c>
      <c r="V56" s="874">
        <f t="shared" si="10"/>
        <v>0</v>
      </c>
      <c r="W56" s="874">
        <f t="shared" si="11"/>
        <v>0</v>
      </c>
      <c r="X56" s="874">
        <f t="shared" si="12"/>
        <v>0</v>
      </c>
      <c r="Y56" s="873">
        <f t="shared" si="13"/>
        <v>0</v>
      </c>
    </row>
    <row r="57" spans="1:25" x14ac:dyDescent="0.2">
      <c r="A57" s="905" t="s">
        <v>430</v>
      </c>
      <c r="C57" s="580">
        <v>0</v>
      </c>
      <c r="D57" s="580">
        <v>0</v>
      </c>
      <c r="E57" s="580">
        <v>0</v>
      </c>
      <c r="F57" s="580">
        <v>0</v>
      </c>
      <c r="G57" s="580">
        <v>0</v>
      </c>
      <c r="H57" s="580">
        <v>0</v>
      </c>
      <c r="I57" s="580">
        <v>0</v>
      </c>
      <c r="J57" s="580">
        <v>0</v>
      </c>
      <c r="K57" s="580">
        <v>0</v>
      </c>
      <c r="L57" s="580">
        <v>0</v>
      </c>
      <c r="M57" s="580">
        <v>0</v>
      </c>
      <c r="N57" s="580">
        <v>0</v>
      </c>
      <c r="O57" s="579">
        <f>SUM(C57:N57)</f>
        <v>0</v>
      </c>
      <c r="P57" s="579"/>
      <c r="Q57" s="875"/>
      <c r="R57" s="876" t="s">
        <v>422</v>
      </c>
      <c r="S57" s="875"/>
      <c r="T57" s="579"/>
      <c r="U57" s="874">
        <f t="shared" si="9"/>
        <v>0</v>
      </c>
      <c r="V57" s="874">
        <f t="shared" si="10"/>
        <v>0</v>
      </c>
      <c r="W57" s="874">
        <f t="shared" si="11"/>
        <v>0</v>
      </c>
      <c r="X57" s="874">
        <f t="shared" si="12"/>
        <v>0</v>
      </c>
      <c r="Y57" s="873">
        <f t="shared" si="13"/>
        <v>0</v>
      </c>
    </row>
    <row r="58" spans="1:25" x14ac:dyDescent="0.2">
      <c r="A58" s="905" t="s">
        <v>431</v>
      </c>
      <c r="C58" s="580">
        <v>0</v>
      </c>
      <c r="D58" s="580">
        <v>0</v>
      </c>
      <c r="E58" s="580">
        <v>0</v>
      </c>
      <c r="F58" s="580">
        <v>0</v>
      </c>
      <c r="G58" s="580">
        <v>0</v>
      </c>
      <c r="H58" s="580">
        <v>0</v>
      </c>
      <c r="I58" s="580">
        <v>0</v>
      </c>
      <c r="J58" s="580">
        <v>0</v>
      </c>
      <c r="K58" s="580">
        <v>0</v>
      </c>
      <c r="L58" s="580">
        <v>0</v>
      </c>
      <c r="M58" s="580">
        <v>0</v>
      </c>
      <c r="N58" s="580">
        <v>0</v>
      </c>
      <c r="O58" s="587">
        <f t="shared" si="8"/>
        <v>0</v>
      </c>
      <c r="P58" s="587"/>
      <c r="Q58" s="875"/>
      <c r="R58" s="876" t="s">
        <v>422</v>
      </c>
      <c r="S58" s="875"/>
      <c r="T58" s="587"/>
      <c r="U58" s="874">
        <f t="shared" si="9"/>
        <v>0</v>
      </c>
      <c r="V58" s="874">
        <f t="shared" si="10"/>
        <v>0</v>
      </c>
      <c r="W58" s="874">
        <f t="shared" si="11"/>
        <v>0</v>
      </c>
      <c r="X58" s="874">
        <f t="shared" si="12"/>
        <v>0</v>
      </c>
      <c r="Y58" s="873">
        <f t="shared" si="13"/>
        <v>0</v>
      </c>
    </row>
    <row r="59" spans="1:25" x14ac:dyDescent="0.2">
      <c r="A59" s="905" t="s">
        <v>432</v>
      </c>
      <c r="C59" s="580">
        <v>0</v>
      </c>
      <c r="D59" s="580">
        <v>0</v>
      </c>
      <c r="E59" s="580">
        <v>0</v>
      </c>
      <c r="F59" s="580">
        <v>0</v>
      </c>
      <c r="G59" s="580">
        <v>0</v>
      </c>
      <c r="H59" s="580">
        <v>0</v>
      </c>
      <c r="I59" s="580">
        <v>0</v>
      </c>
      <c r="J59" s="580">
        <v>0</v>
      </c>
      <c r="K59" s="580">
        <v>0</v>
      </c>
      <c r="L59" s="580">
        <v>0</v>
      </c>
      <c r="M59" s="580">
        <v>0</v>
      </c>
      <c r="N59" s="580">
        <v>0</v>
      </c>
      <c r="O59" s="587">
        <f t="shared" si="8"/>
        <v>0</v>
      </c>
      <c r="P59" s="587"/>
      <c r="Q59" s="875"/>
      <c r="R59" s="876" t="s">
        <v>422</v>
      </c>
      <c r="S59" s="875"/>
      <c r="T59" s="587"/>
      <c r="U59" s="874">
        <f t="shared" si="9"/>
        <v>0</v>
      </c>
      <c r="V59" s="874">
        <f t="shared" si="10"/>
        <v>0</v>
      </c>
      <c r="W59" s="874">
        <f t="shared" si="11"/>
        <v>0</v>
      </c>
      <c r="X59" s="874">
        <f t="shared" si="12"/>
        <v>0</v>
      </c>
      <c r="Y59" s="873">
        <f t="shared" si="13"/>
        <v>0</v>
      </c>
    </row>
    <row r="60" spans="1:25" x14ac:dyDescent="0.2">
      <c r="A60" s="905" t="s">
        <v>433</v>
      </c>
      <c r="C60" s="580">
        <f>0</f>
        <v>0</v>
      </c>
      <c r="D60" s="580">
        <f>0</f>
        <v>0</v>
      </c>
      <c r="E60" s="580">
        <f>0</f>
        <v>0</v>
      </c>
      <c r="F60" s="580">
        <f>0</f>
        <v>0</v>
      </c>
      <c r="G60" s="580">
        <f>0</f>
        <v>0</v>
      </c>
      <c r="H60" s="580">
        <f>0</f>
        <v>0</v>
      </c>
      <c r="I60" s="580">
        <f>0</f>
        <v>0</v>
      </c>
      <c r="J60" s="580">
        <f>0</f>
        <v>0</v>
      </c>
      <c r="K60" s="580">
        <f>0</f>
        <v>0</v>
      </c>
      <c r="L60" s="580">
        <f>0</f>
        <v>0</v>
      </c>
      <c r="M60" s="580">
        <f>0</f>
        <v>0</v>
      </c>
      <c r="N60" s="580">
        <f>0</f>
        <v>0</v>
      </c>
      <c r="O60" s="587">
        <f t="shared" si="8"/>
        <v>0</v>
      </c>
      <c r="P60" s="587"/>
      <c r="Q60" s="875"/>
      <c r="R60" s="876" t="s">
        <v>422</v>
      </c>
      <c r="S60" s="875"/>
      <c r="T60" s="587"/>
      <c r="U60" s="874">
        <f t="shared" si="9"/>
        <v>0</v>
      </c>
      <c r="V60" s="874">
        <f t="shared" si="10"/>
        <v>0</v>
      </c>
      <c r="W60" s="874">
        <f t="shared" si="11"/>
        <v>0</v>
      </c>
      <c r="X60" s="874">
        <f t="shared" si="12"/>
        <v>0</v>
      </c>
      <c r="Y60" s="873">
        <f t="shared" si="13"/>
        <v>0</v>
      </c>
    </row>
    <row r="61" spans="1:25" x14ac:dyDescent="0.2">
      <c r="A61" s="905" t="s">
        <v>434</v>
      </c>
      <c r="C61" s="142">
        <v>0</v>
      </c>
      <c r="D61" s="142">
        <v>0</v>
      </c>
      <c r="E61" s="142">
        <v>0</v>
      </c>
      <c r="F61" s="142">
        <v>0</v>
      </c>
      <c r="G61" s="142">
        <v>0</v>
      </c>
      <c r="H61" s="142">
        <v>0</v>
      </c>
      <c r="I61" s="142">
        <v>0</v>
      </c>
      <c r="J61" s="142">
        <v>0</v>
      </c>
      <c r="K61" s="142">
        <v>0</v>
      </c>
      <c r="L61" s="142">
        <v>0</v>
      </c>
      <c r="M61" s="142">
        <v>0</v>
      </c>
      <c r="N61" s="142">
        <v>0</v>
      </c>
      <c r="O61" s="143">
        <f>SUM(C61:N61)</f>
        <v>0</v>
      </c>
      <c r="P61" s="143"/>
      <c r="Q61" s="875"/>
      <c r="R61" s="876" t="s">
        <v>422</v>
      </c>
      <c r="S61" s="875"/>
      <c r="T61" s="143"/>
      <c r="U61" s="874">
        <f t="shared" si="9"/>
        <v>0</v>
      </c>
      <c r="V61" s="874">
        <f t="shared" si="10"/>
        <v>0</v>
      </c>
      <c r="W61" s="874">
        <f t="shared" si="11"/>
        <v>0</v>
      </c>
      <c r="X61" s="874">
        <f t="shared" si="12"/>
        <v>0</v>
      </c>
      <c r="Y61" s="873">
        <f t="shared" si="13"/>
        <v>0</v>
      </c>
    </row>
    <row r="62" spans="1:25" x14ac:dyDescent="0.2">
      <c r="A62" s="905" t="s">
        <v>492</v>
      </c>
      <c r="C62" s="580">
        <v>33</v>
      </c>
      <c r="D62" s="580">
        <v>33</v>
      </c>
      <c r="E62" s="580">
        <v>34</v>
      </c>
      <c r="F62" s="580">
        <v>33</v>
      </c>
      <c r="G62" s="580">
        <v>33</v>
      </c>
      <c r="H62" s="580">
        <v>34</v>
      </c>
      <c r="I62" s="580">
        <v>33</v>
      </c>
      <c r="J62" s="580">
        <v>33</v>
      </c>
      <c r="K62" s="580">
        <v>34</v>
      </c>
      <c r="L62" s="580">
        <v>33</v>
      </c>
      <c r="M62" s="580">
        <v>33</v>
      </c>
      <c r="N62" s="580">
        <v>34</v>
      </c>
      <c r="O62" s="579">
        <f t="shared" si="8"/>
        <v>400</v>
      </c>
      <c r="P62" s="579"/>
      <c r="Q62" s="875"/>
      <c r="R62" s="876" t="s">
        <v>422</v>
      </c>
      <c r="S62" s="875"/>
      <c r="T62" s="579"/>
      <c r="U62" s="874">
        <f t="shared" si="9"/>
        <v>100</v>
      </c>
      <c r="V62" s="874">
        <f t="shared" si="10"/>
        <v>100</v>
      </c>
      <c r="W62" s="874">
        <f t="shared" si="11"/>
        <v>100</v>
      </c>
      <c r="X62" s="874">
        <f t="shared" si="12"/>
        <v>100</v>
      </c>
      <c r="Y62" s="873">
        <f t="shared" si="13"/>
        <v>400</v>
      </c>
    </row>
    <row r="63" spans="1:25" x14ac:dyDescent="0.2">
      <c r="A63" s="905" t="s">
        <v>417</v>
      </c>
      <c r="C63" s="580">
        <v>0</v>
      </c>
      <c r="D63" s="580">
        <v>0</v>
      </c>
      <c r="E63" s="580">
        <v>0</v>
      </c>
      <c r="F63" s="580">
        <v>0</v>
      </c>
      <c r="G63" s="580">
        <v>0</v>
      </c>
      <c r="H63" s="580">
        <v>0</v>
      </c>
      <c r="I63" s="580">
        <v>0</v>
      </c>
      <c r="J63" s="580">
        <v>0</v>
      </c>
      <c r="K63" s="580">
        <v>0</v>
      </c>
      <c r="L63" s="580">
        <v>0</v>
      </c>
      <c r="M63" s="580">
        <v>0</v>
      </c>
      <c r="N63" s="580">
        <v>0</v>
      </c>
      <c r="O63" s="579">
        <f t="shared" si="8"/>
        <v>0</v>
      </c>
      <c r="P63" s="579"/>
      <c r="Q63" s="875"/>
      <c r="R63" s="876" t="s">
        <v>422</v>
      </c>
      <c r="S63" s="875"/>
      <c r="T63" s="579"/>
      <c r="U63" s="874">
        <f t="shared" si="9"/>
        <v>0</v>
      </c>
      <c r="V63" s="874">
        <f t="shared" si="10"/>
        <v>0</v>
      </c>
      <c r="W63" s="874">
        <f t="shared" si="11"/>
        <v>0</v>
      </c>
      <c r="X63" s="874">
        <f t="shared" si="12"/>
        <v>0</v>
      </c>
      <c r="Y63" s="873">
        <f t="shared" si="13"/>
        <v>0</v>
      </c>
    </row>
    <row r="64" spans="1:25" x14ac:dyDescent="0.2">
      <c r="A64" s="905" t="s">
        <v>435</v>
      </c>
      <c r="C64" s="580">
        <v>0</v>
      </c>
      <c r="D64" s="580">
        <v>0</v>
      </c>
      <c r="E64" s="580">
        <v>0</v>
      </c>
      <c r="F64" s="580">
        <v>0</v>
      </c>
      <c r="G64" s="580">
        <v>0</v>
      </c>
      <c r="H64" s="580">
        <v>0</v>
      </c>
      <c r="I64" s="580">
        <v>0</v>
      </c>
      <c r="J64" s="580">
        <v>0</v>
      </c>
      <c r="K64" s="580">
        <v>0</v>
      </c>
      <c r="L64" s="580">
        <v>0</v>
      </c>
      <c r="M64" s="580">
        <v>0</v>
      </c>
      <c r="N64" s="580">
        <v>0</v>
      </c>
      <c r="O64" s="579">
        <f t="shared" si="8"/>
        <v>0</v>
      </c>
      <c r="P64" s="579"/>
      <c r="Q64" s="875"/>
      <c r="R64" s="876" t="s">
        <v>422</v>
      </c>
      <c r="S64" s="875"/>
      <c r="T64" s="579"/>
      <c r="U64" s="874">
        <f t="shared" si="9"/>
        <v>0</v>
      </c>
      <c r="V64" s="874">
        <f t="shared" si="10"/>
        <v>0</v>
      </c>
      <c r="W64" s="874">
        <f t="shared" si="11"/>
        <v>0</v>
      </c>
      <c r="X64" s="874">
        <f t="shared" si="12"/>
        <v>0</v>
      </c>
      <c r="Y64" s="873">
        <f t="shared" si="13"/>
        <v>0</v>
      </c>
    </row>
    <row r="65" spans="1:25" ht="6" customHeight="1" x14ac:dyDescent="0.2">
      <c r="A65" s="905"/>
      <c r="C65" s="873"/>
      <c r="D65" s="873"/>
      <c r="E65" s="873"/>
      <c r="F65" s="873"/>
      <c r="G65" s="873"/>
      <c r="H65" s="873"/>
      <c r="I65" s="873"/>
      <c r="J65" s="873"/>
      <c r="K65" s="873"/>
      <c r="L65" s="873"/>
      <c r="M65" s="873"/>
      <c r="N65" s="873"/>
      <c r="O65" s="874"/>
      <c r="P65" s="874"/>
      <c r="Q65" s="875"/>
      <c r="R65" s="876"/>
      <c r="S65" s="875"/>
      <c r="T65" s="874"/>
      <c r="U65" s="874"/>
      <c r="V65" s="874"/>
      <c r="W65" s="874"/>
      <c r="X65" s="874"/>
      <c r="Y65" s="873"/>
    </row>
    <row r="66" spans="1:25" x14ac:dyDescent="0.2">
      <c r="A66" s="905" t="s">
        <v>547</v>
      </c>
      <c r="C66" s="580">
        <v>443</v>
      </c>
      <c r="D66" s="580">
        <v>443</v>
      </c>
      <c r="E66" s="580">
        <v>843</v>
      </c>
      <c r="F66" s="580">
        <v>443</v>
      </c>
      <c r="G66" s="580">
        <v>443</v>
      </c>
      <c r="H66" s="580">
        <v>843</v>
      </c>
      <c r="I66" s="580">
        <v>443</v>
      </c>
      <c r="J66" s="580">
        <v>443</v>
      </c>
      <c r="K66" s="580">
        <v>844</v>
      </c>
      <c r="L66" s="580">
        <v>444</v>
      </c>
      <c r="M66" s="580">
        <v>984</v>
      </c>
      <c r="N66" s="580">
        <v>1384</v>
      </c>
      <c r="O66" s="587">
        <f t="shared" ref="O66:O74" si="14">SUM(C66:N66)</f>
        <v>8000</v>
      </c>
      <c r="P66" s="587"/>
      <c r="Q66" s="875"/>
      <c r="R66" s="876" t="s">
        <v>422</v>
      </c>
      <c r="S66" s="875"/>
      <c r="T66" s="587"/>
      <c r="U66" s="874">
        <f t="shared" ref="U66:U77" si="15">C66+D66+E66</f>
        <v>1729</v>
      </c>
      <c r="V66" s="874">
        <f t="shared" ref="V66:V77" si="16">F66+G66+H66</f>
        <v>1729</v>
      </c>
      <c r="W66" s="874">
        <f t="shared" ref="W66:W77" si="17">I66+J66+K66</f>
        <v>1730</v>
      </c>
      <c r="X66" s="874">
        <f t="shared" ref="X66:X77" si="18">L66+M66+N66</f>
        <v>2812</v>
      </c>
      <c r="Y66" s="873">
        <f t="shared" ref="Y66:Y78" si="19">SUM(U66:X66)</f>
        <v>8000</v>
      </c>
    </row>
    <row r="67" spans="1:25" x14ac:dyDescent="0.2">
      <c r="A67" s="905" t="s">
        <v>436</v>
      </c>
      <c r="C67" s="580">
        <f>0</f>
        <v>0</v>
      </c>
      <c r="D67" s="580">
        <f>0</f>
        <v>0</v>
      </c>
      <c r="E67" s="580">
        <f>0</f>
        <v>0</v>
      </c>
      <c r="F67" s="580">
        <f>0</f>
        <v>0</v>
      </c>
      <c r="G67" s="580">
        <f>0</f>
        <v>0</v>
      </c>
      <c r="H67" s="580">
        <v>2000</v>
      </c>
      <c r="I67" s="580">
        <f>0</f>
        <v>0</v>
      </c>
      <c r="J67" s="580">
        <f>0</f>
        <v>0</v>
      </c>
      <c r="K67" s="580">
        <f>0</f>
        <v>0</v>
      </c>
      <c r="L67" s="580">
        <f>0</f>
        <v>0</v>
      </c>
      <c r="M67" s="580">
        <f>0</f>
        <v>0</v>
      </c>
      <c r="N67" s="580">
        <f>0</f>
        <v>0</v>
      </c>
      <c r="O67" s="587">
        <f t="shared" si="14"/>
        <v>2000</v>
      </c>
      <c r="P67" s="587"/>
      <c r="Q67" s="875"/>
      <c r="R67" s="876" t="s">
        <v>422</v>
      </c>
      <c r="S67" s="875"/>
      <c r="T67" s="587"/>
      <c r="U67" s="874">
        <f t="shared" si="15"/>
        <v>0</v>
      </c>
      <c r="V67" s="874">
        <f t="shared" si="16"/>
        <v>2000</v>
      </c>
      <c r="W67" s="874">
        <f t="shared" si="17"/>
        <v>0</v>
      </c>
      <c r="X67" s="874">
        <f t="shared" si="18"/>
        <v>0</v>
      </c>
      <c r="Y67" s="873">
        <f t="shared" si="19"/>
        <v>2000</v>
      </c>
    </row>
    <row r="68" spans="1:25" ht="12.75" customHeight="1" x14ac:dyDescent="0.2">
      <c r="A68" s="905" t="s">
        <v>567</v>
      </c>
      <c r="C68" s="580">
        <v>0</v>
      </c>
      <c r="D68" s="580">
        <v>0</v>
      </c>
      <c r="E68" s="580">
        <v>0</v>
      </c>
      <c r="F68" s="580">
        <v>0</v>
      </c>
      <c r="G68" s="580">
        <v>0</v>
      </c>
      <c r="H68" s="580">
        <v>0</v>
      </c>
      <c r="I68" s="580">
        <v>0</v>
      </c>
      <c r="J68" s="580">
        <v>0</v>
      </c>
      <c r="K68" s="580">
        <v>0</v>
      </c>
      <c r="L68" s="580">
        <v>0</v>
      </c>
      <c r="M68" s="580">
        <v>0</v>
      </c>
      <c r="N68" s="580">
        <v>0</v>
      </c>
      <c r="O68" s="587">
        <f t="shared" si="14"/>
        <v>0</v>
      </c>
      <c r="P68" s="587"/>
      <c r="Q68" s="875"/>
      <c r="R68" s="876" t="s">
        <v>422</v>
      </c>
      <c r="S68" s="875"/>
      <c r="T68" s="587"/>
      <c r="U68" s="874">
        <f t="shared" si="15"/>
        <v>0</v>
      </c>
      <c r="V68" s="874">
        <f t="shared" si="16"/>
        <v>0</v>
      </c>
      <c r="W68" s="874">
        <f t="shared" si="17"/>
        <v>0</v>
      </c>
      <c r="X68" s="874">
        <f t="shared" si="18"/>
        <v>0</v>
      </c>
      <c r="Y68" s="873">
        <f t="shared" si="19"/>
        <v>0</v>
      </c>
    </row>
    <row r="69" spans="1:25" x14ac:dyDescent="0.2">
      <c r="A69" s="905" t="s">
        <v>568</v>
      </c>
      <c r="C69" s="580">
        <v>0</v>
      </c>
      <c r="D69" s="580">
        <v>0</v>
      </c>
      <c r="E69" s="580">
        <v>0</v>
      </c>
      <c r="F69" s="580">
        <v>0</v>
      </c>
      <c r="G69" s="580">
        <v>0</v>
      </c>
      <c r="H69" s="580">
        <v>0</v>
      </c>
      <c r="I69" s="580">
        <v>0</v>
      </c>
      <c r="J69" s="580">
        <v>0</v>
      </c>
      <c r="K69" s="580">
        <v>0</v>
      </c>
      <c r="L69" s="580">
        <v>0</v>
      </c>
      <c r="M69" s="580">
        <v>0</v>
      </c>
      <c r="N69" s="580">
        <v>0</v>
      </c>
      <c r="O69" s="587">
        <f t="shared" si="14"/>
        <v>0</v>
      </c>
      <c r="P69" s="587"/>
      <c r="Q69" s="875"/>
      <c r="R69" s="876" t="s">
        <v>422</v>
      </c>
      <c r="S69" s="875"/>
      <c r="T69" s="587"/>
      <c r="U69" s="874">
        <f t="shared" si="15"/>
        <v>0</v>
      </c>
      <c r="V69" s="874">
        <f t="shared" si="16"/>
        <v>0</v>
      </c>
      <c r="W69" s="874">
        <f t="shared" si="17"/>
        <v>0</v>
      </c>
      <c r="X69" s="874">
        <f t="shared" si="18"/>
        <v>0</v>
      </c>
      <c r="Y69" s="873">
        <f t="shared" si="19"/>
        <v>0</v>
      </c>
    </row>
    <row r="70" spans="1:25" x14ac:dyDescent="0.2">
      <c r="A70" s="905" t="s">
        <v>416</v>
      </c>
      <c r="C70" s="580">
        <v>0</v>
      </c>
      <c r="D70" s="580">
        <v>0</v>
      </c>
      <c r="E70" s="580">
        <v>0</v>
      </c>
      <c r="F70" s="580">
        <v>0</v>
      </c>
      <c r="G70" s="580">
        <v>0</v>
      </c>
      <c r="H70" s="580">
        <v>0</v>
      </c>
      <c r="I70" s="580">
        <v>0</v>
      </c>
      <c r="J70" s="580">
        <v>0</v>
      </c>
      <c r="K70" s="580">
        <v>0</v>
      </c>
      <c r="L70" s="580">
        <v>0</v>
      </c>
      <c r="M70" s="580">
        <v>0</v>
      </c>
      <c r="N70" s="580">
        <v>0</v>
      </c>
      <c r="O70" s="587">
        <f t="shared" si="14"/>
        <v>0</v>
      </c>
      <c r="P70" s="587"/>
      <c r="Q70" s="875"/>
      <c r="R70" s="876" t="s">
        <v>422</v>
      </c>
      <c r="S70" s="875"/>
      <c r="T70" s="587"/>
      <c r="U70" s="874">
        <f t="shared" si="15"/>
        <v>0</v>
      </c>
      <c r="V70" s="874">
        <f t="shared" si="16"/>
        <v>0</v>
      </c>
      <c r="W70" s="874">
        <f t="shared" si="17"/>
        <v>0</v>
      </c>
      <c r="X70" s="874">
        <f t="shared" si="18"/>
        <v>0</v>
      </c>
      <c r="Y70" s="873">
        <f t="shared" si="19"/>
        <v>0</v>
      </c>
    </row>
    <row r="71" spans="1:25" x14ac:dyDescent="0.2">
      <c r="A71" s="905" t="s">
        <v>493</v>
      </c>
      <c r="C71" s="580">
        <v>0</v>
      </c>
      <c r="D71" s="580">
        <v>0</v>
      </c>
      <c r="E71" s="580">
        <v>0</v>
      </c>
      <c r="F71" s="580">
        <v>0</v>
      </c>
      <c r="G71" s="580">
        <v>0</v>
      </c>
      <c r="H71" s="580">
        <v>0</v>
      </c>
      <c r="I71" s="580">
        <v>0</v>
      </c>
      <c r="J71" s="580">
        <v>0</v>
      </c>
      <c r="K71" s="580">
        <v>0</v>
      </c>
      <c r="L71" s="580">
        <v>0</v>
      </c>
      <c r="M71" s="580">
        <v>0</v>
      </c>
      <c r="N71" s="580">
        <v>0</v>
      </c>
      <c r="O71" s="579">
        <f t="shared" si="14"/>
        <v>0</v>
      </c>
      <c r="P71" s="579"/>
      <c r="Q71" s="875"/>
      <c r="R71" s="876" t="s">
        <v>422</v>
      </c>
      <c r="S71" s="875"/>
      <c r="T71" s="579"/>
      <c r="U71" s="874">
        <f t="shared" si="15"/>
        <v>0</v>
      </c>
      <c r="V71" s="874">
        <f t="shared" si="16"/>
        <v>0</v>
      </c>
      <c r="W71" s="874">
        <f t="shared" si="17"/>
        <v>0</v>
      </c>
      <c r="X71" s="874">
        <f t="shared" si="18"/>
        <v>0</v>
      </c>
      <c r="Y71" s="873">
        <f t="shared" si="19"/>
        <v>0</v>
      </c>
    </row>
    <row r="72" spans="1:25" x14ac:dyDescent="0.2">
      <c r="A72" s="905" t="s">
        <v>494</v>
      </c>
      <c r="C72" s="580">
        <v>0</v>
      </c>
      <c r="D72" s="580">
        <v>0</v>
      </c>
      <c r="E72" s="580">
        <v>0</v>
      </c>
      <c r="F72" s="580">
        <v>0</v>
      </c>
      <c r="G72" s="580">
        <v>0</v>
      </c>
      <c r="H72" s="580">
        <v>0</v>
      </c>
      <c r="I72" s="580">
        <v>0</v>
      </c>
      <c r="J72" s="580">
        <v>0</v>
      </c>
      <c r="K72" s="580">
        <v>0</v>
      </c>
      <c r="L72" s="580">
        <v>0</v>
      </c>
      <c r="M72" s="580">
        <v>0</v>
      </c>
      <c r="N72" s="580">
        <v>0</v>
      </c>
      <c r="O72" s="579">
        <f t="shared" si="14"/>
        <v>0</v>
      </c>
      <c r="P72" s="579"/>
      <c r="Q72" s="875"/>
      <c r="R72" s="876" t="s">
        <v>422</v>
      </c>
      <c r="S72" s="875"/>
      <c r="T72" s="579"/>
      <c r="U72" s="874">
        <f t="shared" si="15"/>
        <v>0</v>
      </c>
      <c r="V72" s="874">
        <f t="shared" si="16"/>
        <v>0</v>
      </c>
      <c r="W72" s="874">
        <f t="shared" si="17"/>
        <v>0</v>
      </c>
      <c r="X72" s="874">
        <f t="shared" si="18"/>
        <v>0</v>
      </c>
      <c r="Y72" s="873">
        <f t="shared" si="19"/>
        <v>0</v>
      </c>
    </row>
    <row r="73" spans="1:25" ht="6" customHeight="1" x14ac:dyDescent="0.2">
      <c r="A73" s="905"/>
      <c r="C73" s="873"/>
      <c r="D73" s="873"/>
      <c r="E73" s="873"/>
      <c r="F73" s="873"/>
      <c r="G73" s="873"/>
      <c r="H73" s="873"/>
      <c r="I73" s="873"/>
      <c r="J73" s="873"/>
      <c r="K73" s="873"/>
      <c r="L73" s="873"/>
      <c r="M73" s="873"/>
      <c r="N73" s="873"/>
      <c r="O73" s="579"/>
      <c r="P73" s="579"/>
      <c r="Q73" s="875"/>
      <c r="R73" s="876"/>
      <c r="S73" s="875"/>
      <c r="T73" s="579"/>
      <c r="U73" s="874"/>
      <c r="V73" s="874"/>
      <c r="W73" s="874"/>
      <c r="X73" s="874"/>
      <c r="Y73" s="873"/>
    </row>
    <row r="74" spans="1:25" x14ac:dyDescent="0.2">
      <c r="A74" s="904" t="s">
        <v>548</v>
      </c>
      <c r="C74" s="142">
        <v>289</v>
      </c>
      <c r="D74" s="142">
        <v>287</v>
      </c>
      <c r="E74" s="142">
        <v>289</v>
      </c>
      <c r="F74" s="142">
        <v>287</v>
      </c>
      <c r="G74" s="142">
        <v>285</v>
      </c>
      <c r="H74" s="142">
        <v>846</v>
      </c>
      <c r="I74" s="142">
        <v>847</v>
      </c>
      <c r="J74" s="142">
        <v>711</v>
      </c>
      <c r="K74" s="142">
        <v>710</v>
      </c>
      <c r="L74" s="142">
        <v>681</v>
      </c>
      <c r="M74" s="142">
        <v>703</v>
      </c>
      <c r="N74" s="142">
        <v>704</v>
      </c>
      <c r="O74" s="579">
        <f t="shared" si="14"/>
        <v>6639</v>
      </c>
      <c r="P74" s="579"/>
      <c r="Q74" s="875"/>
      <c r="R74" s="877" t="s">
        <v>549</v>
      </c>
      <c r="S74" s="875"/>
      <c r="T74" s="579"/>
      <c r="U74" s="874">
        <f>C74+D74+E74</f>
        <v>865</v>
      </c>
      <c r="V74" s="874">
        <f>F74+G74+H74</f>
        <v>1418</v>
      </c>
      <c r="W74" s="874">
        <f>I74+J74+K74</f>
        <v>2268</v>
      </c>
      <c r="X74" s="874">
        <f>L74+M74+N74</f>
        <v>2088</v>
      </c>
      <c r="Y74" s="873">
        <f>SUM(U74:X74)</f>
        <v>6639</v>
      </c>
    </row>
    <row r="75" spans="1:25" ht="6" customHeight="1" x14ac:dyDescent="0.2">
      <c r="A75" s="905"/>
      <c r="C75" s="873"/>
      <c r="D75" s="873"/>
      <c r="E75" s="873"/>
      <c r="F75" s="873"/>
      <c r="G75" s="873"/>
      <c r="H75" s="873"/>
      <c r="I75" s="873"/>
      <c r="J75" s="873"/>
      <c r="K75" s="873"/>
      <c r="L75" s="873"/>
      <c r="M75" s="873"/>
      <c r="N75" s="873"/>
      <c r="O75" s="579"/>
      <c r="P75" s="579"/>
      <c r="Q75" s="875"/>
      <c r="R75" s="876"/>
      <c r="S75" s="875"/>
      <c r="T75" s="579"/>
      <c r="U75" s="874"/>
      <c r="V75" s="874"/>
      <c r="W75" s="874"/>
      <c r="X75" s="874"/>
      <c r="Y75" s="873"/>
    </row>
    <row r="76" spans="1:25" x14ac:dyDescent="0.2">
      <c r="A76" s="905" t="s">
        <v>215</v>
      </c>
      <c r="C76" s="142">
        <v>0</v>
      </c>
      <c r="D76" s="142">
        <v>0</v>
      </c>
      <c r="E76" s="142">
        <v>0</v>
      </c>
      <c r="F76" s="142">
        <v>0</v>
      </c>
      <c r="G76" s="142">
        <v>0</v>
      </c>
      <c r="H76" s="142">
        <v>0</v>
      </c>
      <c r="I76" s="142">
        <v>0</v>
      </c>
      <c r="J76" s="142">
        <v>0</v>
      </c>
      <c r="K76" s="142">
        <v>0</v>
      </c>
      <c r="L76" s="142">
        <v>0</v>
      </c>
      <c r="M76" s="142">
        <v>0</v>
      </c>
      <c r="N76" s="142">
        <v>0</v>
      </c>
      <c r="O76" s="143">
        <f>SUM(C76:N76)</f>
        <v>0</v>
      </c>
      <c r="P76" s="143"/>
      <c r="Q76" s="875"/>
      <c r="R76" s="876" t="s">
        <v>495</v>
      </c>
      <c r="S76" s="875"/>
      <c r="T76" s="143"/>
      <c r="U76" s="874">
        <f t="shared" si="15"/>
        <v>0</v>
      </c>
      <c r="V76" s="874">
        <f t="shared" si="16"/>
        <v>0</v>
      </c>
      <c r="W76" s="874">
        <f t="shared" si="17"/>
        <v>0</v>
      </c>
      <c r="X76" s="874">
        <f t="shared" si="18"/>
        <v>0</v>
      </c>
      <c r="Y76" s="873">
        <f t="shared" si="19"/>
        <v>0</v>
      </c>
    </row>
    <row r="77" spans="1:25" x14ac:dyDescent="0.2">
      <c r="A77" s="905" t="s">
        <v>1044</v>
      </c>
      <c r="C77" s="142">
        <v>0</v>
      </c>
      <c r="D77" s="142">
        <v>0</v>
      </c>
      <c r="E77" s="142">
        <v>0</v>
      </c>
      <c r="F77" s="142">
        <v>0</v>
      </c>
      <c r="G77" s="142">
        <v>0</v>
      </c>
      <c r="H77" s="142">
        <v>0</v>
      </c>
      <c r="I77" s="142">
        <v>0</v>
      </c>
      <c r="J77" s="142">
        <v>0</v>
      </c>
      <c r="K77" s="142">
        <v>0</v>
      </c>
      <c r="L77" s="142">
        <v>0</v>
      </c>
      <c r="M77" s="142">
        <v>0</v>
      </c>
      <c r="N77" s="142">
        <v>0</v>
      </c>
      <c r="O77" s="874">
        <f>C77+D77+E77+F77+G77+H77+I77+J77+K77+L77+M77+N77</f>
        <v>0</v>
      </c>
      <c r="P77" s="874"/>
      <c r="Q77" s="875"/>
      <c r="R77" s="876" t="s">
        <v>495</v>
      </c>
      <c r="S77" s="875"/>
      <c r="T77" s="874"/>
      <c r="U77" s="874">
        <f t="shared" si="15"/>
        <v>0</v>
      </c>
      <c r="V77" s="874">
        <f t="shared" si="16"/>
        <v>0</v>
      </c>
      <c r="W77" s="874">
        <f t="shared" si="17"/>
        <v>0</v>
      </c>
      <c r="X77" s="874">
        <f t="shared" si="18"/>
        <v>0</v>
      </c>
      <c r="Y77" s="873">
        <f t="shared" si="19"/>
        <v>0</v>
      </c>
    </row>
    <row r="78" spans="1:25" x14ac:dyDescent="0.2">
      <c r="A78" s="905" t="s">
        <v>715</v>
      </c>
      <c r="C78" s="142">
        <v>0</v>
      </c>
      <c r="D78" s="142">
        <v>0</v>
      </c>
      <c r="E78" s="142">
        <v>0</v>
      </c>
      <c r="F78" s="142">
        <v>0</v>
      </c>
      <c r="G78" s="142">
        <v>0</v>
      </c>
      <c r="H78" s="142">
        <v>0</v>
      </c>
      <c r="I78" s="142">
        <v>0</v>
      </c>
      <c r="J78" s="142">
        <v>0</v>
      </c>
      <c r="K78" s="142">
        <v>0</v>
      </c>
      <c r="L78" s="142">
        <v>0</v>
      </c>
      <c r="M78" s="142">
        <v>0</v>
      </c>
      <c r="N78" s="142">
        <v>0</v>
      </c>
      <c r="O78" s="874">
        <f>C78+D78+E78+F78+G78+H78+I78+J78+K78+L78+M78+N78</f>
        <v>0</v>
      </c>
      <c r="P78" s="874"/>
      <c r="Q78" s="875"/>
      <c r="R78" s="876" t="s">
        <v>495</v>
      </c>
      <c r="S78" s="875"/>
      <c r="T78" s="874"/>
      <c r="U78" s="874">
        <f>C78+D78+E78</f>
        <v>0</v>
      </c>
      <c r="V78" s="874">
        <f>F78+G78+H78</f>
        <v>0</v>
      </c>
      <c r="W78" s="874">
        <f>I78+J78+K78</f>
        <v>0</v>
      </c>
      <c r="X78" s="874">
        <f>L78+M78+N78</f>
        <v>0</v>
      </c>
      <c r="Y78" s="873">
        <f t="shared" si="19"/>
        <v>0</v>
      </c>
    </row>
    <row r="79" spans="1:25" ht="6" customHeight="1" x14ac:dyDescent="0.2">
      <c r="A79" s="905"/>
      <c r="C79" s="142"/>
      <c r="D79" s="142"/>
      <c r="E79" s="142"/>
      <c r="F79" s="142"/>
      <c r="G79" s="142"/>
      <c r="H79" s="142"/>
      <c r="I79" s="142"/>
      <c r="J79" s="142"/>
      <c r="K79" s="142"/>
      <c r="L79" s="142"/>
      <c r="M79" s="142"/>
      <c r="N79" s="142"/>
      <c r="O79" s="874"/>
      <c r="P79" s="874"/>
      <c r="Q79" s="875"/>
      <c r="R79" s="876"/>
      <c r="S79" s="875"/>
      <c r="T79" s="874"/>
      <c r="U79" s="874"/>
      <c r="V79" s="874"/>
      <c r="W79" s="874"/>
      <c r="X79" s="874"/>
      <c r="Y79" s="873"/>
    </row>
    <row r="80" spans="1:25" s="871" customFormat="1" ht="12.75" customHeight="1" x14ac:dyDescent="0.2">
      <c r="A80" s="909" t="s">
        <v>594</v>
      </c>
      <c r="C80" s="922">
        <f>SUM(C7:C78)</f>
        <v>55422</v>
      </c>
      <c r="D80" s="923">
        <f>SUM(D7:D78)</f>
        <v>54424</v>
      </c>
      <c r="E80" s="923">
        <f t="shared" ref="E80:N80" si="20">SUM(E7:E78)</f>
        <v>58336</v>
      </c>
      <c r="F80" s="923">
        <f t="shared" si="20"/>
        <v>23310</v>
      </c>
      <c r="G80" s="923">
        <f t="shared" si="20"/>
        <v>22304</v>
      </c>
      <c r="H80" s="923">
        <f t="shared" si="20"/>
        <v>28381</v>
      </c>
      <c r="I80" s="923">
        <f t="shared" si="20"/>
        <v>25924</v>
      </c>
      <c r="J80" s="923">
        <f t="shared" si="20"/>
        <v>25375</v>
      </c>
      <c r="K80" s="923">
        <f t="shared" si="20"/>
        <v>25557</v>
      </c>
      <c r="L80" s="923">
        <f t="shared" si="20"/>
        <v>24932</v>
      </c>
      <c r="M80" s="923">
        <f t="shared" si="20"/>
        <v>53640</v>
      </c>
      <c r="N80" s="923">
        <f t="shared" si="20"/>
        <v>54871</v>
      </c>
      <c r="O80" s="924">
        <f>SUM(O7:O78)</f>
        <v>452476</v>
      </c>
      <c r="P80" s="896"/>
      <c r="Q80" s="882"/>
      <c r="R80" s="880"/>
      <c r="S80" s="882"/>
      <c r="T80" s="896"/>
      <c r="U80" s="922">
        <f>SUM(U7:U78)</f>
        <v>168182</v>
      </c>
      <c r="V80" s="923">
        <f>SUM(V7:V78)</f>
        <v>73995</v>
      </c>
      <c r="W80" s="923">
        <f>SUM(W7:W78)</f>
        <v>76856</v>
      </c>
      <c r="X80" s="923">
        <f>SUM(X7:X78)</f>
        <v>133443</v>
      </c>
      <c r="Y80" s="924">
        <f>SUM(Y7:Y78)</f>
        <v>452476</v>
      </c>
    </row>
    <row r="81" spans="1:25" s="871" customFormat="1" ht="12.75" customHeight="1" x14ac:dyDescent="0.2">
      <c r="A81" s="1006" t="s">
        <v>595</v>
      </c>
      <c r="C81" s="896">
        <f>+C80-C74</f>
        <v>55133</v>
      </c>
      <c r="D81" s="896">
        <f t="shared" ref="D81:N81" si="21">+D80-D74</f>
        <v>54137</v>
      </c>
      <c r="E81" s="896">
        <f t="shared" si="21"/>
        <v>58047</v>
      </c>
      <c r="F81" s="896">
        <f t="shared" si="21"/>
        <v>23023</v>
      </c>
      <c r="G81" s="896">
        <f t="shared" si="21"/>
        <v>22019</v>
      </c>
      <c r="H81" s="896">
        <f t="shared" si="21"/>
        <v>27535</v>
      </c>
      <c r="I81" s="896">
        <f t="shared" si="21"/>
        <v>25077</v>
      </c>
      <c r="J81" s="896">
        <f t="shared" si="21"/>
        <v>24664</v>
      </c>
      <c r="K81" s="896">
        <f t="shared" si="21"/>
        <v>24847</v>
      </c>
      <c r="L81" s="896">
        <f t="shared" si="21"/>
        <v>24251</v>
      </c>
      <c r="M81" s="896">
        <f t="shared" si="21"/>
        <v>52937</v>
      </c>
      <c r="N81" s="896">
        <f t="shared" si="21"/>
        <v>54167</v>
      </c>
      <c r="O81" s="874">
        <f>C81+D81+E81+F81+G81+H81+I81+J81+K81+L81+M81+N81</f>
        <v>445837</v>
      </c>
      <c r="P81" s="896"/>
      <c r="Q81" s="882"/>
      <c r="R81" s="880"/>
      <c r="S81" s="882"/>
      <c r="T81" s="896"/>
      <c r="U81" s="874">
        <f>C81+D81+E81</f>
        <v>167317</v>
      </c>
      <c r="V81" s="874">
        <f>F81+G81+H81</f>
        <v>72577</v>
      </c>
      <c r="W81" s="874">
        <f>I81+J81+K81</f>
        <v>74588</v>
      </c>
      <c r="X81" s="874">
        <f>L81+M81+N81</f>
        <v>131355</v>
      </c>
      <c r="Y81" s="873">
        <f>SUM(U81:X81)</f>
        <v>445837</v>
      </c>
    </row>
    <row r="82" spans="1:25" s="871" customFormat="1" ht="12.75" customHeight="1" x14ac:dyDescent="0.2">
      <c r="A82" s="907" t="s">
        <v>596</v>
      </c>
      <c r="C82" s="896">
        <f>+C74</f>
        <v>289</v>
      </c>
      <c r="D82" s="896">
        <f t="shared" ref="D82:N82" si="22">+D74</f>
        <v>287</v>
      </c>
      <c r="E82" s="896">
        <f t="shared" si="22"/>
        <v>289</v>
      </c>
      <c r="F82" s="896">
        <f t="shared" si="22"/>
        <v>287</v>
      </c>
      <c r="G82" s="896">
        <f t="shared" si="22"/>
        <v>285</v>
      </c>
      <c r="H82" s="896">
        <f t="shared" si="22"/>
        <v>846</v>
      </c>
      <c r="I82" s="896">
        <f t="shared" si="22"/>
        <v>847</v>
      </c>
      <c r="J82" s="896">
        <f t="shared" si="22"/>
        <v>711</v>
      </c>
      <c r="K82" s="896">
        <f t="shared" si="22"/>
        <v>710</v>
      </c>
      <c r="L82" s="896">
        <f t="shared" si="22"/>
        <v>681</v>
      </c>
      <c r="M82" s="896">
        <f t="shared" si="22"/>
        <v>703</v>
      </c>
      <c r="N82" s="896">
        <f t="shared" si="22"/>
        <v>704</v>
      </c>
      <c r="O82" s="874">
        <f>C82+D82+E82+F82+G82+H82+I82+J82+K82+L82+M82+N82</f>
        <v>6639</v>
      </c>
      <c r="P82" s="896"/>
      <c r="Q82" s="882"/>
      <c r="R82" s="880"/>
      <c r="S82" s="882"/>
      <c r="T82" s="896"/>
      <c r="U82" s="874">
        <f>C82+D82+E82</f>
        <v>865</v>
      </c>
      <c r="V82" s="874">
        <f>F82+G82+H82</f>
        <v>1418</v>
      </c>
      <c r="W82" s="874">
        <f>I82+J82+K82</f>
        <v>2268</v>
      </c>
      <c r="X82" s="874">
        <f>L82+M82+N82</f>
        <v>2088</v>
      </c>
      <c r="Y82" s="873">
        <f>SUM(U82:X82)</f>
        <v>6639</v>
      </c>
    </row>
    <row r="83" spans="1:25" x14ac:dyDescent="0.2">
      <c r="A83" s="904" t="s">
        <v>570</v>
      </c>
      <c r="C83" s="873"/>
      <c r="D83" s="873"/>
      <c r="E83" s="873"/>
      <c r="F83" s="873"/>
      <c r="G83" s="873"/>
      <c r="H83" s="873"/>
      <c r="I83" s="873"/>
      <c r="J83" s="873"/>
      <c r="K83" s="873"/>
      <c r="L83" s="873"/>
      <c r="M83" s="873"/>
      <c r="N83" s="873"/>
      <c r="O83" s="874"/>
      <c r="P83" s="874"/>
      <c r="Q83" s="875"/>
      <c r="R83" s="873"/>
      <c r="S83" s="875"/>
      <c r="T83" s="874"/>
      <c r="U83" s="874"/>
      <c r="V83" s="874"/>
      <c r="W83" s="874"/>
      <c r="X83" s="874"/>
      <c r="Y83" s="873"/>
    </row>
    <row r="84" spans="1:25" x14ac:dyDescent="0.2">
      <c r="A84" s="905" t="s">
        <v>572</v>
      </c>
      <c r="C84" s="116">
        <v>-58</v>
      </c>
      <c r="D84" s="116">
        <v>-58</v>
      </c>
      <c r="E84" s="116">
        <v>-58</v>
      </c>
      <c r="F84" s="116">
        <v>-58</v>
      </c>
      <c r="G84" s="116">
        <v>-58</v>
      </c>
      <c r="H84" s="116">
        <v>-58</v>
      </c>
      <c r="I84" s="116">
        <v>-58</v>
      </c>
      <c r="J84" s="116">
        <v>-58</v>
      </c>
      <c r="K84" s="116">
        <v>-58</v>
      </c>
      <c r="L84" s="116">
        <v>-58</v>
      </c>
      <c r="M84" s="116">
        <v>-58</v>
      </c>
      <c r="N84" s="116">
        <v>-58</v>
      </c>
      <c r="O84" s="115">
        <f>SUM(C84:N84)</f>
        <v>-696</v>
      </c>
      <c r="P84" s="115"/>
      <c r="Q84" s="875"/>
      <c r="R84" s="877" t="s">
        <v>496</v>
      </c>
      <c r="S84" s="875"/>
      <c r="T84" s="115"/>
      <c r="U84" s="874">
        <f>C84+D84+E84</f>
        <v>-174</v>
      </c>
      <c r="V84" s="874">
        <f>F84+G84+H84</f>
        <v>-174</v>
      </c>
      <c r="W84" s="874">
        <f>I84+J84+K84</f>
        <v>-174</v>
      </c>
      <c r="X84" s="874">
        <f>L84+M84+N84</f>
        <v>-174</v>
      </c>
      <c r="Y84" s="873">
        <f>SUM(U84:X84)</f>
        <v>-696</v>
      </c>
    </row>
    <row r="85" spans="1:25" x14ac:dyDescent="0.2">
      <c r="A85" s="905" t="s">
        <v>571</v>
      </c>
      <c r="C85" s="116">
        <v>-228</v>
      </c>
      <c r="D85" s="116">
        <v>-228</v>
      </c>
      <c r="E85" s="116">
        <v>-228</v>
      </c>
      <c r="F85" s="116">
        <v>-228</v>
      </c>
      <c r="G85" s="116">
        <v>-228</v>
      </c>
      <c r="H85" s="116">
        <v>-228</v>
      </c>
      <c r="I85" s="116">
        <v>-228</v>
      </c>
      <c r="J85" s="116">
        <v>-228</v>
      </c>
      <c r="K85" s="116">
        <v>-229</v>
      </c>
      <c r="L85" s="116">
        <v>-240</v>
      </c>
      <c r="M85" s="116">
        <v>-240</v>
      </c>
      <c r="N85" s="116">
        <v>-240</v>
      </c>
      <c r="O85" s="115">
        <f t="shared" ref="O85:O100" si="23">SUM(C85:N85)</f>
        <v>-2773</v>
      </c>
      <c r="P85" s="115"/>
      <c r="Q85" s="875"/>
      <c r="R85" s="877" t="s">
        <v>496</v>
      </c>
      <c r="S85" s="875"/>
      <c r="T85" s="115"/>
      <c r="U85" s="874">
        <f t="shared" ref="U85:U95" si="24">C85+D85+E85</f>
        <v>-684</v>
      </c>
      <c r="V85" s="874">
        <f t="shared" ref="V85:V95" si="25">F85+G85+H85</f>
        <v>-684</v>
      </c>
      <c r="W85" s="874">
        <f t="shared" ref="W85:W95" si="26">I85+J85+K85</f>
        <v>-685</v>
      </c>
      <c r="X85" s="874">
        <f t="shared" ref="X85:X95" si="27">L85+M85+N85</f>
        <v>-720</v>
      </c>
      <c r="Y85" s="873">
        <f t="shared" ref="Y85:Y95" si="28">SUM(U85:X85)</f>
        <v>-2773</v>
      </c>
    </row>
    <row r="86" spans="1:25" x14ac:dyDescent="0.2">
      <c r="A86" s="905" t="s">
        <v>576</v>
      </c>
      <c r="C86" s="720">
        <v>-436</v>
      </c>
      <c r="D86" s="720">
        <v>-362</v>
      </c>
      <c r="E86" s="720">
        <v>-312</v>
      </c>
      <c r="F86" s="720">
        <v>-233</v>
      </c>
      <c r="G86" s="720">
        <v>-163</v>
      </c>
      <c r="H86" s="720">
        <v>-173</v>
      </c>
      <c r="I86" s="720">
        <v>-173</v>
      </c>
      <c r="J86" s="720">
        <v>-180</v>
      </c>
      <c r="K86" s="720">
        <v>-181</v>
      </c>
      <c r="L86" s="720">
        <v>-242</v>
      </c>
      <c r="M86" s="720">
        <v>-297</v>
      </c>
      <c r="N86" s="116">
        <v>-448</v>
      </c>
      <c r="O86" s="115">
        <f>SUM(C86:N86)</f>
        <v>-3200</v>
      </c>
      <c r="P86" s="115"/>
      <c r="Q86" s="875"/>
      <c r="R86" s="877" t="s">
        <v>496</v>
      </c>
      <c r="S86" s="875"/>
      <c r="T86" s="115"/>
      <c r="U86" s="874">
        <f>C86+D86+E86</f>
        <v>-1110</v>
      </c>
      <c r="V86" s="874">
        <f>F86+G86+H86</f>
        <v>-569</v>
      </c>
      <c r="W86" s="874">
        <f>I86+J86+K86</f>
        <v>-534</v>
      </c>
      <c r="X86" s="874">
        <f>L86+M86+N86</f>
        <v>-987</v>
      </c>
      <c r="Y86" s="873">
        <f>SUM(U86:X86)</f>
        <v>-3200</v>
      </c>
    </row>
    <row r="87" spans="1:25" x14ac:dyDescent="0.2">
      <c r="A87" s="905" t="s">
        <v>577</v>
      </c>
      <c r="C87" s="720">
        <v>-84</v>
      </c>
      <c r="D87" s="720">
        <v>-84</v>
      </c>
      <c r="E87" s="720">
        <v>-73</v>
      </c>
      <c r="F87" s="720">
        <v>-45</v>
      </c>
      <c r="G87" s="720">
        <v>-44</v>
      </c>
      <c r="H87" s="720">
        <v>-44</v>
      </c>
      <c r="I87" s="720">
        <v>-43</v>
      </c>
      <c r="J87" s="720">
        <v>-43</v>
      </c>
      <c r="K87" s="720">
        <v>-44</v>
      </c>
      <c r="L87" s="720">
        <v>-44</v>
      </c>
      <c r="M87" s="720">
        <v>-70</v>
      </c>
      <c r="N87" s="720">
        <v>-82</v>
      </c>
      <c r="O87" s="115">
        <f>SUM(C87:N87)</f>
        <v>-700</v>
      </c>
      <c r="P87" s="115"/>
      <c r="Q87" s="875"/>
      <c r="R87" s="877" t="s">
        <v>496</v>
      </c>
      <c r="S87" s="875"/>
      <c r="T87" s="115"/>
      <c r="U87" s="874">
        <f>C87+D87+E87</f>
        <v>-241</v>
      </c>
      <c r="V87" s="874">
        <f>F87+G87+H87</f>
        <v>-133</v>
      </c>
      <c r="W87" s="874">
        <f>I87+J87+K87</f>
        <v>-130</v>
      </c>
      <c r="X87" s="874">
        <f>L87+M87+N87</f>
        <v>-196</v>
      </c>
      <c r="Y87" s="873">
        <f>SUM(U87:X87)</f>
        <v>-700</v>
      </c>
    </row>
    <row r="88" spans="1:25" x14ac:dyDescent="0.2">
      <c r="A88" s="905" t="s">
        <v>573</v>
      </c>
      <c r="C88" s="1007">
        <f>-86+86</f>
        <v>0</v>
      </c>
      <c r="D88" s="1007">
        <f>-85+85</f>
        <v>0</v>
      </c>
      <c r="E88" s="1007">
        <f t="shared" ref="E88:N88" si="29">-86+86</f>
        <v>0</v>
      </c>
      <c r="F88" s="1007">
        <f t="shared" si="29"/>
        <v>0</v>
      </c>
      <c r="G88" s="1007">
        <f t="shared" si="29"/>
        <v>0</v>
      </c>
      <c r="H88" s="1007">
        <f>-85+85</f>
        <v>0</v>
      </c>
      <c r="I88" s="1007">
        <f t="shared" si="29"/>
        <v>0</v>
      </c>
      <c r="J88" s="1007">
        <f>-85+85</f>
        <v>0</v>
      </c>
      <c r="K88" s="1007">
        <f t="shared" si="29"/>
        <v>0</v>
      </c>
      <c r="L88" s="1007">
        <f>-85+85</f>
        <v>0</v>
      </c>
      <c r="M88" s="1007">
        <f t="shared" si="29"/>
        <v>0</v>
      </c>
      <c r="N88" s="1007">
        <f t="shared" si="29"/>
        <v>0</v>
      </c>
      <c r="O88" s="115">
        <f t="shared" si="23"/>
        <v>0</v>
      </c>
      <c r="P88" s="115"/>
      <c r="Q88" s="875"/>
      <c r="R88" s="877" t="s">
        <v>496</v>
      </c>
      <c r="S88" s="875"/>
      <c r="T88" s="115"/>
      <c r="U88" s="874">
        <f t="shared" si="24"/>
        <v>0</v>
      </c>
      <c r="V88" s="874">
        <f t="shared" si="25"/>
        <v>0</v>
      </c>
      <c r="W88" s="874">
        <f t="shared" si="26"/>
        <v>0</v>
      </c>
      <c r="X88" s="874">
        <f t="shared" si="27"/>
        <v>0</v>
      </c>
      <c r="Y88" s="873">
        <f t="shared" si="28"/>
        <v>0</v>
      </c>
    </row>
    <row r="89" spans="1:25" x14ac:dyDescent="0.2">
      <c r="A89" s="905" t="s">
        <v>497</v>
      </c>
      <c r="C89" s="116">
        <v>-31</v>
      </c>
      <c r="D89" s="116">
        <v>-31</v>
      </c>
      <c r="E89" s="116">
        <v>-32</v>
      </c>
      <c r="F89" s="116">
        <v>-31</v>
      </c>
      <c r="G89" s="116">
        <v>-31</v>
      </c>
      <c r="H89" s="116">
        <v>-32</v>
      </c>
      <c r="I89" s="116">
        <v>-31</v>
      </c>
      <c r="J89" s="116">
        <v>-31</v>
      </c>
      <c r="K89" s="116">
        <v>-32</v>
      </c>
      <c r="L89" s="116">
        <v>-32</v>
      </c>
      <c r="M89" s="116">
        <v>-32</v>
      </c>
      <c r="N89" s="116">
        <v>-32</v>
      </c>
      <c r="O89" s="115">
        <f t="shared" si="23"/>
        <v>-378</v>
      </c>
      <c r="P89" s="115"/>
      <c r="Q89" s="875"/>
      <c r="R89" s="877" t="s">
        <v>496</v>
      </c>
      <c r="S89" s="875"/>
      <c r="T89" s="115"/>
      <c r="U89" s="874">
        <f t="shared" si="24"/>
        <v>-94</v>
      </c>
      <c r="V89" s="874">
        <f t="shared" si="25"/>
        <v>-94</v>
      </c>
      <c r="W89" s="874">
        <f t="shared" si="26"/>
        <v>-94</v>
      </c>
      <c r="X89" s="874">
        <f t="shared" si="27"/>
        <v>-96</v>
      </c>
      <c r="Y89" s="873">
        <f t="shared" si="28"/>
        <v>-378</v>
      </c>
    </row>
    <row r="90" spans="1:25" x14ac:dyDescent="0.2">
      <c r="A90" s="905" t="s">
        <v>498</v>
      </c>
      <c r="C90" s="116">
        <v>-127</v>
      </c>
      <c r="D90" s="116">
        <v>-127</v>
      </c>
      <c r="E90" s="116">
        <v>-127</v>
      </c>
      <c r="F90" s="116">
        <v>-127</v>
      </c>
      <c r="G90" s="116">
        <v>-127</v>
      </c>
      <c r="H90" s="116">
        <v>-127</v>
      </c>
      <c r="I90" s="116">
        <v>-127</v>
      </c>
      <c r="J90" s="116">
        <v>-127</v>
      </c>
      <c r="K90" s="116">
        <v>-127</v>
      </c>
      <c r="L90" s="116">
        <v>-127</v>
      </c>
      <c r="M90" s="116">
        <v>-128</v>
      </c>
      <c r="N90" s="116">
        <v>-128</v>
      </c>
      <c r="O90" s="115">
        <f t="shared" si="23"/>
        <v>-1526</v>
      </c>
      <c r="P90" s="115"/>
      <c r="Q90" s="875"/>
      <c r="R90" s="877" t="s">
        <v>496</v>
      </c>
      <c r="S90" s="875"/>
      <c r="T90" s="115"/>
      <c r="U90" s="874">
        <f t="shared" si="24"/>
        <v>-381</v>
      </c>
      <c r="V90" s="874">
        <f t="shared" si="25"/>
        <v>-381</v>
      </c>
      <c r="W90" s="874">
        <f t="shared" si="26"/>
        <v>-381</v>
      </c>
      <c r="X90" s="874">
        <f t="shared" si="27"/>
        <v>-383</v>
      </c>
      <c r="Y90" s="873">
        <f t="shared" si="28"/>
        <v>-1526</v>
      </c>
    </row>
    <row r="91" spans="1:25" x14ac:dyDescent="0.2">
      <c r="A91" s="905" t="s">
        <v>499</v>
      </c>
      <c r="C91" s="116">
        <v>-28</v>
      </c>
      <c r="D91" s="116">
        <v>-28</v>
      </c>
      <c r="E91" s="116">
        <v>-28</v>
      </c>
      <c r="F91" s="116">
        <v>-28</v>
      </c>
      <c r="G91" s="116">
        <v>-28</v>
      </c>
      <c r="H91" s="116">
        <v>-28</v>
      </c>
      <c r="I91" s="116">
        <v>-28</v>
      </c>
      <c r="J91" s="116">
        <v>-28</v>
      </c>
      <c r="K91" s="116">
        <v>-28</v>
      </c>
      <c r="L91" s="116">
        <v>-28</v>
      </c>
      <c r="M91" s="116">
        <v>-28</v>
      </c>
      <c r="N91" s="116">
        <v>-29</v>
      </c>
      <c r="O91" s="115">
        <f t="shared" si="23"/>
        <v>-337</v>
      </c>
      <c r="P91" s="115"/>
      <c r="Q91" s="875"/>
      <c r="R91" s="877" t="s">
        <v>496</v>
      </c>
      <c r="S91" s="875"/>
      <c r="T91" s="115"/>
      <c r="U91" s="874">
        <f t="shared" si="24"/>
        <v>-84</v>
      </c>
      <c r="V91" s="874">
        <f t="shared" si="25"/>
        <v>-84</v>
      </c>
      <c r="W91" s="874">
        <f t="shared" si="26"/>
        <v>-84</v>
      </c>
      <c r="X91" s="874">
        <f t="shared" si="27"/>
        <v>-85</v>
      </c>
      <c r="Y91" s="873">
        <f t="shared" si="28"/>
        <v>-337</v>
      </c>
    </row>
    <row r="92" spans="1:25" x14ac:dyDescent="0.2">
      <c r="A92" s="905" t="s">
        <v>500</v>
      </c>
      <c r="C92" s="116">
        <v>-219</v>
      </c>
      <c r="D92" s="116">
        <v>-219</v>
      </c>
      <c r="E92" s="116">
        <v>-219</v>
      </c>
      <c r="F92" s="116">
        <v>-219</v>
      </c>
      <c r="G92" s="116">
        <v>-219</v>
      </c>
      <c r="H92" s="116">
        <v>-219</v>
      </c>
      <c r="I92" s="116">
        <v>-219</v>
      </c>
      <c r="J92" s="116">
        <v>-219</v>
      </c>
      <c r="K92" s="116">
        <v>-219</v>
      </c>
      <c r="L92" s="116">
        <v>-219</v>
      </c>
      <c r="M92" s="116">
        <v>-219</v>
      </c>
      <c r="N92" s="116">
        <v>-219</v>
      </c>
      <c r="O92" s="115">
        <f t="shared" si="23"/>
        <v>-2628</v>
      </c>
      <c r="P92" s="115"/>
      <c r="Q92" s="875"/>
      <c r="R92" s="877" t="s">
        <v>496</v>
      </c>
      <c r="S92" s="875"/>
      <c r="T92" s="115"/>
      <c r="U92" s="874">
        <f t="shared" si="24"/>
        <v>-657</v>
      </c>
      <c r="V92" s="874">
        <f t="shared" si="25"/>
        <v>-657</v>
      </c>
      <c r="W92" s="874">
        <f t="shared" si="26"/>
        <v>-657</v>
      </c>
      <c r="X92" s="874">
        <f t="shared" si="27"/>
        <v>-657</v>
      </c>
      <c r="Y92" s="873">
        <f t="shared" si="28"/>
        <v>-2628</v>
      </c>
    </row>
    <row r="93" spans="1:25" x14ac:dyDescent="0.2">
      <c r="A93" s="905" t="s">
        <v>501</v>
      </c>
      <c r="C93" s="878">
        <v>0</v>
      </c>
      <c r="D93" s="878">
        <v>0</v>
      </c>
      <c r="E93" s="878">
        <v>0</v>
      </c>
      <c r="F93" s="878">
        <v>0</v>
      </c>
      <c r="G93" s="878">
        <v>0</v>
      </c>
      <c r="H93" s="878">
        <v>0</v>
      </c>
      <c r="I93" s="878">
        <v>0</v>
      </c>
      <c r="J93" s="878">
        <v>0</v>
      </c>
      <c r="K93" s="878">
        <v>0</v>
      </c>
      <c r="L93" s="878">
        <v>0</v>
      </c>
      <c r="M93" s="878">
        <v>0</v>
      </c>
      <c r="N93" s="878">
        <v>0</v>
      </c>
      <c r="O93" s="115">
        <f t="shared" si="23"/>
        <v>0</v>
      </c>
      <c r="P93" s="115"/>
      <c r="Q93" s="875"/>
      <c r="R93" s="877" t="s">
        <v>496</v>
      </c>
      <c r="S93" s="875"/>
      <c r="T93" s="115"/>
      <c r="U93" s="874">
        <f t="shared" si="24"/>
        <v>0</v>
      </c>
      <c r="V93" s="874">
        <f t="shared" si="25"/>
        <v>0</v>
      </c>
      <c r="W93" s="874">
        <f t="shared" si="26"/>
        <v>0</v>
      </c>
      <c r="X93" s="874">
        <f t="shared" si="27"/>
        <v>0</v>
      </c>
      <c r="Y93" s="873">
        <f t="shared" si="28"/>
        <v>0</v>
      </c>
    </row>
    <row r="94" spans="1:25" x14ac:dyDescent="0.2">
      <c r="A94" s="905" t="s">
        <v>1045</v>
      </c>
      <c r="C94" s="878">
        <v>0</v>
      </c>
      <c r="D94" s="878">
        <v>0</v>
      </c>
      <c r="E94" s="878">
        <v>0</v>
      </c>
      <c r="F94" s="878">
        <v>0</v>
      </c>
      <c r="G94" s="878">
        <v>0</v>
      </c>
      <c r="H94" s="878">
        <v>0</v>
      </c>
      <c r="I94" s="878">
        <v>0</v>
      </c>
      <c r="J94" s="878">
        <v>0</v>
      </c>
      <c r="K94" s="878">
        <v>0</v>
      </c>
      <c r="L94" s="878">
        <v>0</v>
      </c>
      <c r="M94" s="878">
        <v>0</v>
      </c>
      <c r="N94" s="878">
        <v>0</v>
      </c>
      <c r="O94" s="115">
        <f t="shared" si="23"/>
        <v>0</v>
      </c>
      <c r="P94" s="115"/>
      <c r="Q94" s="875"/>
      <c r="R94" s="877" t="s">
        <v>496</v>
      </c>
      <c r="S94" s="875"/>
      <c r="T94" s="115"/>
      <c r="U94" s="874">
        <f t="shared" si="24"/>
        <v>0</v>
      </c>
      <c r="V94" s="874">
        <f t="shared" si="25"/>
        <v>0</v>
      </c>
      <c r="W94" s="874">
        <f t="shared" si="26"/>
        <v>0</v>
      </c>
      <c r="X94" s="874">
        <f t="shared" si="27"/>
        <v>0</v>
      </c>
      <c r="Y94" s="873">
        <f t="shared" si="28"/>
        <v>0</v>
      </c>
    </row>
    <row r="95" spans="1:25" x14ac:dyDescent="0.2">
      <c r="A95" s="905" t="s">
        <v>1046</v>
      </c>
      <c r="C95" s="878">
        <v>0</v>
      </c>
      <c r="D95" s="878">
        <v>0</v>
      </c>
      <c r="E95" s="878">
        <v>0</v>
      </c>
      <c r="F95" s="878">
        <v>0</v>
      </c>
      <c r="G95" s="878">
        <v>0</v>
      </c>
      <c r="H95" s="878">
        <v>0</v>
      </c>
      <c r="I95" s="878">
        <v>0</v>
      </c>
      <c r="J95" s="878">
        <v>0</v>
      </c>
      <c r="K95" s="878">
        <v>0</v>
      </c>
      <c r="L95" s="878">
        <v>0</v>
      </c>
      <c r="M95" s="878">
        <v>0</v>
      </c>
      <c r="N95" s="878">
        <v>0</v>
      </c>
      <c r="O95" s="115">
        <f t="shared" si="23"/>
        <v>0</v>
      </c>
      <c r="P95" s="115"/>
      <c r="Q95" s="875"/>
      <c r="R95" s="877" t="s">
        <v>496</v>
      </c>
      <c r="S95" s="875"/>
      <c r="T95" s="115"/>
      <c r="U95" s="874">
        <f t="shared" si="24"/>
        <v>0</v>
      </c>
      <c r="V95" s="874">
        <f t="shared" si="25"/>
        <v>0</v>
      </c>
      <c r="W95" s="874">
        <f t="shared" si="26"/>
        <v>0</v>
      </c>
      <c r="X95" s="874">
        <f t="shared" si="27"/>
        <v>0</v>
      </c>
      <c r="Y95" s="873">
        <f t="shared" si="28"/>
        <v>0</v>
      </c>
    </row>
    <row r="96" spans="1:25" x14ac:dyDescent="0.2">
      <c r="A96" s="905" t="s">
        <v>724</v>
      </c>
      <c r="C96" s="116">
        <v>0</v>
      </c>
      <c r="D96" s="116">
        <v>0</v>
      </c>
      <c r="E96" s="116">
        <v>0</v>
      </c>
      <c r="F96" s="116">
        <v>0</v>
      </c>
      <c r="G96" s="116">
        <v>0</v>
      </c>
      <c r="H96" s="116">
        <v>0</v>
      </c>
      <c r="I96" s="116">
        <v>0</v>
      </c>
      <c r="J96" s="116">
        <v>0</v>
      </c>
      <c r="K96" s="116">
        <v>0</v>
      </c>
      <c r="L96" s="116">
        <v>0</v>
      </c>
      <c r="M96" s="116">
        <v>0</v>
      </c>
      <c r="N96" s="116">
        <v>0</v>
      </c>
      <c r="O96" s="115">
        <f t="shared" si="23"/>
        <v>0</v>
      </c>
      <c r="P96" s="115"/>
      <c r="Q96" s="875"/>
      <c r="R96" s="877" t="s">
        <v>496</v>
      </c>
      <c r="S96" s="875"/>
      <c r="T96" s="115"/>
      <c r="U96" s="874">
        <f t="shared" ref="U96:U107" si="30">C96+D96+E96</f>
        <v>0</v>
      </c>
      <c r="V96" s="874">
        <f t="shared" ref="V96:V107" si="31">F96+G96+H96</f>
        <v>0</v>
      </c>
      <c r="W96" s="874">
        <f t="shared" ref="W96:W107" si="32">I96+J96+K96</f>
        <v>0</v>
      </c>
      <c r="X96" s="874">
        <f t="shared" ref="X96:X107" si="33">L96+M96+N96</f>
        <v>0</v>
      </c>
      <c r="Y96" s="873">
        <f t="shared" ref="Y96:Y107" si="34">SUM(U96:X96)</f>
        <v>0</v>
      </c>
    </row>
    <row r="97" spans="1:25" x14ac:dyDescent="0.2">
      <c r="A97" s="905" t="s">
        <v>416</v>
      </c>
      <c r="C97" s="878">
        <v>0</v>
      </c>
      <c r="D97" s="878">
        <v>0</v>
      </c>
      <c r="E97" s="878">
        <v>0</v>
      </c>
      <c r="F97" s="878">
        <v>0</v>
      </c>
      <c r="G97" s="878">
        <v>0</v>
      </c>
      <c r="H97" s="878">
        <v>0</v>
      </c>
      <c r="I97" s="878">
        <v>0</v>
      </c>
      <c r="J97" s="878">
        <v>0</v>
      </c>
      <c r="K97" s="878">
        <v>0</v>
      </c>
      <c r="L97" s="878">
        <v>0</v>
      </c>
      <c r="M97" s="878">
        <v>0</v>
      </c>
      <c r="N97" s="878">
        <v>0</v>
      </c>
      <c r="O97" s="115">
        <f t="shared" si="23"/>
        <v>0</v>
      </c>
      <c r="P97" s="115"/>
      <c r="Q97" s="875"/>
      <c r="R97" s="877" t="s">
        <v>496</v>
      </c>
      <c r="S97" s="875"/>
      <c r="T97" s="115"/>
      <c r="U97" s="874">
        <f t="shared" si="30"/>
        <v>0</v>
      </c>
      <c r="V97" s="874">
        <f t="shared" si="31"/>
        <v>0</v>
      </c>
      <c r="W97" s="874">
        <f t="shared" si="32"/>
        <v>0</v>
      </c>
      <c r="X97" s="874">
        <f t="shared" si="33"/>
        <v>0</v>
      </c>
      <c r="Y97" s="873">
        <f t="shared" si="34"/>
        <v>0</v>
      </c>
    </row>
    <row r="98" spans="1:25" x14ac:dyDescent="0.2">
      <c r="A98" s="905" t="s">
        <v>417</v>
      </c>
      <c r="C98" s="878">
        <v>0</v>
      </c>
      <c r="D98" s="878">
        <v>0</v>
      </c>
      <c r="E98" s="878">
        <v>0</v>
      </c>
      <c r="F98" s="878">
        <v>0</v>
      </c>
      <c r="G98" s="878">
        <v>0</v>
      </c>
      <c r="H98" s="878">
        <v>0</v>
      </c>
      <c r="I98" s="878">
        <v>0</v>
      </c>
      <c r="J98" s="878">
        <v>0</v>
      </c>
      <c r="K98" s="878">
        <v>0</v>
      </c>
      <c r="L98" s="878">
        <v>0</v>
      </c>
      <c r="M98" s="878">
        <v>0</v>
      </c>
      <c r="N98" s="878">
        <v>0</v>
      </c>
      <c r="O98" s="115">
        <f t="shared" si="23"/>
        <v>0</v>
      </c>
      <c r="P98" s="115"/>
      <c r="Q98" s="875"/>
      <c r="R98" s="877" t="s">
        <v>496</v>
      </c>
      <c r="S98" s="875"/>
      <c r="T98" s="115"/>
      <c r="U98" s="874">
        <f t="shared" si="30"/>
        <v>0</v>
      </c>
      <c r="V98" s="874">
        <f t="shared" si="31"/>
        <v>0</v>
      </c>
      <c r="W98" s="874">
        <f t="shared" si="32"/>
        <v>0</v>
      </c>
      <c r="X98" s="874">
        <f t="shared" si="33"/>
        <v>0</v>
      </c>
      <c r="Y98" s="873">
        <f t="shared" si="34"/>
        <v>0</v>
      </c>
    </row>
    <row r="99" spans="1:25" x14ac:dyDescent="0.2">
      <c r="A99" s="905" t="s">
        <v>574</v>
      </c>
      <c r="C99" s="1007">
        <f>-349+349</f>
        <v>0</v>
      </c>
      <c r="D99" s="1007">
        <f>-350+350</f>
        <v>0</v>
      </c>
      <c r="E99" s="1007">
        <f>-349+349</f>
        <v>0</v>
      </c>
      <c r="F99" s="1007">
        <f>-350+350</f>
        <v>0</v>
      </c>
      <c r="G99" s="1007">
        <f>-349+349</f>
        <v>0</v>
      </c>
      <c r="H99" s="1007">
        <f>-350+350</f>
        <v>0</v>
      </c>
      <c r="I99" s="1007">
        <f>-349+349</f>
        <v>0</v>
      </c>
      <c r="J99" s="1007">
        <f>-350+350</f>
        <v>0</v>
      </c>
      <c r="K99" s="1007">
        <f>-349+349</f>
        <v>0</v>
      </c>
      <c r="L99" s="1007">
        <f>-350+350</f>
        <v>0</v>
      </c>
      <c r="M99" s="1007">
        <f>-351+351</f>
        <v>0</v>
      </c>
      <c r="N99" s="1007">
        <f>-351+351</f>
        <v>0</v>
      </c>
      <c r="O99" s="115">
        <f t="shared" si="23"/>
        <v>0</v>
      </c>
      <c r="P99" s="115"/>
      <c r="Q99" s="875"/>
      <c r="R99" s="877" t="s">
        <v>496</v>
      </c>
      <c r="S99" s="875"/>
      <c r="T99" s="115"/>
      <c r="U99" s="874">
        <f t="shared" si="30"/>
        <v>0</v>
      </c>
      <c r="V99" s="874">
        <f t="shared" si="31"/>
        <v>0</v>
      </c>
      <c r="W99" s="874">
        <f t="shared" si="32"/>
        <v>0</v>
      </c>
      <c r="X99" s="874">
        <f t="shared" si="33"/>
        <v>0</v>
      </c>
      <c r="Y99" s="873">
        <f t="shared" si="34"/>
        <v>0</v>
      </c>
    </row>
    <row r="100" spans="1:25" x14ac:dyDescent="0.2">
      <c r="A100" s="905" t="s">
        <v>575</v>
      </c>
      <c r="C100" s="269">
        <v>-2</v>
      </c>
      <c r="D100" s="269">
        <v>-3</v>
      </c>
      <c r="E100" s="269">
        <v>-2</v>
      </c>
      <c r="F100" s="269">
        <v>-3</v>
      </c>
      <c r="G100" s="269">
        <v>-2</v>
      </c>
      <c r="H100" s="269">
        <v>-3</v>
      </c>
      <c r="I100" s="269">
        <v>-2</v>
      </c>
      <c r="J100" s="269">
        <v>-3</v>
      </c>
      <c r="K100" s="269">
        <v>-3</v>
      </c>
      <c r="L100" s="269">
        <v>-3</v>
      </c>
      <c r="M100" s="269">
        <v>-2</v>
      </c>
      <c r="N100" s="269">
        <v>-3</v>
      </c>
      <c r="O100" s="118">
        <f t="shared" si="23"/>
        <v>-31</v>
      </c>
      <c r="P100" s="115"/>
      <c r="Q100" s="875"/>
      <c r="R100" s="877" t="s">
        <v>496</v>
      </c>
      <c r="S100" s="875"/>
      <c r="T100" s="115"/>
      <c r="U100" s="919">
        <f t="shared" si="30"/>
        <v>-7</v>
      </c>
      <c r="V100" s="919">
        <f t="shared" si="31"/>
        <v>-8</v>
      </c>
      <c r="W100" s="919">
        <f t="shared" si="32"/>
        <v>-8</v>
      </c>
      <c r="X100" s="919">
        <f t="shared" si="33"/>
        <v>-8</v>
      </c>
      <c r="Y100" s="920">
        <f t="shared" si="34"/>
        <v>-31</v>
      </c>
    </row>
    <row r="101" spans="1:25" x14ac:dyDescent="0.2">
      <c r="A101" s="905" t="s">
        <v>552</v>
      </c>
      <c r="C101" s="971">
        <f>SUM(C84:C100)</f>
        <v>-1213</v>
      </c>
      <c r="D101" s="971">
        <f t="shared" ref="D101:O101" si="35">SUM(D84:D100)</f>
        <v>-1140</v>
      </c>
      <c r="E101" s="971">
        <f t="shared" si="35"/>
        <v>-1079</v>
      </c>
      <c r="F101" s="971">
        <f t="shared" si="35"/>
        <v>-972</v>
      </c>
      <c r="G101" s="971">
        <f t="shared" si="35"/>
        <v>-900</v>
      </c>
      <c r="H101" s="971">
        <f t="shared" si="35"/>
        <v>-912</v>
      </c>
      <c r="I101" s="971">
        <f t="shared" si="35"/>
        <v>-909</v>
      </c>
      <c r="J101" s="971">
        <f t="shared" si="35"/>
        <v>-917</v>
      </c>
      <c r="K101" s="971">
        <f t="shared" si="35"/>
        <v>-921</v>
      </c>
      <c r="L101" s="971">
        <f t="shared" si="35"/>
        <v>-993</v>
      </c>
      <c r="M101" s="971">
        <f t="shared" si="35"/>
        <v>-1074</v>
      </c>
      <c r="N101" s="971">
        <f t="shared" si="35"/>
        <v>-1239</v>
      </c>
      <c r="O101" s="971">
        <f t="shared" si="35"/>
        <v>-12269</v>
      </c>
      <c r="P101" s="115"/>
      <c r="Q101" s="875"/>
      <c r="R101" s="877"/>
      <c r="S101" s="875"/>
      <c r="T101" s="115"/>
      <c r="U101" s="971">
        <f>SUM(U84:U100)</f>
        <v>-3432</v>
      </c>
      <c r="V101" s="971">
        <f>SUM(V84:V100)</f>
        <v>-2784</v>
      </c>
      <c r="W101" s="971">
        <f>SUM(W84:W100)</f>
        <v>-2747</v>
      </c>
      <c r="X101" s="971">
        <f>SUM(X84:X100)</f>
        <v>-3306</v>
      </c>
      <c r="Y101" s="971">
        <f>SUM(Y84:Y100)</f>
        <v>-12269</v>
      </c>
    </row>
    <row r="102" spans="1:25" ht="3.95" customHeight="1" x14ac:dyDescent="0.2">
      <c r="A102" s="905"/>
      <c r="C102" s="116"/>
      <c r="D102" s="116"/>
      <c r="E102" s="116"/>
      <c r="F102" s="116"/>
      <c r="G102" s="116"/>
      <c r="H102" s="116"/>
      <c r="I102" s="116"/>
      <c r="J102" s="116"/>
      <c r="K102" s="116"/>
      <c r="L102" s="116"/>
      <c r="M102" s="116"/>
      <c r="N102" s="116"/>
      <c r="O102" s="115"/>
      <c r="P102" s="115"/>
      <c r="Q102" s="875"/>
      <c r="R102" s="877"/>
      <c r="S102" s="875"/>
      <c r="T102" s="115"/>
      <c r="U102" s="874"/>
      <c r="V102" s="874"/>
      <c r="W102" s="874"/>
      <c r="X102" s="874"/>
      <c r="Y102" s="873"/>
    </row>
    <row r="103" spans="1:25" x14ac:dyDescent="0.2">
      <c r="A103" s="905" t="s">
        <v>597</v>
      </c>
      <c r="C103" s="369">
        <v>-235</v>
      </c>
      <c r="D103" s="369">
        <v>-235</v>
      </c>
      <c r="E103" s="369">
        <v>-235</v>
      </c>
      <c r="F103" s="369">
        <v>-235</v>
      </c>
      <c r="G103" s="369">
        <v>-235</v>
      </c>
      <c r="H103" s="369">
        <v>-29</v>
      </c>
      <c r="I103" s="369">
        <v>-72</v>
      </c>
      <c r="J103" s="369">
        <v>-117</v>
      </c>
      <c r="K103" s="369">
        <v>-161</v>
      </c>
      <c r="L103" s="369">
        <v>-220</v>
      </c>
      <c r="M103" s="369">
        <v>-220</v>
      </c>
      <c r="N103" s="369">
        <v>-220</v>
      </c>
      <c r="O103" s="370">
        <f t="shared" ref="O103:O108" si="36">SUM(C103:N103)</f>
        <v>-2214</v>
      </c>
      <c r="P103" s="370"/>
      <c r="Q103" s="875"/>
      <c r="R103" s="876" t="s">
        <v>1096</v>
      </c>
      <c r="S103" s="875"/>
      <c r="T103" s="370"/>
      <c r="U103" s="874">
        <f t="shared" si="30"/>
        <v>-705</v>
      </c>
      <c r="V103" s="874">
        <f t="shared" si="31"/>
        <v>-499</v>
      </c>
      <c r="W103" s="874">
        <f t="shared" si="32"/>
        <v>-350</v>
      </c>
      <c r="X103" s="874">
        <f t="shared" si="33"/>
        <v>-660</v>
      </c>
      <c r="Y103" s="873">
        <f t="shared" si="34"/>
        <v>-2214</v>
      </c>
    </row>
    <row r="104" spans="1:25" x14ac:dyDescent="0.2">
      <c r="A104" s="905" t="s">
        <v>502</v>
      </c>
      <c r="C104" s="369">
        <v>-938</v>
      </c>
      <c r="D104" s="369">
        <v>-938</v>
      </c>
      <c r="E104" s="369">
        <v>-938</v>
      </c>
      <c r="F104" s="369">
        <v>-938</v>
      </c>
      <c r="G104" s="369">
        <v>-938</v>
      </c>
      <c r="H104" s="369">
        <v>-938</v>
      </c>
      <c r="I104" s="369">
        <v>-938</v>
      </c>
      <c r="J104" s="369">
        <v>-938</v>
      </c>
      <c r="K104" s="369">
        <v>-938</v>
      </c>
      <c r="L104" s="369">
        <v>-938</v>
      </c>
      <c r="M104" s="369">
        <v>-938</v>
      </c>
      <c r="N104" s="369">
        <v>-938</v>
      </c>
      <c r="O104" s="370">
        <f t="shared" si="36"/>
        <v>-11256</v>
      </c>
      <c r="P104" s="370"/>
      <c r="Q104" s="875"/>
      <c r="R104" s="876" t="s">
        <v>1096</v>
      </c>
      <c r="S104" s="875"/>
      <c r="T104" s="370"/>
      <c r="U104" s="874">
        <f t="shared" si="30"/>
        <v>-2814</v>
      </c>
      <c r="V104" s="874">
        <f t="shared" si="31"/>
        <v>-2814</v>
      </c>
      <c r="W104" s="874">
        <f t="shared" si="32"/>
        <v>-2814</v>
      </c>
      <c r="X104" s="874">
        <f t="shared" si="33"/>
        <v>-2814</v>
      </c>
      <c r="Y104" s="873">
        <f t="shared" si="34"/>
        <v>-11256</v>
      </c>
    </row>
    <row r="105" spans="1:25" x14ac:dyDescent="0.2">
      <c r="A105" s="905" t="s">
        <v>735</v>
      </c>
      <c r="C105" s="369">
        <v>0</v>
      </c>
      <c r="D105" s="369">
        <v>0</v>
      </c>
      <c r="E105" s="369">
        <v>0</v>
      </c>
      <c r="F105" s="369">
        <v>0</v>
      </c>
      <c r="G105" s="369">
        <v>0</v>
      </c>
      <c r="H105" s="369">
        <v>0</v>
      </c>
      <c r="I105" s="369">
        <v>0</v>
      </c>
      <c r="J105" s="369">
        <v>0</v>
      </c>
      <c r="K105" s="369">
        <v>0</v>
      </c>
      <c r="L105" s="369">
        <v>0</v>
      </c>
      <c r="M105" s="369">
        <v>0</v>
      </c>
      <c r="N105" s="369">
        <v>0</v>
      </c>
      <c r="O105" s="370">
        <f t="shared" si="36"/>
        <v>0</v>
      </c>
      <c r="P105" s="370"/>
      <c r="Q105" s="875"/>
      <c r="R105" s="876" t="s">
        <v>1096</v>
      </c>
      <c r="S105" s="875"/>
      <c r="T105" s="370"/>
      <c r="U105" s="874">
        <f t="shared" si="30"/>
        <v>0</v>
      </c>
      <c r="V105" s="874">
        <f t="shared" si="31"/>
        <v>0</v>
      </c>
      <c r="W105" s="874">
        <f t="shared" si="32"/>
        <v>0</v>
      </c>
      <c r="X105" s="874">
        <f t="shared" si="33"/>
        <v>0</v>
      </c>
      <c r="Y105" s="873">
        <f t="shared" si="34"/>
        <v>0</v>
      </c>
    </row>
    <row r="106" spans="1:25" x14ac:dyDescent="0.2">
      <c r="A106" s="905" t="s">
        <v>578</v>
      </c>
      <c r="C106" s="878">
        <v>-68</v>
      </c>
      <c r="D106" s="878">
        <v>-9</v>
      </c>
      <c r="E106" s="878">
        <v>-109</v>
      </c>
      <c r="F106" s="878">
        <v>-100</v>
      </c>
      <c r="G106" s="878">
        <v>0</v>
      </c>
      <c r="H106" s="878">
        <v>0</v>
      </c>
      <c r="I106" s="878">
        <v>0</v>
      </c>
      <c r="J106" s="878">
        <v>0</v>
      </c>
      <c r="K106" s="878">
        <v>0</v>
      </c>
      <c r="L106" s="878">
        <v>0</v>
      </c>
      <c r="M106" s="878">
        <v>0</v>
      </c>
      <c r="N106" s="878">
        <v>0</v>
      </c>
      <c r="O106" s="370">
        <f t="shared" si="36"/>
        <v>-286</v>
      </c>
      <c r="P106" s="370"/>
      <c r="Q106" s="875"/>
      <c r="R106" s="876" t="s">
        <v>1096</v>
      </c>
      <c r="S106" s="875"/>
      <c r="T106" s="370"/>
      <c r="U106" s="874">
        <f t="shared" si="30"/>
        <v>-186</v>
      </c>
      <c r="V106" s="874">
        <f t="shared" si="31"/>
        <v>-100</v>
      </c>
      <c r="W106" s="874">
        <f t="shared" si="32"/>
        <v>0</v>
      </c>
      <c r="X106" s="874">
        <f t="shared" si="33"/>
        <v>0</v>
      </c>
      <c r="Y106" s="873">
        <f t="shared" si="34"/>
        <v>-286</v>
      </c>
    </row>
    <row r="107" spans="1:25" x14ac:dyDescent="0.2">
      <c r="A107" s="905" t="s">
        <v>579</v>
      </c>
      <c r="C107" s="1005">
        <f>180-180</f>
        <v>0</v>
      </c>
      <c r="D107" s="1005">
        <f>172-172</f>
        <v>0</v>
      </c>
      <c r="E107" s="1005">
        <f>186-186</f>
        <v>0</v>
      </c>
      <c r="F107" s="1005">
        <f>185-185</f>
        <v>0</v>
      </c>
      <c r="G107" s="1005">
        <f>171-171</f>
        <v>0</v>
      </c>
      <c r="H107" s="1005">
        <f>141-141</f>
        <v>0</v>
      </c>
      <c r="I107" s="1005">
        <f>147-147+333</f>
        <v>333</v>
      </c>
      <c r="J107" s="1005">
        <f>153-153+333</f>
        <v>333</v>
      </c>
      <c r="K107" s="1005">
        <f>160-160+334</f>
        <v>334</v>
      </c>
      <c r="L107" s="1005">
        <f>168-168+333</f>
        <v>333</v>
      </c>
      <c r="M107" s="1005">
        <f>168-168+333</f>
        <v>333</v>
      </c>
      <c r="N107" s="1005">
        <f>169-169+334</f>
        <v>334</v>
      </c>
      <c r="O107" s="370">
        <f t="shared" si="36"/>
        <v>2000</v>
      </c>
      <c r="P107" s="370"/>
      <c r="Q107" s="875"/>
      <c r="R107" s="876" t="s">
        <v>1096</v>
      </c>
      <c r="S107" s="875"/>
      <c r="T107" s="370"/>
      <c r="U107" s="874">
        <f t="shared" si="30"/>
        <v>0</v>
      </c>
      <c r="V107" s="874">
        <f t="shared" si="31"/>
        <v>0</v>
      </c>
      <c r="W107" s="874">
        <f t="shared" si="32"/>
        <v>1000</v>
      </c>
      <c r="X107" s="874">
        <f t="shared" si="33"/>
        <v>1000</v>
      </c>
      <c r="Y107" s="873">
        <f t="shared" si="34"/>
        <v>2000</v>
      </c>
    </row>
    <row r="108" spans="1:25" x14ac:dyDescent="0.2">
      <c r="A108" s="907" t="s">
        <v>563</v>
      </c>
      <c r="C108" s="843">
        <v>-7</v>
      </c>
      <c r="D108" s="843">
        <v>-6</v>
      </c>
      <c r="E108" s="843">
        <v>-7</v>
      </c>
      <c r="F108" s="843">
        <v>-6</v>
      </c>
      <c r="G108" s="843">
        <v>-7</v>
      </c>
      <c r="H108" s="843">
        <v>-6</v>
      </c>
      <c r="I108" s="843">
        <v>-7</v>
      </c>
      <c r="J108" s="843">
        <v>-6</v>
      </c>
      <c r="K108" s="843">
        <v>-7</v>
      </c>
      <c r="L108" s="843">
        <v>-6</v>
      </c>
      <c r="M108" s="843">
        <v>-7</v>
      </c>
      <c r="N108" s="843">
        <v>-6</v>
      </c>
      <c r="O108" s="370">
        <f t="shared" si="36"/>
        <v>-78</v>
      </c>
      <c r="P108" s="370"/>
      <c r="Q108" s="875"/>
      <c r="R108" s="876" t="s">
        <v>1096</v>
      </c>
      <c r="S108" s="875"/>
      <c r="T108" s="370"/>
      <c r="U108" s="874">
        <f>C108+D108+E108</f>
        <v>-20</v>
      </c>
      <c r="V108" s="874">
        <f>F108+G108+H108</f>
        <v>-19</v>
      </c>
      <c r="W108" s="874">
        <f>I108+J108+K108</f>
        <v>-20</v>
      </c>
      <c r="X108" s="874">
        <f>L108+M108+N108</f>
        <v>-19</v>
      </c>
      <c r="Y108" s="873">
        <f>SUM(U108:X108)</f>
        <v>-78</v>
      </c>
    </row>
    <row r="109" spans="1:25" x14ac:dyDescent="0.2">
      <c r="A109" s="907" t="s">
        <v>565</v>
      </c>
      <c r="C109" s="369">
        <v>-40</v>
      </c>
      <c r="D109" s="369">
        <v>-40</v>
      </c>
      <c r="E109" s="369">
        <v>-40</v>
      </c>
      <c r="F109" s="369">
        <v>0</v>
      </c>
      <c r="G109" s="369">
        <v>0</v>
      </c>
      <c r="H109" s="369">
        <v>0</v>
      </c>
      <c r="I109" s="369">
        <v>0</v>
      </c>
      <c r="J109" s="369">
        <v>0</v>
      </c>
      <c r="K109" s="369">
        <v>0</v>
      </c>
      <c r="L109" s="369">
        <v>0</v>
      </c>
      <c r="M109" s="369">
        <v>-40</v>
      </c>
      <c r="N109" s="369">
        <v>-40</v>
      </c>
      <c r="O109" s="370">
        <f>SUM(C109:N109)</f>
        <v>-200</v>
      </c>
      <c r="P109" s="370"/>
      <c r="Q109" s="875"/>
      <c r="R109" s="876" t="s">
        <v>1096</v>
      </c>
      <c r="S109" s="875"/>
      <c r="T109" s="370"/>
      <c r="U109" s="874">
        <f>C109+D109+E109</f>
        <v>-120</v>
      </c>
      <c r="V109" s="874">
        <f>F109+G109+H109</f>
        <v>0</v>
      </c>
      <c r="W109" s="874">
        <f>I109+J109+K109</f>
        <v>0</v>
      </c>
      <c r="X109" s="874">
        <f>L109+M109+N109</f>
        <v>-80</v>
      </c>
      <c r="Y109" s="873">
        <f>SUM(U109:X109)</f>
        <v>-200</v>
      </c>
    </row>
    <row r="110" spans="1:25" ht="3.95" customHeight="1" x14ac:dyDescent="0.2">
      <c r="A110" s="905"/>
      <c r="C110" s="878"/>
      <c r="D110" s="878"/>
      <c r="E110" s="878"/>
      <c r="F110" s="878"/>
      <c r="G110" s="878"/>
      <c r="H110" s="878"/>
      <c r="I110" s="878"/>
      <c r="J110" s="878"/>
      <c r="K110" s="878"/>
      <c r="L110" s="878"/>
      <c r="M110" s="878"/>
      <c r="N110" s="878"/>
      <c r="O110" s="370"/>
      <c r="P110" s="370"/>
      <c r="Q110" s="875"/>
      <c r="R110" s="876"/>
      <c r="S110" s="875"/>
      <c r="T110" s="370"/>
      <c r="U110" s="874"/>
      <c r="V110" s="874"/>
      <c r="W110" s="874"/>
      <c r="X110" s="874"/>
      <c r="Y110" s="873"/>
    </row>
    <row r="111" spans="1:25" ht="12.75" customHeight="1" x14ac:dyDescent="0.2">
      <c r="A111" s="905" t="s">
        <v>598</v>
      </c>
      <c r="C111" s="878">
        <v>-1509</v>
      </c>
      <c r="D111" s="878">
        <v>-973</v>
      </c>
      <c r="E111" s="878">
        <v>-849</v>
      </c>
      <c r="F111" s="878">
        <v>-1571</v>
      </c>
      <c r="G111" s="878">
        <v>-1032</v>
      </c>
      <c r="H111" s="878">
        <v>-918</v>
      </c>
      <c r="I111" s="878">
        <v>-1498</v>
      </c>
      <c r="J111" s="878">
        <v>-955</v>
      </c>
      <c r="K111" s="878">
        <v>-879</v>
      </c>
      <c r="L111" s="878">
        <v>-1486</v>
      </c>
      <c r="M111" s="878">
        <v>-1017</v>
      </c>
      <c r="N111" s="878">
        <v>-918</v>
      </c>
      <c r="O111" s="751">
        <f t="shared" ref="O111:O117" si="37">SUM(C111:N111)</f>
        <v>-13605</v>
      </c>
      <c r="P111" s="751"/>
      <c r="Q111" s="875"/>
      <c r="R111" s="876" t="s">
        <v>503</v>
      </c>
      <c r="S111" s="875"/>
      <c r="T111" s="751"/>
      <c r="U111" s="874">
        <f t="shared" ref="U111:U123" si="38">C111+D111+E111</f>
        <v>-3331</v>
      </c>
      <c r="V111" s="874">
        <f t="shared" ref="V111:V123" si="39">F111+G111+H111</f>
        <v>-3521</v>
      </c>
      <c r="W111" s="874">
        <f t="shared" ref="W111:W123" si="40">I111+J111+K111</f>
        <v>-3332</v>
      </c>
      <c r="X111" s="874">
        <f t="shared" ref="X111:X123" si="41">L111+M111+N111</f>
        <v>-3421</v>
      </c>
      <c r="Y111" s="873">
        <f t="shared" ref="Y111:Y123" si="42">SUM(U111:X111)</f>
        <v>-13605</v>
      </c>
    </row>
    <row r="112" spans="1:25" x14ac:dyDescent="0.2">
      <c r="A112" s="905" t="s">
        <v>599</v>
      </c>
      <c r="C112" s="878">
        <v>0</v>
      </c>
      <c r="D112" s="878">
        <v>0</v>
      </c>
      <c r="E112" s="878">
        <v>0</v>
      </c>
      <c r="F112" s="878">
        <v>0</v>
      </c>
      <c r="G112" s="878">
        <v>0</v>
      </c>
      <c r="H112" s="878">
        <v>0</v>
      </c>
      <c r="I112" s="878">
        <v>0</v>
      </c>
      <c r="J112" s="878">
        <v>0</v>
      </c>
      <c r="K112" s="878">
        <v>0</v>
      </c>
      <c r="L112" s="878">
        <v>0</v>
      </c>
      <c r="M112" s="878">
        <v>0</v>
      </c>
      <c r="N112" s="878">
        <v>0</v>
      </c>
      <c r="O112" s="751">
        <f t="shared" si="37"/>
        <v>0</v>
      </c>
      <c r="P112" s="751"/>
      <c r="Q112" s="875"/>
      <c r="R112" s="876" t="s">
        <v>503</v>
      </c>
      <c r="S112" s="875"/>
      <c r="T112" s="751"/>
      <c r="U112" s="874">
        <f t="shared" si="38"/>
        <v>0</v>
      </c>
      <c r="V112" s="874">
        <f t="shared" si="39"/>
        <v>0</v>
      </c>
      <c r="W112" s="874">
        <f t="shared" si="40"/>
        <v>0</v>
      </c>
      <c r="X112" s="874">
        <f t="shared" si="41"/>
        <v>0</v>
      </c>
      <c r="Y112" s="873">
        <f t="shared" si="42"/>
        <v>0</v>
      </c>
    </row>
    <row r="113" spans="1:25" x14ac:dyDescent="0.2">
      <c r="A113" s="905" t="s">
        <v>605</v>
      </c>
      <c r="C113" s="754">
        <v>0</v>
      </c>
      <c r="D113" s="754">
        <v>0</v>
      </c>
      <c r="E113" s="754">
        <v>0</v>
      </c>
      <c r="F113" s="754">
        <v>0</v>
      </c>
      <c r="G113" s="754">
        <v>0</v>
      </c>
      <c r="H113" s="754">
        <v>0</v>
      </c>
      <c r="I113" s="754">
        <v>0</v>
      </c>
      <c r="J113" s="754">
        <v>0</v>
      </c>
      <c r="K113" s="754">
        <v>0</v>
      </c>
      <c r="L113" s="754">
        <v>0</v>
      </c>
      <c r="M113" s="754">
        <v>0</v>
      </c>
      <c r="N113" s="754">
        <v>0</v>
      </c>
      <c r="O113" s="751">
        <f t="shared" si="37"/>
        <v>0</v>
      </c>
      <c r="P113" s="751"/>
      <c r="Q113" s="875"/>
      <c r="R113" s="876" t="s">
        <v>503</v>
      </c>
      <c r="S113" s="875"/>
      <c r="T113" s="751"/>
      <c r="U113" s="874">
        <f t="shared" si="38"/>
        <v>0</v>
      </c>
      <c r="V113" s="874">
        <f t="shared" si="39"/>
        <v>0</v>
      </c>
      <c r="W113" s="874">
        <f t="shared" si="40"/>
        <v>0</v>
      </c>
      <c r="X113" s="874">
        <f t="shared" si="41"/>
        <v>0</v>
      </c>
      <c r="Y113" s="873">
        <f t="shared" si="42"/>
        <v>0</v>
      </c>
    </row>
    <row r="114" spans="1:25" x14ac:dyDescent="0.2">
      <c r="A114" s="905" t="s">
        <v>600</v>
      </c>
      <c r="C114" s="878">
        <v>-125</v>
      </c>
      <c r="D114" s="878">
        <v>-125</v>
      </c>
      <c r="E114" s="878">
        <v>-125</v>
      </c>
      <c r="F114" s="878">
        <v>-125</v>
      </c>
      <c r="G114" s="878">
        <v>-125</v>
      </c>
      <c r="H114" s="878">
        <v>-125</v>
      </c>
      <c r="I114" s="878">
        <v>-125</v>
      </c>
      <c r="J114" s="878">
        <v>-125</v>
      </c>
      <c r="K114" s="878">
        <v>-125</v>
      </c>
      <c r="L114" s="878">
        <v>-125</v>
      </c>
      <c r="M114" s="878">
        <v>-125</v>
      </c>
      <c r="N114" s="878">
        <v>-125</v>
      </c>
      <c r="O114" s="751">
        <f t="shared" si="37"/>
        <v>-1500</v>
      </c>
      <c r="P114" s="751"/>
      <c r="Q114" s="875"/>
      <c r="R114" s="876" t="s">
        <v>503</v>
      </c>
      <c r="S114" s="875"/>
      <c r="T114" s="751"/>
      <c r="U114" s="874">
        <f t="shared" si="38"/>
        <v>-375</v>
      </c>
      <c r="V114" s="874">
        <f t="shared" si="39"/>
        <v>-375</v>
      </c>
      <c r="W114" s="874">
        <f t="shared" si="40"/>
        <v>-375</v>
      </c>
      <c r="X114" s="874">
        <f t="shared" si="41"/>
        <v>-375</v>
      </c>
      <c r="Y114" s="873">
        <f t="shared" si="42"/>
        <v>-1500</v>
      </c>
    </row>
    <row r="115" spans="1:25" x14ac:dyDescent="0.2">
      <c r="A115" s="905" t="s">
        <v>601</v>
      </c>
      <c r="C115" s="878">
        <v>0</v>
      </c>
      <c r="D115" s="878">
        <v>0</v>
      </c>
      <c r="E115" s="878">
        <v>0</v>
      </c>
      <c r="F115" s="878">
        <v>0</v>
      </c>
      <c r="G115" s="878">
        <v>0</v>
      </c>
      <c r="H115" s="878">
        <v>0</v>
      </c>
      <c r="I115" s="878">
        <v>0</v>
      </c>
      <c r="J115" s="878">
        <v>0</v>
      </c>
      <c r="K115" s="878">
        <v>0</v>
      </c>
      <c r="L115" s="878">
        <v>0</v>
      </c>
      <c r="M115" s="878">
        <v>0</v>
      </c>
      <c r="N115" s="878">
        <v>0</v>
      </c>
      <c r="O115" s="751">
        <f t="shared" si="37"/>
        <v>0</v>
      </c>
      <c r="P115" s="751"/>
      <c r="Q115" s="875"/>
      <c r="R115" s="876" t="s">
        <v>503</v>
      </c>
      <c r="S115" s="875"/>
      <c r="T115" s="751"/>
      <c r="U115" s="874">
        <f t="shared" si="38"/>
        <v>0</v>
      </c>
      <c r="V115" s="874">
        <f t="shared" si="39"/>
        <v>0</v>
      </c>
      <c r="W115" s="874">
        <f t="shared" si="40"/>
        <v>0</v>
      </c>
      <c r="X115" s="874">
        <f t="shared" si="41"/>
        <v>0</v>
      </c>
      <c r="Y115" s="873">
        <f t="shared" si="42"/>
        <v>0</v>
      </c>
    </row>
    <row r="116" spans="1:25" x14ac:dyDescent="0.2">
      <c r="A116" s="905" t="s">
        <v>602</v>
      </c>
      <c r="C116" s="878">
        <v>-33</v>
      </c>
      <c r="D116" s="878">
        <v>-33</v>
      </c>
      <c r="E116" s="878">
        <v>-34</v>
      </c>
      <c r="F116" s="878">
        <v>-33</v>
      </c>
      <c r="G116" s="878">
        <v>-33</v>
      </c>
      <c r="H116" s="878">
        <v>-34</v>
      </c>
      <c r="I116" s="878">
        <v>-33</v>
      </c>
      <c r="J116" s="878">
        <v>-33</v>
      </c>
      <c r="K116" s="878">
        <v>-34</v>
      </c>
      <c r="L116" s="878">
        <v>-33</v>
      </c>
      <c r="M116" s="878">
        <v>-33</v>
      </c>
      <c r="N116" s="878">
        <v>-34</v>
      </c>
      <c r="O116" s="751">
        <f t="shared" si="37"/>
        <v>-400</v>
      </c>
      <c r="P116" s="751"/>
      <c r="Q116" s="875"/>
      <c r="R116" s="876" t="s">
        <v>503</v>
      </c>
      <c r="S116" s="875"/>
      <c r="T116" s="751"/>
      <c r="U116" s="874">
        <f t="shared" si="38"/>
        <v>-100</v>
      </c>
      <c r="V116" s="874">
        <f t="shared" si="39"/>
        <v>-100</v>
      </c>
      <c r="W116" s="874">
        <f t="shared" si="40"/>
        <v>-100</v>
      </c>
      <c r="X116" s="874">
        <f t="shared" si="41"/>
        <v>-100</v>
      </c>
      <c r="Y116" s="873">
        <f t="shared" si="42"/>
        <v>-400</v>
      </c>
    </row>
    <row r="117" spans="1:25" x14ac:dyDescent="0.2">
      <c r="A117" s="905" t="s">
        <v>603</v>
      </c>
      <c r="C117" s="940">
        <v>-16</v>
      </c>
      <c r="D117" s="940">
        <v>-17</v>
      </c>
      <c r="E117" s="940">
        <v>-17</v>
      </c>
      <c r="F117" s="940">
        <v>-16</v>
      </c>
      <c r="G117" s="940">
        <v>-17</v>
      </c>
      <c r="H117" s="940">
        <v>-17</v>
      </c>
      <c r="I117" s="940">
        <v>-16</v>
      </c>
      <c r="J117" s="940">
        <v>-17</v>
      </c>
      <c r="K117" s="940">
        <v>-17</v>
      </c>
      <c r="L117" s="940">
        <v>-16</v>
      </c>
      <c r="M117" s="940">
        <v>-17</v>
      </c>
      <c r="N117" s="940">
        <v>-17</v>
      </c>
      <c r="O117" s="756">
        <f t="shared" si="37"/>
        <v>-200</v>
      </c>
      <c r="P117" s="751"/>
      <c r="Q117" s="875"/>
      <c r="R117" s="876" t="s">
        <v>503</v>
      </c>
      <c r="S117" s="875"/>
      <c r="T117" s="751"/>
      <c r="U117" s="919">
        <f t="shared" si="38"/>
        <v>-50</v>
      </c>
      <c r="V117" s="919">
        <f t="shared" si="39"/>
        <v>-50</v>
      </c>
      <c r="W117" s="919">
        <f t="shared" si="40"/>
        <v>-50</v>
      </c>
      <c r="X117" s="919">
        <f t="shared" si="41"/>
        <v>-50</v>
      </c>
      <c r="Y117" s="920">
        <f t="shared" si="42"/>
        <v>-200</v>
      </c>
    </row>
    <row r="118" spans="1:25" x14ac:dyDescent="0.2">
      <c r="A118" s="905" t="s">
        <v>449</v>
      </c>
      <c r="C118" s="920">
        <f>SUM(C111:C117)</f>
        <v>-1683</v>
      </c>
      <c r="D118" s="920">
        <f t="shared" ref="D118:O118" si="43">SUM(D111:D117)</f>
        <v>-1148</v>
      </c>
      <c r="E118" s="920">
        <f t="shared" si="43"/>
        <v>-1025</v>
      </c>
      <c r="F118" s="920">
        <f t="shared" si="43"/>
        <v>-1745</v>
      </c>
      <c r="G118" s="920">
        <f t="shared" si="43"/>
        <v>-1207</v>
      </c>
      <c r="H118" s="920">
        <f t="shared" si="43"/>
        <v>-1094</v>
      </c>
      <c r="I118" s="920">
        <f t="shared" si="43"/>
        <v>-1672</v>
      </c>
      <c r="J118" s="920">
        <f t="shared" si="43"/>
        <v>-1130</v>
      </c>
      <c r="K118" s="920">
        <f t="shared" si="43"/>
        <v>-1055</v>
      </c>
      <c r="L118" s="920">
        <f t="shared" si="43"/>
        <v>-1660</v>
      </c>
      <c r="M118" s="920">
        <f t="shared" si="43"/>
        <v>-1192</v>
      </c>
      <c r="N118" s="920">
        <f t="shared" si="43"/>
        <v>-1094</v>
      </c>
      <c r="O118" s="920">
        <f t="shared" si="43"/>
        <v>-15705</v>
      </c>
      <c r="P118" s="751"/>
      <c r="Q118" s="875"/>
      <c r="R118" s="876"/>
      <c r="S118" s="875"/>
      <c r="T118" s="751"/>
      <c r="U118" s="920">
        <f>SUM(U111:U117)</f>
        <v>-3856</v>
      </c>
      <c r="V118" s="920">
        <f>SUM(V111:V117)</f>
        <v>-4046</v>
      </c>
      <c r="W118" s="920">
        <f>SUM(W111:W117)</f>
        <v>-3857</v>
      </c>
      <c r="X118" s="920">
        <f>SUM(X111:X117)</f>
        <v>-3946</v>
      </c>
      <c r="Y118" s="920">
        <f>SUM(Y111:Y117)</f>
        <v>-15705</v>
      </c>
    </row>
    <row r="119" spans="1:25" ht="3.95" customHeight="1" x14ac:dyDescent="0.2">
      <c r="A119" s="905"/>
      <c r="C119" s="878"/>
      <c r="D119" s="878"/>
      <c r="E119" s="878"/>
      <c r="F119" s="878"/>
      <c r="G119" s="878"/>
      <c r="H119" s="878"/>
      <c r="I119" s="927"/>
      <c r="J119" s="927"/>
      <c r="K119" s="927"/>
      <c r="L119" s="927"/>
      <c r="M119" s="927"/>
      <c r="N119" s="927"/>
      <c r="O119" s="751"/>
      <c r="P119" s="751"/>
      <c r="Q119" s="875"/>
      <c r="R119" s="876"/>
      <c r="S119" s="875"/>
      <c r="T119" s="751"/>
      <c r="U119" s="874"/>
      <c r="V119" s="874"/>
      <c r="W119" s="874"/>
      <c r="X119" s="874"/>
      <c r="Y119" s="873"/>
    </row>
    <row r="120" spans="1:25" ht="12.75" customHeight="1" x14ac:dyDescent="0.2">
      <c r="A120" s="905" t="s">
        <v>1149</v>
      </c>
      <c r="C120" s="128">
        <v>0</v>
      </c>
      <c r="D120" s="128">
        <v>0</v>
      </c>
      <c r="E120" s="128">
        <v>0</v>
      </c>
      <c r="F120" s="128">
        <v>0</v>
      </c>
      <c r="G120" s="128">
        <v>0</v>
      </c>
      <c r="H120" s="128">
        <v>0</v>
      </c>
      <c r="I120" s="128">
        <v>0</v>
      </c>
      <c r="J120" s="128">
        <v>0</v>
      </c>
      <c r="K120" s="128">
        <v>0</v>
      </c>
      <c r="L120" s="128">
        <v>0</v>
      </c>
      <c r="M120" s="128">
        <v>0</v>
      </c>
      <c r="N120" s="128">
        <v>0</v>
      </c>
      <c r="O120" s="129">
        <f>SUM(C120:N120)</f>
        <v>0</v>
      </c>
      <c r="P120" s="129"/>
      <c r="Q120" s="875"/>
      <c r="R120" s="877" t="s">
        <v>518</v>
      </c>
      <c r="S120" s="875"/>
      <c r="T120" s="129"/>
      <c r="U120" s="874">
        <f>C120+D120+E120</f>
        <v>0</v>
      </c>
      <c r="V120" s="874">
        <f>F120+G120+H120</f>
        <v>0</v>
      </c>
      <c r="W120" s="874">
        <f>I120+J120+K120</f>
        <v>0</v>
      </c>
      <c r="X120" s="874">
        <f>L120+M120+N120</f>
        <v>0</v>
      </c>
      <c r="Y120" s="873">
        <f>SUM(U120:X120)</f>
        <v>0</v>
      </c>
    </row>
    <row r="121" spans="1:25" x14ac:dyDescent="0.2">
      <c r="A121" s="905" t="s">
        <v>464</v>
      </c>
      <c r="B121" s="1003" t="s">
        <v>1205</v>
      </c>
      <c r="C121" s="128"/>
      <c r="D121" s="128"/>
      <c r="E121" s="128"/>
      <c r="F121" s="128"/>
      <c r="G121" s="128"/>
      <c r="H121" s="128"/>
      <c r="I121" s="128"/>
      <c r="J121" s="128"/>
      <c r="K121" s="128"/>
      <c r="L121" s="128"/>
      <c r="M121" s="128"/>
      <c r="N121" s="128"/>
      <c r="O121" s="129">
        <f t="shared" ref="O121:O128" si="44">SUM(C121:N121)</f>
        <v>0</v>
      </c>
      <c r="P121" s="129"/>
      <c r="Q121" s="875"/>
      <c r="R121" s="877" t="s">
        <v>518</v>
      </c>
      <c r="S121" s="875"/>
      <c r="T121" s="129"/>
      <c r="U121" s="874">
        <f t="shared" si="38"/>
        <v>0</v>
      </c>
      <c r="V121" s="874">
        <f t="shared" si="39"/>
        <v>0</v>
      </c>
      <c r="W121" s="874">
        <f t="shared" si="40"/>
        <v>0</v>
      </c>
      <c r="X121" s="874">
        <f t="shared" si="41"/>
        <v>0</v>
      </c>
      <c r="Y121" s="873">
        <f t="shared" si="42"/>
        <v>0</v>
      </c>
    </row>
    <row r="122" spans="1:25" ht="3.95" customHeight="1" x14ac:dyDescent="0.2">
      <c r="A122" s="904"/>
      <c r="C122" s="128"/>
      <c r="D122" s="128"/>
      <c r="E122" s="128"/>
      <c r="F122" s="128"/>
      <c r="G122" s="128"/>
      <c r="H122" s="128"/>
      <c r="I122" s="128"/>
      <c r="J122" s="128"/>
      <c r="K122" s="128"/>
      <c r="L122" s="128"/>
      <c r="M122" s="128"/>
      <c r="N122" s="128"/>
      <c r="O122" s="129"/>
      <c r="P122" s="129"/>
      <c r="Q122" s="875"/>
      <c r="R122" s="877"/>
      <c r="S122" s="875"/>
      <c r="T122" s="129"/>
      <c r="U122" s="874"/>
      <c r="V122" s="874"/>
      <c r="W122" s="874"/>
      <c r="X122" s="874"/>
      <c r="Y122" s="873"/>
    </row>
    <row r="123" spans="1:25" s="871" customFormat="1" ht="12.75" customHeight="1" x14ac:dyDescent="0.2">
      <c r="A123" s="905" t="s">
        <v>1051</v>
      </c>
      <c r="C123" s="950">
        <v>0</v>
      </c>
      <c r="D123" s="950">
        <v>0</v>
      </c>
      <c r="E123" s="950">
        <v>0</v>
      </c>
      <c r="F123" s="950">
        <v>0</v>
      </c>
      <c r="G123" s="950">
        <v>0</v>
      </c>
      <c r="H123" s="950">
        <v>0</v>
      </c>
      <c r="I123" s="950">
        <v>0</v>
      </c>
      <c r="J123" s="950">
        <v>0</v>
      </c>
      <c r="K123" s="950">
        <v>0</v>
      </c>
      <c r="L123" s="950">
        <v>0</v>
      </c>
      <c r="M123" s="950">
        <v>0</v>
      </c>
      <c r="N123" s="950">
        <v>0</v>
      </c>
      <c r="O123" s="129">
        <f t="shared" si="44"/>
        <v>0</v>
      </c>
      <c r="P123" s="129"/>
      <c r="Q123" s="886"/>
      <c r="R123" s="887" t="s">
        <v>424</v>
      </c>
      <c r="S123" s="886"/>
      <c r="T123" s="129"/>
      <c r="U123" s="874">
        <f t="shared" si="38"/>
        <v>0</v>
      </c>
      <c r="V123" s="874">
        <f t="shared" si="39"/>
        <v>0</v>
      </c>
      <c r="W123" s="874">
        <f t="shared" si="40"/>
        <v>0</v>
      </c>
      <c r="X123" s="874">
        <f t="shared" si="41"/>
        <v>0</v>
      </c>
      <c r="Y123" s="873">
        <f t="shared" si="42"/>
        <v>0</v>
      </c>
    </row>
    <row r="124" spans="1:25" s="871" customFormat="1" ht="12.75" customHeight="1" x14ac:dyDescent="0.2">
      <c r="A124" s="905" t="s">
        <v>1052</v>
      </c>
      <c r="C124" s="950">
        <v>0</v>
      </c>
      <c r="D124" s="950">
        <v>0</v>
      </c>
      <c r="E124" s="950">
        <v>0</v>
      </c>
      <c r="F124" s="950">
        <v>0</v>
      </c>
      <c r="G124" s="950">
        <v>0</v>
      </c>
      <c r="H124" s="950">
        <v>0</v>
      </c>
      <c r="I124" s="950">
        <v>0</v>
      </c>
      <c r="J124" s="950">
        <v>0</v>
      </c>
      <c r="K124" s="950">
        <v>0</v>
      </c>
      <c r="L124" s="950">
        <v>0</v>
      </c>
      <c r="M124" s="950">
        <v>0</v>
      </c>
      <c r="N124" s="950">
        <v>0</v>
      </c>
      <c r="O124" s="129">
        <f t="shared" si="44"/>
        <v>0</v>
      </c>
      <c r="P124" s="129"/>
      <c r="Q124" s="886"/>
      <c r="R124" s="887" t="s">
        <v>424</v>
      </c>
      <c r="S124" s="886"/>
      <c r="T124" s="129"/>
      <c r="U124" s="874">
        <f>C124+D124+E124</f>
        <v>0</v>
      </c>
      <c r="V124" s="874">
        <f>F124+G124+H124</f>
        <v>0</v>
      </c>
      <c r="W124" s="874">
        <f>I124+J124+K124</f>
        <v>0</v>
      </c>
      <c r="X124" s="874">
        <f>L124+M124+N124</f>
        <v>0</v>
      </c>
      <c r="Y124" s="873">
        <f>SUM(U124:X124)</f>
        <v>0</v>
      </c>
    </row>
    <row r="125" spans="1:25" s="871" customFormat="1" ht="12.75" customHeight="1" x14ac:dyDescent="0.2">
      <c r="A125" s="905" t="s">
        <v>1053</v>
      </c>
      <c r="C125" s="950">
        <v>0</v>
      </c>
      <c r="D125" s="950">
        <v>0</v>
      </c>
      <c r="E125" s="950">
        <v>0</v>
      </c>
      <c r="F125" s="950">
        <v>0</v>
      </c>
      <c r="G125" s="950">
        <v>0</v>
      </c>
      <c r="H125" s="950">
        <v>0</v>
      </c>
      <c r="I125" s="950">
        <v>0</v>
      </c>
      <c r="J125" s="950">
        <v>0</v>
      </c>
      <c r="K125" s="950">
        <v>0</v>
      </c>
      <c r="L125" s="950">
        <v>0</v>
      </c>
      <c r="M125" s="950">
        <v>0</v>
      </c>
      <c r="N125" s="950">
        <v>0</v>
      </c>
      <c r="O125" s="129">
        <f t="shared" si="44"/>
        <v>0</v>
      </c>
      <c r="P125" s="129"/>
      <c r="Q125" s="886"/>
      <c r="R125" s="887" t="s">
        <v>424</v>
      </c>
      <c r="S125" s="886"/>
      <c r="T125" s="129"/>
      <c r="U125" s="874">
        <f>C125+D125+E125</f>
        <v>0</v>
      </c>
      <c r="V125" s="874">
        <f>F125+G125+H125</f>
        <v>0</v>
      </c>
      <c r="W125" s="874">
        <f>I125+J125+K125</f>
        <v>0</v>
      </c>
      <c r="X125" s="874">
        <f>L125+M125+N125</f>
        <v>0</v>
      </c>
      <c r="Y125" s="873">
        <f>SUM(U125:X125)</f>
        <v>0</v>
      </c>
    </row>
    <row r="126" spans="1:25" s="871" customFormat="1" ht="12.75" customHeight="1" x14ac:dyDescent="0.2">
      <c r="A126" s="905" t="s">
        <v>1054</v>
      </c>
      <c r="C126" s="950">
        <v>0</v>
      </c>
      <c r="D126" s="950">
        <v>0</v>
      </c>
      <c r="E126" s="950">
        <v>0</v>
      </c>
      <c r="F126" s="950">
        <v>0</v>
      </c>
      <c r="G126" s="950">
        <v>0</v>
      </c>
      <c r="H126" s="950">
        <v>0</v>
      </c>
      <c r="I126" s="950">
        <v>0</v>
      </c>
      <c r="J126" s="950">
        <v>0</v>
      </c>
      <c r="K126" s="950">
        <v>0</v>
      </c>
      <c r="L126" s="950">
        <v>0</v>
      </c>
      <c r="M126" s="950">
        <v>0</v>
      </c>
      <c r="N126" s="950">
        <v>0</v>
      </c>
      <c r="O126" s="129">
        <f t="shared" si="44"/>
        <v>0</v>
      </c>
      <c r="P126" s="129"/>
      <c r="Q126" s="886"/>
      <c r="R126" s="887" t="s">
        <v>424</v>
      </c>
      <c r="S126" s="886"/>
      <c r="T126" s="129"/>
      <c r="U126" s="874">
        <f>C126+D126+E126</f>
        <v>0</v>
      </c>
      <c r="V126" s="874">
        <f>F126+G126+H126</f>
        <v>0</v>
      </c>
      <c r="W126" s="874">
        <f>I126+J126+K126</f>
        <v>0</v>
      </c>
      <c r="X126" s="874">
        <f>L126+M126+N126</f>
        <v>0</v>
      </c>
      <c r="Y126" s="873">
        <f>SUM(U126:X126)</f>
        <v>0</v>
      </c>
    </row>
    <row r="127" spans="1:25" s="871" customFormat="1" ht="3.95" customHeight="1" x14ac:dyDescent="0.2">
      <c r="A127" s="905"/>
      <c r="C127" s="950"/>
      <c r="D127" s="950"/>
      <c r="E127" s="950"/>
      <c r="F127" s="950"/>
      <c r="G127" s="950"/>
      <c r="H127" s="950"/>
      <c r="I127" s="950"/>
      <c r="J127" s="950"/>
      <c r="K127" s="950"/>
      <c r="L127" s="950"/>
      <c r="M127" s="950"/>
      <c r="N127" s="950"/>
      <c r="O127" s="129"/>
      <c r="P127" s="129"/>
      <c r="Q127" s="886"/>
      <c r="R127" s="887"/>
      <c r="S127" s="886"/>
      <c r="T127" s="129"/>
      <c r="U127" s="874"/>
      <c r="V127" s="874"/>
      <c r="W127" s="874"/>
      <c r="X127" s="874"/>
      <c r="Y127" s="873"/>
    </row>
    <row r="128" spans="1:25" s="871" customFormat="1" ht="12.75" customHeight="1" x14ac:dyDescent="0.2">
      <c r="A128" s="905" t="s">
        <v>604</v>
      </c>
      <c r="B128" s="862"/>
      <c r="C128" s="128">
        <v>-38</v>
      </c>
      <c r="D128" s="128">
        <v>-119</v>
      </c>
      <c r="E128" s="128">
        <v>-38</v>
      </c>
      <c r="F128" s="128">
        <v>-38</v>
      </c>
      <c r="G128" s="128">
        <v>-37</v>
      </c>
      <c r="H128" s="128">
        <v>-37</v>
      </c>
      <c r="I128" s="128">
        <v>-37</v>
      </c>
      <c r="J128" s="128">
        <v>-36</v>
      </c>
      <c r="K128" s="128">
        <v>-36</v>
      </c>
      <c r="L128" s="128">
        <v>-36</v>
      </c>
      <c r="M128" s="128">
        <v>-37</v>
      </c>
      <c r="N128" s="128">
        <v>-37</v>
      </c>
      <c r="O128" s="129">
        <f t="shared" si="44"/>
        <v>-526</v>
      </c>
      <c r="P128" s="129"/>
      <c r="Q128" s="875"/>
      <c r="R128" s="877" t="s">
        <v>504</v>
      </c>
      <c r="S128" s="875"/>
      <c r="T128" s="129"/>
      <c r="U128" s="874">
        <f>C128+D128+E128</f>
        <v>-195</v>
      </c>
      <c r="V128" s="874">
        <f>F128+G128+H128</f>
        <v>-112</v>
      </c>
      <c r="W128" s="874">
        <f>I128+J128+K128</f>
        <v>-109</v>
      </c>
      <c r="X128" s="874">
        <f>L128+M128+N128</f>
        <v>-110</v>
      </c>
      <c r="Y128" s="873">
        <f>SUM(U128:X128)</f>
        <v>-526</v>
      </c>
    </row>
    <row r="129" spans="1:25" s="871" customFormat="1" ht="3.95" customHeight="1" x14ac:dyDescent="0.2">
      <c r="A129" s="905"/>
      <c r="B129" s="862"/>
      <c r="C129" s="128"/>
      <c r="D129" s="128"/>
      <c r="E129" s="128"/>
      <c r="F129" s="128"/>
      <c r="G129" s="128"/>
      <c r="H129" s="128"/>
      <c r="I129" s="128"/>
      <c r="J129" s="128"/>
      <c r="K129" s="128"/>
      <c r="L129" s="128"/>
      <c r="M129" s="128"/>
      <c r="N129" s="128"/>
      <c r="O129" s="129"/>
      <c r="P129" s="129"/>
      <c r="Q129" s="875"/>
      <c r="R129" s="877"/>
      <c r="S129" s="875"/>
      <c r="T129" s="129"/>
      <c r="U129" s="874"/>
      <c r="V129" s="874"/>
      <c r="W129" s="874"/>
      <c r="X129" s="874"/>
      <c r="Y129" s="873"/>
    </row>
    <row r="130" spans="1:25" s="871" customFormat="1" ht="12.75" customHeight="1" x14ac:dyDescent="0.2">
      <c r="A130" s="904" t="s">
        <v>606</v>
      </c>
      <c r="C130" s="922">
        <f>+C101+SUM(C103:C109)+C118+SUM(C121:C128)</f>
        <v>-4222</v>
      </c>
      <c r="D130" s="923">
        <f>+D101+SUM(D103:D109)+D118+SUM(D121:D128)</f>
        <v>-3635</v>
      </c>
      <c r="E130" s="923">
        <f t="shared" ref="E130:N130" si="45">+E101+SUM(E103:E109)+E118+SUM(E121:E128)</f>
        <v>-3471</v>
      </c>
      <c r="F130" s="923">
        <f t="shared" si="45"/>
        <v>-4034</v>
      </c>
      <c r="G130" s="923">
        <f t="shared" si="45"/>
        <v>-3324</v>
      </c>
      <c r="H130" s="923">
        <f t="shared" si="45"/>
        <v>-3016</v>
      </c>
      <c r="I130" s="923">
        <f t="shared" si="45"/>
        <v>-3302</v>
      </c>
      <c r="J130" s="923">
        <f t="shared" si="45"/>
        <v>-2811</v>
      </c>
      <c r="K130" s="923">
        <f t="shared" si="45"/>
        <v>-2784</v>
      </c>
      <c r="L130" s="923">
        <f t="shared" si="45"/>
        <v>-3520</v>
      </c>
      <c r="M130" s="923">
        <f t="shared" si="45"/>
        <v>-3175</v>
      </c>
      <c r="N130" s="923">
        <f t="shared" si="45"/>
        <v>-3240</v>
      </c>
      <c r="O130" s="924">
        <f>+O101+SUM(O103:O109)+O118+SUM(O121:O128)</f>
        <v>-40534</v>
      </c>
      <c r="P130" s="896"/>
      <c r="Q130" s="882"/>
      <c r="R130" s="879"/>
      <c r="S130" s="882"/>
      <c r="T130" s="896"/>
      <c r="U130" s="922">
        <f>+U101+SUM(U103:U109)+U118+SUM(U121:U128)</f>
        <v>-11328</v>
      </c>
      <c r="V130" s="923">
        <f>+V101+SUM(V103:V109)+V118+SUM(V121:V128)</f>
        <v>-10374</v>
      </c>
      <c r="W130" s="923">
        <f>+W101+SUM(W103:W109)+W118+SUM(W121:W128)</f>
        <v>-8897</v>
      </c>
      <c r="X130" s="923">
        <f>+X101+SUM(X103:X109)+X118+SUM(X121:X128)</f>
        <v>-9935</v>
      </c>
      <c r="Y130" s="924">
        <f>+Y101+SUM(Y103:Y109)+Y118+SUM(Y121:Y128)</f>
        <v>-40534</v>
      </c>
    </row>
    <row r="131" spans="1:25" s="871" customFormat="1" ht="6" customHeight="1" x14ac:dyDescent="0.2">
      <c r="A131" s="909"/>
      <c r="C131" s="896"/>
      <c r="D131" s="896"/>
      <c r="E131" s="896"/>
      <c r="F131" s="896"/>
      <c r="G131" s="896"/>
      <c r="H131" s="896"/>
      <c r="I131" s="896"/>
      <c r="J131" s="896"/>
      <c r="K131" s="896"/>
      <c r="L131" s="896"/>
      <c r="M131" s="896"/>
      <c r="N131" s="896"/>
      <c r="O131" s="896"/>
      <c r="P131" s="896"/>
      <c r="Q131" s="882"/>
      <c r="R131" s="879"/>
      <c r="S131" s="882"/>
      <c r="T131" s="896"/>
      <c r="U131" s="881"/>
      <c r="V131" s="881"/>
      <c r="W131" s="881"/>
      <c r="X131" s="881"/>
      <c r="Y131" s="879"/>
    </row>
    <row r="132" spans="1:25" ht="12.75" customHeight="1" x14ac:dyDescent="0.2">
      <c r="A132" s="904" t="s">
        <v>544</v>
      </c>
      <c r="C132" s="873"/>
      <c r="D132" s="873"/>
      <c r="E132" s="873"/>
      <c r="F132" s="873"/>
      <c r="G132" s="873"/>
      <c r="H132" s="873"/>
      <c r="I132" s="873"/>
      <c r="J132" s="873"/>
      <c r="K132" s="873"/>
      <c r="L132" s="873"/>
      <c r="M132" s="873"/>
      <c r="N132" s="873"/>
      <c r="O132" s="874"/>
      <c r="P132" s="874"/>
      <c r="Q132" s="875"/>
      <c r="R132" s="873"/>
      <c r="S132" s="875"/>
      <c r="T132" s="874"/>
      <c r="U132" s="874"/>
      <c r="V132" s="874"/>
      <c r="W132" s="874"/>
      <c r="X132" s="874"/>
      <c r="Y132" s="873"/>
    </row>
    <row r="133" spans="1:25" x14ac:dyDescent="0.2">
      <c r="A133" s="905" t="s">
        <v>545</v>
      </c>
      <c r="C133" s="287">
        <v>0</v>
      </c>
      <c r="D133" s="287">
        <v>0</v>
      </c>
      <c r="E133" s="287">
        <v>0</v>
      </c>
      <c r="F133" s="287">
        <v>0</v>
      </c>
      <c r="G133" s="287">
        <v>0</v>
      </c>
      <c r="H133" s="287">
        <v>0</v>
      </c>
      <c r="I133" s="287">
        <v>0</v>
      </c>
      <c r="J133" s="287">
        <v>0</v>
      </c>
      <c r="K133" s="287">
        <v>0</v>
      </c>
      <c r="L133" s="287">
        <v>0</v>
      </c>
      <c r="M133" s="287">
        <v>0</v>
      </c>
      <c r="N133" s="287">
        <v>0</v>
      </c>
      <c r="O133" s="289">
        <f t="shared" ref="O133:O143" si="46">SUM(C133:N133)</f>
        <v>0</v>
      </c>
      <c r="P133" s="289"/>
      <c r="Q133" s="875"/>
      <c r="R133" s="877" t="s">
        <v>774</v>
      </c>
      <c r="S133" s="875"/>
      <c r="T133" s="289"/>
      <c r="U133" s="874">
        <f t="shared" ref="U133:U140" si="47">C133+D133+E133</f>
        <v>0</v>
      </c>
      <c r="V133" s="874">
        <f t="shared" ref="V133:V140" si="48">F133+G133+H133</f>
        <v>0</v>
      </c>
      <c r="W133" s="874">
        <f t="shared" ref="W133:W140" si="49">I133+J133+K133</f>
        <v>0</v>
      </c>
      <c r="X133" s="874">
        <f t="shared" ref="X133:X140" si="50">L133+M133+N133</f>
        <v>0</v>
      </c>
      <c r="Y133" s="873">
        <f t="shared" ref="Y133:Y140" si="51">SUM(U133:X133)</f>
        <v>0</v>
      </c>
    </row>
    <row r="134" spans="1:25" x14ac:dyDescent="0.2">
      <c r="A134" s="908" t="s">
        <v>505</v>
      </c>
      <c r="C134" s="51">
        <v>0</v>
      </c>
      <c r="D134" s="51">
        <v>0</v>
      </c>
      <c r="E134" s="51">
        <v>0</v>
      </c>
      <c r="F134" s="51">
        <v>0</v>
      </c>
      <c r="G134" s="51">
        <v>0</v>
      </c>
      <c r="H134" s="51">
        <v>0</v>
      </c>
      <c r="I134" s="51">
        <v>0</v>
      </c>
      <c r="J134" s="51">
        <v>0</v>
      </c>
      <c r="K134" s="51">
        <v>0</v>
      </c>
      <c r="L134" s="51">
        <v>0</v>
      </c>
      <c r="M134" s="51">
        <v>0</v>
      </c>
      <c r="N134" s="51">
        <v>0</v>
      </c>
      <c r="O134" s="289">
        <f t="shared" si="46"/>
        <v>0</v>
      </c>
      <c r="P134" s="289"/>
      <c r="Q134" s="875"/>
      <c r="R134" s="877" t="s">
        <v>774</v>
      </c>
      <c r="S134" s="875"/>
      <c r="T134" s="289"/>
      <c r="U134" s="874">
        <f t="shared" si="47"/>
        <v>0</v>
      </c>
      <c r="V134" s="874">
        <f t="shared" si="48"/>
        <v>0</v>
      </c>
      <c r="W134" s="874">
        <f t="shared" si="49"/>
        <v>0</v>
      </c>
      <c r="X134" s="874">
        <f t="shared" si="50"/>
        <v>0</v>
      </c>
      <c r="Y134" s="873">
        <f t="shared" si="51"/>
        <v>0</v>
      </c>
    </row>
    <row r="135" spans="1:25" x14ac:dyDescent="0.2">
      <c r="A135" s="905" t="s">
        <v>546</v>
      </c>
      <c r="C135" s="51">
        <v>0</v>
      </c>
      <c r="D135" s="51">
        <v>0</v>
      </c>
      <c r="E135" s="51">
        <v>0</v>
      </c>
      <c r="F135" s="51">
        <v>0</v>
      </c>
      <c r="G135" s="51">
        <v>0</v>
      </c>
      <c r="H135" s="51">
        <v>0</v>
      </c>
      <c r="I135" s="51">
        <v>0</v>
      </c>
      <c r="J135" s="51">
        <v>0</v>
      </c>
      <c r="K135" s="51">
        <v>0</v>
      </c>
      <c r="L135" s="51">
        <v>0</v>
      </c>
      <c r="M135" s="51">
        <v>0</v>
      </c>
      <c r="N135" s="51">
        <v>0</v>
      </c>
      <c r="O135" s="52">
        <f t="shared" si="46"/>
        <v>0</v>
      </c>
      <c r="P135" s="52"/>
      <c r="Q135" s="875"/>
      <c r="R135" s="877" t="s">
        <v>506</v>
      </c>
      <c r="S135" s="875"/>
      <c r="T135" s="52"/>
      <c r="U135" s="874">
        <f t="shared" si="47"/>
        <v>0</v>
      </c>
      <c r="V135" s="874">
        <f t="shared" si="48"/>
        <v>0</v>
      </c>
      <c r="W135" s="874">
        <f t="shared" si="49"/>
        <v>0</v>
      </c>
      <c r="X135" s="874">
        <f t="shared" si="50"/>
        <v>0</v>
      </c>
      <c r="Y135" s="873">
        <f t="shared" si="51"/>
        <v>0</v>
      </c>
    </row>
    <row r="136" spans="1:25" x14ac:dyDescent="0.2">
      <c r="A136" s="908" t="s">
        <v>505</v>
      </c>
      <c r="C136" s="51">
        <v>0</v>
      </c>
      <c r="D136" s="51">
        <v>0</v>
      </c>
      <c r="E136" s="51">
        <v>0</v>
      </c>
      <c r="F136" s="51">
        <v>0</v>
      </c>
      <c r="G136" s="51">
        <v>0</v>
      </c>
      <c r="H136" s="51">
        <v>0</v>
      </c>
      <c r="I136" s="51">
        <v>0</v>
      </c>
      <c r="J136" s="51">
        <v>0</v>
      </c>
      <c r="K136" s="51">
        <v>0</v>
      </c>
      <c r="L136" s="51">
        <v>0</v>
      </c>
      <c r="M136" s="51">
        <v>0</v>
      </c>
      <c r="N136" s="51">
        <v>0</v>
      </c>
      <c r="O136" s="289">
        <f t="shared" si="46"/>
        <v>0</v>
      </c>
      <c r="P136" s="289"/>
      <c r="Q136" s="875"/>
      <c r="R136" s="877" t="s">
        <v>506</v>
      </c>
      <c r="S136" s="875"/>
      <c r="T136" s="289"/>
      <c r="U136" s="874">
        <f t="shared" si="47"/>
        <v>0</v>
      </c>
      <c r="V136" s="874">
        <f t="shared" si="48"/>
        <v>0</v>
      </c>
      <c r="W136" s="874">
        <f t="shared" si="49"/>
        <v>0</v>
      </c>
      <c r="X136" s="874">
        <f t="shared" si="50"/>
        <v>0</v>
      </c>
      <c r="Y136" s="873">
        <f t="shared" si="51"/>
        <v>0</v>
      </c>
    </row>
    <row r="137" spans="1:25" ht="3.95" customHeight="1" x14ac:dyDescent="0.2">
      <c r="A137" s="908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289"/>
      <c r="P137" s="289"/>
      <c r="Q137" s="875"/>
      <c r="R137" s="877"/>
      <c r="S137" s="875"/>
      <c r="T137" s="289"/>
      <c r="U137" s="874"/>
      <c r="V137" s="874"/>
      <c r="W137" s="874"/>
      <c r="X137" s="874"/>
      <c r="Y137" s="873"/>
    </row>
    <row r="138" spans="1:25" x14ac:dyDescent="0.2">
      <c r="A138" s="905" t="s">
        <v>583</v>
      </c>
      <c r="B138" s="1003" t="s">
        <v>1221</v>
      </c>
      <c r="C138" s="142">
        <v>0</v>
      </c>
      <c r="D138" s="142">
        <v>0</v>
      </c>
      <c r="E138" s="142">
        <v>0</v>
      </c>
      <c r="F138" s="142">
        <v>0</v>
      </c>
      <c r="G138" s="142">
        <v>0</v>
      </c>
      <c r="H138" s="682">
        <f>5800+1800</f>
        <v>7600</v>
      </c>
      <c r="I138" s="142">
        <v>0</v>
      </c>
      <c r="J138" s="142">
        <v>0</v>
      </c>
      <c r="K138" s="142">
        <v>0</v>
      </c>
      <c r="L138" s="142">
        <v>0</v>
      </c>
      <c r="M138" s="142">
        <v>0</v>
      </c>
      <c r="N138" s="142">
        <v>0</v>
      </c>
      <c r="O138" s="143">
        <f t="shared" si="46"/>
        <v>7600</v>
      </c>
      <c r="P138" s="143"/>
      <c r="Q138" s="875"/>
      <c r="R138" s="876" t="s">
        <v>495</v>
      </c>
      <c r="S138" s="875"/>
      <c r="T138" s="143"/>
      <c r="U138" s="874">
        <f t="shared" si="47"/>
        <v>0</v>
      </c>
      <c r="V138" s="874">
        <f t="shared" si="48"/>
        <v>7600</v>
      </c>
      <c r="W138" s="874">
        <f t="shared" si="49"/>
        <v>0</v>
      </c>
      <c r="X138" s="874">
        <f t="shared" si="50"/>
        <v>0</v>
      </c>
      <c r="Y138" s="873">
        <f t="shared" si="51"/>
        <v>7600</v>
      </c>
    </row>
    <row r="139" spans="1:25" x14ac:dyDescent="0.2">
      <c r="A139" s="905" t="s">
        <v>1222</v>
      </c>
      <c r="B139" s="1003" t="s">
        <v>1221</v>
      </c>
      <c r="C139" s="142">
        <v>0</v>
      </c>
      <c r="D139" s="142">
        <v>0</v>
      </c>
      <c r="E139" s="142">
        <v>0</v>
      </c>
      <c r="F139" s="142">
        <v>0</v>
      </c>
      <c r="G139" s="142">
        <v>0</v>
      </c>
      <c r="H139" s="142">
        <v>0</v>
      </c>
      <c r="I139" s="142">
        <v>0</v>
      </c>
      <c r="J139" s="142">
        <v>0</v>
      </c>
      <c r="K139" s="142">
        <f>600-600</f>
        <v>0</v>
      </c>
      <c r="L139" s="142">
        <v>0</v>
      </c>
      <c r="M139" s="550">
        <v>0</v>
      </c>
      <c r="N139" s="550">
        <v>0</v>
      </c>
      <c r="O139" s="143">
        <f t="shared" si="46"/>
        <v>0</v>
      </c>
      <c r="P139" s="143"/>
      <c r="Q139" s="875"/>
      <c r="R139" s="876" t="s">
        <v>495</v>
      </c>
      <c r="S139" s="875"/>
      <c r="T139" s="143"/>
      <c r="U139" s="874">
        <f t="shared" si="47"/>
        <v>0</v>
      </c>
      <c r="V139" s="874">
        <f t="shared" si="48"/>
        <v>0</v>
      </c>
      <c r="W139" s="874">
        <f t="shared" si="49"/>
        <v>0</v>
      </c>
      <c r="X139" s="874">
        <f t="shared" si="50"/>
        <v>0</v>
      </c>
      <c r="Y139" s="873">
        <f t="shared" si="51"/>
        <v>0</v>
      </c>
    </row>
    <row r="140" spans="1:25" x14ac:dyDescent="0.2">
      <c r="A140" s="905" t="s">
        <v>584</v>
      </c>
      <c r="C140" s="142">
        <v>0</v>
      </c>
      <c r="D140" s="142">
        <v>0</v>
      </c>
      <c r="E140" s="142">
        <v>0</v>
      </c>
      <c r="F140" s="142">
        <v>0</v>
      </c>
      <c r="G140" s="142">
        <v>0</v>
      </c>
      <c r="H140" s="142">
        <v>0</v>
      </c>
      <c r="I140" s="142">
        <v>0</v>
      </c>
      <c r="J140" s="142">
        <v>0</v>
      </c>
      <c r="K140" s="142">
        <v>0</v>
      </c>
      <c r="L140" s="142">
        <v>0</v>
      </c>
      <c r="M140" s="550">
        <v>0</v>
      </c>
      <c r="N140" s="142">
        <v>5000</v>
      </c>
      <c r="O140" s="143">
        <f t="shared" si="46"/>
        <v>5000</v>
      </c>
      <c r="P140" s="143"/>
      <c r="Q140" s="875"/>
      <c r="R140" s="876" t="s">
        <v>495</v>
      </c>
      <c r="S140" s="875"/>
      <c r="T140" s="143"/>
      <c r="U140" s="874">
        <f t="shared" si="47"/>
        <v>0</v>
      </c>
      <c r="V140" s="874">
        <f t="shared" si="48"/>
        <v>0</v>
      </c>
      <c r="W140" s="874">
        <f t="shared" si="49"/>
        <v>0</v>
      </c>
      <c r="X140" s="874">
        <f t="shared" si="50"/>
        <v>5000</v>
      </c>
      <c r="Y140" s="873">
        <f t="shared" si="51"/>
        <v>5000</v>
      </c>
    </row>
    <row r="141" spans="1:25" x14ac:dyDescent="0.2">
      <c r="A141" s="905" t="s">
        <v>216</v>
      </c>
      <c r="C141" s="142">
        <v>0</v>
      </c>
      <c r="D141" s="142">
        <v>0</v>
      </c>
      <c r="E141" s="142">
        <v>0</v>
      </c>
      <c r="F141" s="142">
        <v>0</v>
      </c>
      <c r="G141" s="142">
        <v>0</v>
      </c>
      <c r="H141" s="142">
        <v>0</v>
      </c>
      <c r="I141" s="142">
        <v>0</v>
      </c>
      <c r="J141" s="142">
        <v>0</v>
      </c>
      <c r="K141" s="142">
        <v>0</v>
      </c>
      <c r="L141" s="142">
        <v>0</v>
      </c>
      <c r="M141" s="142">
        <v>0</v>
      </c>
      <c r="N141" s="142">
        <v>0</v>
      </c>
      <c r="O141" s="143">
        <f t="shared" si="46"/>
        <v>0</v>
      </c>
      <c r="P141" s="143"/>
      <c r="Q141" s="875"/>
      <c r="R141" s="876" t="s">
        <v>495</v>
      </c>
      <c r="S141" s="875"/>
      <c r="T141" s="143"/>
      <c r="U141" s="874">
        <f t="shared" ref="U141:U147" si="52">C141+D141+E141</f>
        <v>0</v>
      </c>
      <c r="V141" s="874">
        <f t="shared" ref="V141:V147" si="53">F141+G141+H141</f>
        <v>0</v>
      </c>
      <c r="W141" s="874">
        <f t="shared" ref="W141:W147" si="54">I141+J141+K141</f>
        <v>0</v>
      </c>
      <c r="X141" s="874">
        <f t="shared" ref="X141:X147" si="55">L141+M141+N141</f>
        <v>0</v>
      </c>
      <c r="Y141" s="873">
        <f t="shared" ref="Y141:Y147" si="56">SUM(U141:X141)</f>
        <v>0</v>
      </c>
    </row>
    <row r="142" spans="1:25" x14ac:dyDescent="0.2">
      <c r="A142" s="905" t="s">
        <v>217</v>
      </c>
      <c r="C142" s="142">
        <v>0</v>
      </c>
      <c r="D142" s="142">
        <v>0</v>
      </c>
      <c r="E142" s="142">
        <v>0</v>
      </c>
      <c r="F142" s="142">
        <v>0</v>
      </c>
      <c r="G142" s="142">
        <v>0</v>
      </c>
      <c r="H142" s="142">
        <v>0</v>
      </c>
      <c r="I142" s="142">
        <v>0</v>
      </c>
      <c r="J142" s="142">
        <v>0</v>
      </c>
      <c r="K142" s="142">
        <v>0</v>
      </c>
      <c r="L142" s="142">
        <v>0</v>
      </c>
      <c r="M142" s="142">
        <v>0</v>
      </c>
      <c r="N142" s="142">
        <v>0</v>
      </c>
      <c r="O142" s="143">
        <f t="shared" si="46"/>
        <v>0</v>
      </c>
      <c r="P142" s="143"/>
      <c r="Q142" s="875"/>
      <c r="R142" s="876" t="s">
        <v>495</v>
      </c>
      <c r="S142" s="875"/>
      <c r="T142" s="143"/>
      <c r="U142" s="874">
        <f t="shared" si="52"/>
        <v>0</v>
      </c>
      <c r="V142" s="874">
        <f t="shared" si="53"/>
        <v>0</v>
      </c>
      <c r="W142" s="874">
        <f t="shared" si="54"/>
        <v>0</v>
      </c>
      <c r="X142" s="874">
        <f t="shared" si="55"/>
        <v>0</v>
      </c>
      <c r="Y142" s="873">
        <f t="shared" si="56"/>
        <v>0</v>
      </c>
    </row>
    <row r="143" spans="1:25" x14ac:dyDescent="0.2">
      <c r="A143" s="905" t="s">
        <v>280</v>
      </c>
      <c r="C143" s="142">
        <v>0</v>
      </c>
      <c r="D143" s="142">
        <v>0</v>
      </c>
      <c r="E143" s="142">
        <v>0</v>
      </c>
      <c r="F143" s="142">
        <v>0</v>
      </c>
      <c r="G143" s="142">
        <v>0</v>
      </c>
      <c r="H143" s="142">
        <v>0</v>
      </c>
      <c r="I143" s="142">
        <v>0</v>
      </c>
      <c r="J143" s="142">
        <v>0</v>
      </c>
      <c r="K143" s="142">
        <v>0</v>
      </c>
      <c r="L143" s="142">
        <v>0</v>
      </c>
      <c r="M143" s="142">
        <v>0</v>
      </c>
      <c r="N143" s="142">
        <v>0</v>
      </c>
      <c r="O143" s="143">
        <f t="shared" si="46"/>
        <v>0</v>
      </c>
      <c r="P143" s="143"/>
      <c r="Q143" s="875"/>
      <c r="R143" s="876" t="s">
        <v>495</v>
      </c>
      <c r="S143" s="875"/>
      <c r="T143" s="143"/>
      <c r="U143" s="874">
        <f t="shared" si="52"/>
        <v>0</v>
      </c>
      <c r="V143" s="874">
        <f t="shared" si="53"/>
        <v>0</v>
      </c>
      <c r="W143" s="874">
        <f t="shared" si="54"/>
        <v>0</v>
      </c>
      <c r="X143" s="874">
        <f t="shared" si="55"/>
        <v>0</v>
      </c>
      <c r="Y143" s="873">
        <f t="shared" si="56"/>
        <v>0</v>
      </c>
    </row>
    <row r="144" spans="1:25" x14ac:dyDescent="0.2">
      <c r="A144" s="905" t="s">
        <v>716</v>
      </c>
      <c r="C144" s="142">
        <v>0</v>
      </c>
      <c r="D144" s="142">
        <v>0</v>
      </c>
      <c r="E144" s="142">
        <v>0</v>
      </c>
      <c r="F144" s="142">
        <v>0</v>
      </c>
      <c r="G144" s="142">
        <v>0</v>
      </c>
      <c r="H144" s="142">
        <v>0</v>
      </c>
      <c r="I144" s="142">
        <v>0</v>
      </c>
      <c r="J144" s="142">
        <v>0</v>
      </c>
      <c r="K144" s="142">
        <v>0</v>
      </c>
      <c r="L144" s="142">
        <v>0</v>
      </c>
      <c r="M144" s="142">
        <v>0</v>
      </c>
      <c r="N144" s="142">
        <v>0</v>
      </c>
      <c r="O144" s="143">
        <f t="shared" ref="O144:O154" si="57">SUM(C144:N144)</f>
        <v>0</v>
      </c>
      <c r="P144" s="143"/>
      <c r="Q144" s="884"/>
      <c r="R144" s="876" t="s">
        <v>495</v>
      </c>
      <c r="S144" s="884"/>
      <c r="T144" s="143"/>
      <c r="U144" s="874">
        <f t="shared" si="52"/>
        <v>0</v>
      </c>
      <c r="V144" s="874">
        <f t="shared" si="53"/>
        <v>0</v>
      </c>
      <c r="W144" s="874">
        <f t="shared" si="54"/>
        <v>0</v>
      </c>
      <c r="X144" s="874">
        <f t="shared" si="55"/>
        <v>0</v>
      </c>
      <c r="Y144" s="873">
        <f t="shared" si="56"/>
        <v>0</v>
      </c>
    </row>
    <row r="145" spans="1:25" x14ac:dyDescent="0.2">
      <c r="A145" s="905" t="s">
        <v>580</v>
      </c>
      <c r="C145" s="957">
        <v>0</v>
      </c>
      <c r="D145" s="957">
        <v>0</v>
      </c>
      <c r="E145" s="957">
        <v>0</v>
      </c>
      <c r="F145" s="957">
        <v>0</v>
      </c>
      <c r="G145" s="957">
        <v>0</v>
      </c>
      <c r="H145" s="957">
        <v>0</v>
      </c>
      <c r="I145" s="957">
        <v>0</v>
      </c>
      <c r="J145" s="957">
        <v>0</v>
      </c>
      <c r="K145" s="957">
        <v>0</v>
      </c>
      <c r="L145" s="957">
        <v>0</v>
      </c>
      <c r="M145" s="957">
        <v>0</v>
      </c>
      <c r="N145" s="957">
        <v>0</v>
      </c>
      <c r="O145" s="143">
        <f t="shared" si="57"/>
        <v>0</v>
      </c>
      <c r="P145" s="143"/>
      <c r="Q145" s="884"/>
      <c r="R145" s="876" t="s">
        <v>495</v>
      </c>
      <c r="S145" s="884"/>
      <c r="T145" s="143"/>
      <c r="U145" s="874">
        <f t="shared" si="52"/>
        <v>0</v>
      </c>
      <c r="V145" s="874">
        <f t="shared" si="53"/>
        <v>0</v>
      </c>
      <c r="W145" s="874">
        <f t="shared" si="54"/>
        <v>0</v>
      </c>
      <c r="X145" s="874">
        <f t="shared" si="55"/>
        <v>0</v>
      </c>
      <c r="Y145" s="873">
        <f t="shared" si="56"/>
        <v>0</v>
      </c>
    </row>
    <row r="146" spans="1:25" x14ac:dyDescent="0.2">
      <c r="A146" s="905" t="s">
        <v>582</v>
      </c>
      <c r="C146" s="957">
        <v>0</v>
      </c>
      <c r="D146" s="957">
        <v>0</v>
      </c>
      <c r="E146" s="957">
        <v>0</v>
      </c>
      <c r="F146" s="957">
        <v>0</v>
      </c>
      <c r="G146" s="957">
        <v>0</v>
      </c>
      <c r="H146" s="957">
        <v>1000</v>
      </c>
      <c r="I146" s="957">
        <v>0</v>
      </c>
      <c r="J146" s="957">
        <v>0</v>
      </c>
      <c r="K146" s="957">
        <v>0</v>
      </c>
      <c r="L146" s="957">
        <v>0</v>
      </c>
      <c r="M146" s="957">
        <v>0</v>
      </c>
      <c r="N146" s="957">
        <v>1000</v>
      </c>
      <c r="O146" s="143">
        <f t="shared" si="57"/>
        <v>2000</v>
      </c>
      <c r="P146" s="143"/>
      <c r="Q146" s="884"/>
      <c r="R146" s="876" t="s">
        <v>495</v>
      </c>
      <c r="S146" s="884"/>
      <c r="T146" s="143"/>
      <c r="U146" s="874">
        <f t="shared" si="52"/>
        <v>0</v>
      </c>
      <c r="V146" s="874">
        <f t="shared" si="53"/>
        <v>1000</v>
      </c>
      <c r="W146" s="874">
        <f t="shared" si="54"/>
        <v>0</v>
      </c>
      <c r="X146" s="874">
        <f t="shared" si="55"/>
        <v>1000</v>
      </c>
      <c r="Y146" s="873">
        <f t="shared" si="56"/>
        <v>2000</v>
      </c>
    </row>
    <row r="147" spans="1:25" s="871" customFormat="1" ht="12.75" customHeight="1" x14ac:dyDescent="0.2">
      <c r="A147" s="905" t="s">
        <v>218</v>
      </c>
      <c r="C147" s="957">
        <v>0</v>
      </c>
      <c r="D147" s="957">
        <v>0</v>
      </c>
      <c r="E147" s="957">
        <v>0</v>
      </c>
      <c r="F147" s="957">
        <v>0</v>
      </c>
      <c r="G147" s="957">
        <v>0</v>
      </c>
      <c r="H147" s="957">
        <v>0</v>
      </c>
      <c r="I147" s="957">
        <v>0</v>
      </c>
      <c r="J147" s="957">
        <v>0</v>
      </c>
      <c r="K147" s="957">
        <v>0</v>
      </c>
      <c r="L147" s="957">
        <v>0</v>
      </c>
      <c r="M147" s="957">
        <v>0</v>
      </c>
      <c r="N147" s="957">
        <v>0</v>
      </c>
      <c r="O147" s="143">
        <f t="shared" si="57"/>
        <v>0</v>
      </c>
      <c r="P147" s="143"/>
      <c r="Q147" s="882"/>
      <c r="R147" s="876" t="s">
        <v>495</v>
      </c>
      <c r="S147" s="882"/>
      <c r="T147" s="143"/>
      <c r="U147" s="874">
        <f t="shared" si="52"/>
        <v>0</v>
      </c>
      <c r="V147" s="874">
        <f t="shared" si="53"/>
        <v>0</v>
      </c>
      <c r="W147" s="874">
        <f t="shared" si="54"/>
        <v>0</v>
      </c>
      <c r="X147" s="874">
        <f t="shared" si="55"/>
        <v>0</v>
      </c>
      <c r="Y147" s="873">
        <f t="shared" si="56"/>
        <v>0</v>
      </c>
    </row>
    <row r="148" spans="1:25" s="871" customFormat="1" ht="3.95" customHeight="1" x14ac:dyDescent="0.2">
      <c r="A148" s="911"/>
      <c r="C148" s="950"/>
      <c r="D148" s="950"/>
      <c r="E148" s="950"/>
      <c r="F148" s="950"/>
      <c r="G148" s="950"/>
      <c r="H148" s="950"/>
      <c r="I148" s="950"/>
      <c r="J148" s="950"/>
      <c r="K148" s="950"/>
      <c r="L148" s="950"/>
      <c r="M148" s="950"/>
      <c r="N148" s="950"/>
      <c r="O148" s="896"/>
      <c r="P148" s="896"/>
      <c r="Q148" s="882"/>
      <c r="R148" s="926"/>
      <c r="S148" s="882"/>
      <c r="T148" s="896"/>
      <c r="U148" s="896"/>
      <c r="V148" s="896"/>
      <c r="W148" s="896"/>
      <c r="X148" s="896"/>
      <c r="Y148" s="880"/>
    </row>
    <row r="149" spans="1:25" s="871" customFormat="1" ht="12.75" customHeight="1" x14ac:dyDescent="0.2">
      <c r="A149" s="904" t="s">
        <v>303</v>
      </c>
      <c r="C149" s="957">
        <v>0</v>
      </c>
      <c r="D149" s="957">
        <v>0</v>
      </c>
      <c r="E149" s="957">
        <v>0</v>
      </c>
      <c r="F149" s="957">
        <v>0</v>
      </c>
      <c r="G149" s="957">
        <v>0</v>
      </c>
      <c r="H149" s="957">
        <v>0</v>
      </c>
      <c r="I149" s="957">
        <v>0</v>
      </c>
      <c r="J149" s="957">
        <v>0</v>
      </c>
      <c r="K149" s="957">
        <v>0</v>
      </c>
      <c r="L149" s="957">
        <v>0</v>
      </c>
      <c r="M149" s="957">
        <v>0</v>
      </c>
      <c r="N149" s="957">
        <v>0</v>
      </c>
      <c r="O149" s="143">
        <f>SUM(C149:N149)</f>
        <v>0</v>
      </c>
      <c r="P149" s="143"/>
      <c r="Q149" s="882"/>
      <c r="R149" s="876" t="s">
        <v>495</v>
      </c>
      <c r="S149" s="882"/>
      <c r="T149" s="143"/>
      <c r="U149" s="874">
        <f>C149+D149+E149</f>
        <v>0</v>
      </c>
      <c r="V149" s="874">
        <f>F149+G149+H149</f>
        <v>0</v>
      </c>
      <c r="W149" s="874">
        <f>I149+J149+K149</f>
        <v>0</v>
      </c>
      <c r="X149" s="874">
        <f>L149+M149+N149</f>
        <v>0</v>
      </c>
      <c r="Y149" s="873">
        <f>SUM(U149:X149)</f>
        <v>0</v>
      </c>
    </row>
    <row r="150" spans="1:25" s="871" customFormat="1" ht="3.95" customHeight="1" x14ac:dyDescent="0.2">
      <c r="A150" s="911"/>
      <c r="C150" s="950"/>
      <c r="D150" s="950"/>
      <c r="E150" s="950"/>
      <c r="F150" s="950"/>
      <c r="G150" s="950"/>
      <c r="H150" s="950"/>
      <c r="I150" s="950"/>
      <c r="J150" s="950"/>
      <c r="K150" s="950"/>
      <c r="L150" s="950"/>
      <c r="M150" s="950"/>
      <c r="N150" s="950"/>
      <c r="O150" s="896"/>
      <c r="P150" s="896"/>
      <c r="Q150" s="882"/>
      <c r="R150" s="926"/>
      <c r="S150" s="882"/>
      <c r="T150" s="896"/>
      <c r="U150" s="896"/>
      <c r="V150" s="896"/>
      <c r="W150" s="896"/>
      <c r="X150" s="896"/>
      <c r="Y150" s="880"/>
    </row>
    <row r="151" spans="1:25" s="871" customFormat="1" ht="12.75" customHeight="1" x14ac:dyDescent="0.2">
      <c r="A151" s="905" t="s">
        <v>491</v>
      </c>
      <c r="B151" s="862"/>
      <c r="C151" s="878">
        <v>0</v>
      </c>
      <c r="D151" s="878">
        <v>0</v>
      </c>
      <c r="E151" s="878">
        <v>0</v>
      </c>
      <c r="F151" s="878">
        <v>0</v>
      </c>
      <c r="G151" s="878">
        <v>0</v>
      </c>
      <c r="H151" s="878">
        <v>0</v>
      </c>
      <c r="I151" s="878">
        <v>0</v>
      </c>
      <c r="J151" s="878">
        <v>0</v>
      </c>
      <c r="K151" s="878">
        <v>0</v>
      </c>
      <c r="L151" s="878">
        <v>0</v>
      </c>
      <c r="M151" s="878">
        <v>0</v>
      </c>
      <c r="N151" s="878">
        <v>0</v>
      </c>
      <c r="O151" s="143">
        <f t="shared" si="57"/>
        <v>0</v>
      </c>
      <c r="P151" s="143"/>
      <c r="Q151" s="875"/>
      <c r="R151" s="877" t="s">
        <v>507</v>
      </c>
      <c r="S151" s="875"/>
      <c r="T151" s="143"/>
      <c r="U151" s="874">
        <f>C151+D151+E151</f>
        <v>0</v>
      </c>
      <c r="V151" s="874">
        <f>F151+G151+H151</f>
        <v>0</v>
      </c>
      <c r="W151" s="874">
        <f>I151+J151+K151</f>
        <v>0</v>
      </c>
      <c r="X151" s="874">
        <f>L151+M151+N151</f>
        <v>0</v>
      </c>
      <c r="Y151" s="873">
        <f>SUM(U151:X151)</f>
        <v>0</v>
      </c>
    </row>
    <row r="152" spans="1:25" s="871" customFormat="1" ht="12.75" customHeight="1" x14ac:dyDescent="0.2">
      <c r="A152" s="908" t="s">
        <v>505</v>
      </c>
      <c r="B152" s="862"/>
      <c r="C152" s="878">
        <v>0</v>
      </c>
      <c r="D152" s="878">
        <v>0</v>
      </c>
      <c r="E152" s="878">
        <v>0</v>
      </c>
      <c r="F152" s="878">
        <v>0</v>
      </c>
      <c r="G152" s="878">
        <v>0</v>
      </c>
      <c r="H152" s="878">
        <v>0</v>
      </c>
      <c r="I152" s="878">
        <v>0</v>
      </c>
      <c r="J152" s="878">
        <v>0</v>
      </c>
      <c r="K152" s="878">
        <v>0</v>
      </c>
      <c r="L152" s="878">
        <v>0</v>
      </c>
      <c r="M152" s="878">
        <v>0</v>
      </c>
      <c r="N152" s="878">
        <v>0</v>
      </c>
      <c r="O152" s="143">
        <f t="shared" si="57"/>
        <v>0</v>
      </c>
      <c r="P152" s="143"/>
      <c r="Q152" s="875"/>
      <c r="R152" s="877" t="s">
        <v>507</v>
      </c>
      <c r="S152" s="875"/>
      <c r="T152" s="143"/>
      <c r="U152" s="874">
        <f>C152+D152+E152</f>
        <v>0</v>
      </c>
      <c r="V152" s="874">
        <f>F152+G152+H152</f>
        <v>0</v>
      </c>
      <c r="W152" s="874">
        <f>I152+J152+K152</f>
        <v>0</v>
      </c>
      <c r="X152" s="874">
        <f>L152+M152+N152</f>
        <v>0</v>
      </c>
      <c r="Y152" s="873">
        <f>SUM(U152:X152)</f>
        <v>0</v>
      </c>
    </row>
    <row r="153" spans="1:25" s="871" customFormat="1" ht="12.75" customHeight="1" x14ac:dyDescent="0.2">
      <c r="A153" s="905" t="s">
        <v>508</v>
      </c>
      <c r="B153" s="862"/>
      <c r="C153" s="878">
        <v>0</v>
      </c>
      <c r="D153" s="878">
        <v>0</v>
      </c>
      <c r="E153" s="878">
        <v>0</v>
      </c>
      <c r="F153" s="878">
        <v>0</v>
      </c>
      <c r="G153" s="878">
        <v>0</v>
      </c>
      <c r="H153" s="878">
        <v>0</v>
      </c>
      <c r="I153" s="878">
        <v>0</v>
      </c>
      <c r="J153" s="878">
        <v>0</v>
      </c>
      <c r="K153" s="878">
        <v>0</v>
      </c>
      <c r="L153" s="878">
        <v>0</v>
      </c>
      <c r="M153" s="878">
        <v>0</v>
      </c>
      <c r="N153" s="878">
        <v>0</v>
      </c>
      <c r="O153" s="143">
        <f t="shared" si="57"/>
        <v>0</v>
      </c>
      <c r="P153" s="143"/>
      <c r="Q153" s="875"/>
      <c r="R153" s="877" t="s">
        <v>507</v>
      </c>
      <c r="S153" s="875"/>
      <c r="T153" s="143"/>
      <c r="U153" s="874">
        <f>C153+D153+E153</f>
        <v>0</v>
      </c>
      <c r="V153" s="874">
        <f>F153+G153+H153</f>
        <v>0</v>
      </c>
      <c r="W153" s="874">
        <f>I153+J153+K153</f>
        <v>0</v>
      </c>
      <c r="X153" s="874">
        <f>L153+M153+N153</f>
        <v>0</v>
      </c>
      <c r="Y153" s="873">
        <f>SUM(U153:X153)</f>
        <v>0</v>
      </c>
    </row>
    <row r="154" spans="1:25" s="871" customFormat="1" ht="12.75" customHeight="1" x14ac:dyDescent="0.2">
      <c r="A154" s="905" t="s">
        <v>1144</v>
      </c>
      <c r="B154" s="862"/>
      <c r="C154" s="878">
        <v>0</v>
      </c>
      <c r="D154" s="878">
        <v>0</v>
      </c>
      <c r="E154" s="878">
        <v>0</v>
      </c>
      <c r="F154" s="878">
        <v>0</v>
      </c>
      <c r="G154" s="878">
        <v>0</v>
      </c>
      <c r="H154" s="878">
        <v>0</v>
      </c>
      <c r="I154" s="878">
        <v>0</v>
      </c>
      <c r="J154" s="878">
        <v>0</v>
      </c>
      <c r="K154" s="878">
        <v>0</v>
      </c>
      <c r="L154" s="878">
        <v>0</v>
      </c>
      <c r="M154" s="878">
        <v>0</v>
      </c>
      <c r="N154" s="878">
        <v>0</v>
      </c>
      <c r="O154" s="143">
        <f t="shared" si="57"/>
        <v>0</v>
      </c>
      <c r="P154" s="143"/>
      <c r="Q154" s="875"/>
      <c r="R154" s="877" t="s">
        <v>507</v>
      </c>
      <c r="S154" s="875"/>
      <c r="T154" s="143"/>
      <c r="U154" s="874">
        <f>C154+D154+E154</f>
        <v>0</v>
      </c>
      <c r="V154" s="874">
        <f>F154+G154+H154</f>
        <v>0</v>
      </c>
      <c r="W154" s="874">
        <f>I154+J154+K154</f>
        <v>0</v>
      </c>
      <c r="X154" s="874">
        <f>L154+M154+N154</f>
        <v>0</v>
      </c>
      <c r="Y154" s="873">
        <f>SUM(U154:X154)</f>
        <v>0</v>
      </c>
    </row>
    <row r="155" spans="1:25" s="871" customFormat="1" ht="3.95" customHeight="1" x14ac:dyDescent="0.2">
      <c r="A155" s="905"/>
      <c r="B155" s="862"/>
      <c r="C155" s="878"/>
      <c r="D155" s="878"/>
      <c r="E155" s="878"/>
      <c r="F155" s="878"/>
      <c r="G155" s="878"/>
      <c r="H155" s="878"/>
      <c r="I155" s="878"/>
      <c r="J155" s="878"/>
      <c r="K155" s="878"/>
      <c r="L155" s="878"/>
      <c r="M155" s="878"/>
      <c r="N155" s="878"/>
      <c r="O155" s="143"/>
      <c r="P155" s="143"/>
      <c r="Q155" s="875"/>
      <c r="R155" s="877"/>
      <c r="S155" s="875"/>
      <c r="T155" s="143"/>
      <c r="U155" s="874"/>
      <c r="V155" s="874"/>
      <c r="W155" s="874"/>
      <c r="X155" s="874"/>
      <c r="Y155" s="873"/>
    </row>
    <row r="156" spans="1:25" s="871" customFormat="1" ht="12.75" customHeight="1" x14ac:dyDescent="0.2">
      <c r="A156" s="925" t="s">
        <v>607</v>
      </c>
      <c r="C156" s="922">
        <f>SUM(C133:C154)</f>
        <v>0</v>
      </c>
      <c r="D156" s="923">
        <f>SUM(D133:D154)</f>
        <v>0</v>
      </c>
      <c r="E156" s="923">
        <f>SUM(E133:E154)</f>
        <v>0</v>
      </c>
      <c r="F156" s="923">
        <f t="shared" ref="F156:N156" si="58">SUM(F133:F154)</f>
        <v>0</v>
      </c>
      <c r="G156" s="923">
        <f t="shared" si="58"/>
        <v>0</v>
      </c>
      <c r="H156" s="923">
        <f t="shared" si="58"/>
        <v>8600</v>
      </c>
      <c r="I156" s="923">
        <f t="shared" si="58"/>
        <v>0</v>
      </c>
      <c r="J156" s="923">
        <f t="shared" si="58"/>
        <v>0</v>
      </c>
      <c r="K156" s="923">
        <f t="shared" si="58"/>
        <v>0</v>
      </c>
      <c r="L156" s="923">
        <f t="shared" si="58"/>
        <v>0</v>
      </c>
      <c r="M156" s="923">
        <f t="shared" si="58"/>
        <v>0</v>
      </c>
      <c r="N156" s="923">
        <f t="shared" si="58"/>
        <v>6000</v>
      </c>
      <c r="O156" s="924">
        <f>SUM(O133:O154)</f>
        <v>14600</v>
      </c>
      <c r="P156" s="896"/>
      <c r="Q156" s="882"/>
      <c r="R156" s="879"/>
      <c r="S156" s="882"/>
      <c r="T156" s="896"/>
      <c r="U156" s="922">
        <f>SUM(U133:U154)</f>
        <v>0</v>
      </c>
      <c r="V156" s="923">
        <f>SUM(V133:V154)</f>
        <v>8600</v>
      </c>
      <c r="W156" s="923">
        <f>SUM(W133:W154)</f>
        <v>0</v>
      </c>
      <c r="X156" s="923">
        <f>SUM(X133:X154)</f>
        <v>6000</v>
      </c>
      <c r="Y156" s="924">
        <f>SUM(Y133:Y154)</f>
        <v>14600</v>
      </c>
    </row>
    <row r="157" spans="1:25" s="871" customFormat="1" ht="12.75" customHeight="1" x14ac:dyDescent="0.2">
      <c r="A157" s="925"/>
      <c r="C157" s="879"/>
      <c r="D157" s="879"/>
      <c r="E157" s="879"/>
      <c r="F157" s="879"/>
      <c r="G157" s="879"/>
      <c r="H157" s="879"/>
      <c r="I157" s="879"/>
      <c r="J157" s="879"/>
      <c r="K157" s="879"/>
      <c r="L157" s="879"/>
      <c r="M157" s="879"/>
      <c r="N157" s="879"/>
      <c r="O157" s="881"/>
      <c r="P157" s="881"/>
      <c r="Q157" s="882"/>
      <c r="R157" s="879"/>
      <c r="S157" s="882"/>
      <c r="T157" s="881"/>
      <c r="U157" s="881"/>
      <c r="V157" s="881"/>
      <c r="W157" s="881"/>
      <c r="X157" s="881"/>
      <c r="Y157" s="879"/>
    </row>
    <row r="158" spans="1:25" s="871" customFormat="1" ht="12.75" customHeight="1" x14ac:dyDescent="0.2">
      <c r="A158" s="909" t="s">
        <v>553</v>
      </c>
      <c r="B158" s="872"/>
      <c r="C158" s="929">
        <f t="shared" ref="C158:O158" si="59">C80+C130+C156</f>
        <v>51200</v>
      </c>
      <c r="D158" s="930">
        <f t="shared" si="59"/>
        <v>50789</v>
      </c>
      <c r="E158" s="930">
        <f t="shared" si="59"/>
        <v>54865</v>
      </c>
      <c r="F158" s="930">
        <f t="shared" si="59"/>
        <v>19276</v>
      </c>
      <c r="G158" s="930">
        <f t="shared" si="59"/>
        <v>18980</v>
      </c>
      <c r="H158" s="930">
        <f t="shared" si="59"/>
        <v>33965</v>
      </c>
      <c r="I158" s="930">
        <f t="shared" si="59"/>
        <v>22622</v>
      </c>
      <c r="J158" s="930">
        <f t="shared" si="59"/>
        <v>22564</v>
      </c>
      <c r="K158" s="930">
        <f t="shared" si="59"/>
        <v>22773</v>
      </c>
      <c r="L158" s="930">
        <f t="shared" si="59"/>
        <v>21412</v>
      </c>
      <c r="M158" s="930">
        <f t="shared" si="59"/>
        <v>50465</v>
      </c>
      <c r="N158" s="930">
        <f t="shared" si="59"/>
        <v>57631</v>
      </c>
      <c r="O158" s="931">
        <f t="shared" si="59"/>
        <v>426542</v>
      </c>
      <c r="P158" s="898"/>
      <c r="Q158" s="928"/>
      <c r="R158" s="880"/>
      <c r="S158" s="928"/>
      <c r="T158" s="898"/>
      <c r="U158" s="929">
        <f>U80+U130+U156</f>
        <v>156854</v>
      </c>
      <c r="V158" s="930">
        <f>V80+V130+V156</f>
        <v>72221</v>
      </c>
      <c r="W158" s="930">
        <f>W80+W130+W156</f>
        <v>67959</v>
      </c>
      <c r="X158" s="930">
        <f>X80+X130+X156</f>
        <v>129508</v>
      </c>
      <c r="Y158" s="931">
        <f>Y80+Y130+Y156</f>
        <v>426542</v>
      </c>
    </row>
    <row r="159" spans="1:25" s="871" customFormat="1" ht="12.75" customHeight="1" x14ac:dyDescent="0.2">
      <c r="A159" s="905" t="s">
        <v>1012</v>
      </c>
      <c r="B159" s="872"/>
      <c r="C159" s="880">
        <f>+C158-C74-C121-C149</f>
        <v>50911</v>
      </c>
      <c r="D159" s="880">
        <f t="shared" ref="D159:N159" si="60">+D158-D74-D121-D149</f>
        <v>50502</v>
      </c>
      <c r="E159" s="880">
        <f t="shared" si="60"/>
        <v>54576</v>
      </c>
      <c r="F159" s="880">
        <f t="shared" si="60"/>
        <v>18989</v>
      </c>
      <c r="G159" s="880">
        <f t="shared" si="60"/>
        <v>18695</v>
      </c>
      <c r="H159" s="880">
        <f t="shared" si="60"/>
        <v>33119</v>
      </c>
      <c r="I159" s="880">
        <f t="shared" si="60"/>
        <v>21775</v>
      </c>
      <c r="J159" s="880">
        <f t="shared" si="60"/>
        <v>21853</v>
      </c>
      <c r="K159" s="880">
        <f t="shared" si="60"/>
        <v>22063</v>
      </c>
      <c r="L159" s="880">
        <f t="shared" si="60"/>
        <v>20731</v>
      </c>
      <c r="M159" s="880">
        <f t="shared" si="60"/>
        <v>49762</v>
      </c>
      <c r="N159" s="880">
        <f t="shared" si="60"/>
        <v>56927</v>
      </c>
      <c r="O159" s="143">
        <f>SUM(C159:N159)</f>
        <v>419903</v>
      </c>
      <c r="P159" s="898"/>
      <c r="Q159" s="928"/>
      <c r="R159" s="880"/>
      <c r="S159" s="928"/>
      <c r="T159" s="898"/>
      <c r="U159" s="874">
        <f>C159+D159+E159</f>
        <v>155989</v>
      </c>
      <c r="V159" s="874">
        <f>F159+G159+H159</f>
        <v>70803</v>
      </c>
      <c r="W159" s="874">
        <f>I159+J159+K159</f>
        <v>65691</v>
      </c>
      <c r="X159" s="874">
        <f>L159+M159+N159</f>
        <v>127420</v>
      </c>
      <c r="Y159" s="873">
        <f>SUM(U159:X159)</f>
        <v>419903</v>
      </c>
    </row>
    <row r="160" spans="1:25" s="871" customFormat="1" ht="12.75" customHeight="1" x14ac:dyDescent="0.2">
      <c r="A160" s="905" t="s">
        <v>1013</v>
      </c>
      <c r="B160" s="872"/>
      <c r="C160" s="880">
        <f>+C74+C121+C149</f>
        <v>289</v>
      </c>
      <c r="D160" s="880">
        <f t="shared" ref="D160:N160" si="61">+D74+D121+D149</f>
        <v>287</v>
      </c>
      <c r="E160" s="880">
        <f t="shared" si="61"/>
        <v>289</v>
      </c>
      <c r="F160" s="880">
        <f t="shared" si="61"/>
        <v>287</v>
      </c>
      <c r="G160" s="880">
        <f t="shared" si="61"/>
        <v>285</v>
      </c>
      <c r="H160" s="880">
        <f t="shared" si="61"/>
        <v>846</v>
      </c>
      <c r="I160" s="880">
        <f t="shared" si="61"/>
        <v>847</v>
      </c>
      <c r="J160" s="880">
        <f t="shared" si="61"/>
        <v>711</v>
      </c>
      <c r="K160" s="880">
        <f t="shared" si="61"/>
        <v>710</v>
      </c>
      <c r="L160" s="880">
        <f t="shared" si="61"/>
        <v>681</v>
      </c>
      <c r="M160" s="880">
        <f t="shared" si="61"/>
        <v>703</v>
      </c>
      <c r="N160" s="880">
        <f t="shared" si="61"/>
        <v>704</v>
      </c>
      <c r="O160" s="143">
        <f>SUM(C160:N160)</f>
        <v>6639</v>
      </c>
      <c r="P160" s="898"/>
      <c r="Q160" s="928"/>
      <c r="R160" s="880"/>
      <c r="S160" s="928"/>
      <c r="T160" s="898"/>
      <c r="U160" s="874">
        <f>C160+D160+E160</f>
        <v>865</v>
      </c>
      <c r="V160" s="874">
        <f>F160+G160+H160</f>
        <v>1418</v>
      </c>
      <c r="W160" s="874">
        <f>I160+J160+K160</f>
        <v>2268</v>
      </c>
      <c r="X160" s="874">
        <f>L160+M160+N160</f>
        <v>2088</v>
      </c>
      <c r="Y160" s="873">
        <f>SUM(U160:X160)</f>
        <v>6639</v>
      </c>
    </row>
    <row r="161" spans="1:25" x14ac:dyDescent="0.2">
      <c r="A161" s="906"/>
      <c r="C161" s="873"/>
      <c r="D161" s="873"/>
      <c r="E161" s="873"/>
      <c r="F161" s="873"/>
      <c r="G161" s="873"/>
      <c r="H161" s="873"/>
      <c r="I161" s="873"/>
      <c r="J161" s="873"/>
      <c r="K161" s="873"/>
      <c r="L161" s="873"/>
      <c r="M161" s="873"/>
      <c r="N161" s="873"/>
      <c r="O161" s="874"/>
      <c r="P161" s="874"/>
      <c r="Q161" s="875"/>
      <c r="R161" s="873"/>
      <c r="S161" s="875"/>
      <c r="T161" s="874"/>
      <c r="U161" s="874"/>
      <c r="V161" s="874"/>
      <c r="W161" s="874"/>
      <c r="X161" s="874"/>
      <c r="Y161" s="873"/>
    </row>
    <row r="162" spans="1:25" x14ac:dyDescent="0.2">
      <c r="C162" s="873"/>
      <c r="D162" s="873"/>
      <c r="E162" s="873"/>
      <c r="F162" s="873"/>
      <c r="G162" s="873"/>
      <c r="H162" s="873"/>
      <c r="I162" s="873"/>
      <c r="J162" s="873"/>
      <c r="K162" s="873"/>
      <c r="L162" s="873"/>
      <c r="M162" s="873"/>
      <c r="N162" s="873"/>
      <c r="O162" s="874"/>
      <c r="P162" s="874"/>
      <c r="Q162" s="875"/>
      <c r="R162" s="873"/>
      <c r="S162" s="875"/>
      <c r="T162" s="874"/>
      <c r="U162" s="874"/>
      <c r="V162" s="874"/>
      <c r="W162" s="874"/>
      <c r="X162" s="874"/>
      <c r="Y162" s="873"/>
    </row>
    <row r="163" spans="1:25" x14ac:dyDescent="0.2">
      <c r="A163" s="903" t="s">
        <v>589</v>
      </c>
      <c r="C163" s="873"/>
      <c r="D163" s="873"/>
      <c r="E163" s="873"/>
      <c r="F163" s="873"/>
      <c r="G163" s="873"/>
      <c r="H163" s="873"/>
      <c r="I163" s="873"/>
      <c r="J163" s="873"/>
      <c r="K163" s="873"/>
      <c r="L163" s="873"/>
      <c r="M163" s="873"/>
      <c r="N163" s="873"/>
      <c r="O163" s="874"/>
      <c r="P163" s="874"/>
      <c r="Q163" s="875"/>
      <c r="R163" s="873"/>
      <c r="S163" s="875"/>
      <c r="T163" s="874"/>
      <c r="U163" s="874"/>
      <c r="V163" s="874"/>
      <c r="W163" s="874"/>
      <c r="X163" s="874"/>
      <c r="Y163" s="873"/>
    </row>
    <row r="164" spans="1:25" x14ac:dyDescent="0.2">
      <c r="A164" s="904" t="s">
        <v>608</v>
      </c>
      <c r="C164" s="933"/>
      <c r="D164" s="934"/>
      <c r="E164" s="934"/>
      <c r="F164" s="934"/>
      <c r="G164" s="934"/>
      <c r="H164" s="934"/>
      <c r="I164" s="934"/>
      <c r="J164" s="934"/>
      <c r="K164" s="934"/>
      <c r="L164" s="934"/>
      <c r="M164" s="934"/>
      <c r="N164" s="934"/>
      <c r="O164" s="935">
        <f>C164+D164+E164+F164+G164+H164+I164+J164+K164+L164+M164+N164</f>
        <v>0</v>
      </c>
      <c r="P164" s="874"/>
      <c r="Q164" s="875"/>
      <c r="R164" s="887" t="s">
        <v>495</v>
      </c>
      <c r="S164" s="875"/>
      <c r="T164" s="874"/>
      <c r="U164" s="933">
        <f>C164+D164+E164</f>
        <v>0</v>
      </c>
      <c r="V164" s="934">
        <f>F164+G164+H164</f>
        <v>0</v>
      </c>
      <c r="W164" s="934">
        <f>I164+J164+K164</f>
        <v>0</v>
      </c>
      <c r="X164" s="934">
        <f>L164+M164+N164</f>
        <v>0</v>
      </c>
      <c r="Y164" s="935">
        <f>SUM(U164:X164)</f>
        <v>0</v>
      </c>
    </row>
    <row r="165" spans="1:25" ht="6" customHeight="1" x14ac:dyDescent="0.2">
      <c r="A165" s="904"/>
      <c r="C165" s="873"/>
      <c r="D165" s="873"/>
      <c r="E165" s="873"/>
      <c r="F165" s="873"/>
      <c r="G165" s="873"/>
      <c r="H165" s="873"/>
      <c r="I165" s="873"/>
      <c r="J165" s="873"/>
      <c r="K165" s="873"/>
      <c r="L165" s="873"/>
      <c r="M165" s="873"/>
      <c r="N165" s="873"/>
      <c r="O165" s="874"/>
      <c r="P165" s="874"/>
      <c r="Q165" s="875"/>
      <c r="R165" s="885"/>
      <c r="S165" s="875"/>
      <c r="T165" s="874"/>
      <c r="U165" s="874"/>
      <c r="V165" s="874"/>
      <c r="W165" s="874"/>
      <c r="X165" s="874"/>
      <c r="Y165" s="873"/>
    </row>
    <row r="166" spans="1:25" x14ac:dyDescent="0.2">
      <c r="A166" s="904" t="s">
        <v>570</v>
      </c>
      <c r="C166" s="873"/>
      <c r="D166" s="873"/>
      <c r="E166" s="873"/>
      <c r="F166" s="873"/>
      <c r="G166" s="873"/>
      <c r="H166" s="873"/>
      <c r="I166" s="873"/>
      <c r="J166" s="873"/>
      <c r="K166" s="873"/>
      <c r="L166" s="873"/>
      <c r="M166" s="873"/>
      <c r="N166" s="873"/>
      <c r="O166" s="874"/>
      <c r="P166" s="874"/>
      <c r="Q166" s="875"/>
      <c r="R166" s="873"/>
      <c r="S166" s="875"/>
      <c r="T166" s="874"/>
      <c r="U166" s="874"/>
      <c r="V166" s="874"/>
      <c r="W166" s="874"/>
      <c r="X166" s="874"/>
      <c r="Y166" s="873"/>
    </row>
    <row r="167" spans="1:25" x14ac:dyDescent="0.2">
      <c r="A167" s="905" t="s">
        <v>598</v>
      </c>
      <c r="C167" s="878">
        <v>-547</v>
      </c>
      <c r="D167" s="878">
        <v>-547</v>
      </c>
      <c r="E167" s="878">
        <v>-582</v>
      </c>
      <c r="F167" s="878">
        <v>-547</v>
      </c>
      <c r="G167" s="878">
        <v>-547</v>
      </c>
      <c r="H167" s="878">
        <v>-547</v>
      </c>
      <c r="I167" s="878">
        <v>-547</v>
      </c>
      <c r="J167" s="878">
        <v>-547</v>
      </c>
      <c r="K167" s="878">
        <v>-584</v>
      </c>
      <c r="L167" s="878">
        <v>-562</v>
      </c>
      <c r="M167" s="878">
        <v>-547</v>
      </c>
      <c r="N167" s="878">
        <v>-547</v>
      </c>
      <c r="O167" s="751">
        <f t="shared" ref="O167:O176" si="62">SUM(C167:N167)</f>
        <v>-6651</v>
      </c>
      <c r="P167" s="751"/>
      <c r="Q167" s="875"/>
      <c r="R167" s="876" t="s">
        <v>503</v>
      </c>
      <c r="S167" s="875"/>
      <c r="T167" s="751"/>
      <c r="U167" s="874">
        <f t="shared" ref="U167:U176" si="63">C167+D167+E167</f>
        <v>-1676</v>
      </c>
      <c r="V167" s="874">
        <f t="shared" ref="V167:V176" si="64">F167+G167+H167</f>
        <v>-1641</v>
      </c>
      <c r="W167" s="874">
        <f t="shared" ref="W167:W176" si="65">I167+J167+K167</f>
        <v>-1678</v>
      </c>
      <c r="X167" s="874">
        <f t="shared" ref="X167:X176" si="66">L167+M167+N167</f>
        <v>-1656</v>
      </c>
      <c r="Y167" s="873">
        <f t="shared" ref="Y167:Y176" si="67">SUM(U167:X167)</f>
        <v>-6651</v>
      </c>
    </row>
    <row r="168" spans="1:25" x14ac:dyDescent="0.2">
      <c r="A168" s="905" t="s">
        <v>599</v>
      </c>
      <c r="C168" s="878">
        <v>16</v>
      </c>
      <c r="D168" s="878">
        <v>17</v>
      </c>
      <c r="E168" s="878">
        <v>16</v>
      </c>
      <c r="F168" s="878">
        <v>17</v>
      </c>
      <c r="G168" s="878">
        <v>16</v>
      </c>
      <c r="H168" s="878">
        <v>17</v>
      </c>
      <c r="I168" s="878">
        <v>16</v>
      </c>
      <c r="J168" s="878">
        <v>17</v>
      </c>
      <c r="K168" s="878">
        <v>16</v>
      </c>
      <c r="L168" s="878">
        <v>17</v>
      </c>
      <c r="M168" s="878">
        <v>16</v>
      </c>
      <c r="N168" s="878">
        <v>17</v>
      </c>
      <c r="O168" s="751">
        <f t="shared" si="62"/>
        <v>198</v>
      </c>
      <c r="P168" s="751"/>
      <c r="Q168" s="875"/>
      <c r="R168" s="876" t="s">
        <v>503</v>
      </c>
      <c r="S168" s="875"/>
      <c r="T168" s="751"/>
      <c r="U168" s="874">
        <f t="shared" si="63"/>
        <v>49</v>
      </c>
      <c r="V168" s="874">
        <f t="shared" si="64"/>
        <v>50</v>
      </c>
      <c r="W168" s="874">
        <f t="shared" si="65"/>
        <v>49</v>
      </c>
      <c r="X168" s="874">
        <f t="shared" si="66"/>
        <v>50</v>
      </c>
      <c r="Y168" s="873">
        <f t="shared" si="67"/>
        <v>198</v>
      </c>
    </row>
    <row r="169" spans="1:25" x14ac:dyDescent="0.2">
      <c r="A169" s="905" t="s">
        <v>610</v>
      </c>
      <c r="C169" s="754">
        <v>0</v>
      </c>
      <c r="D169" s="754">
        <v>0</v>
      </c>
      <c r="E169" s="754">
        <v>0</v>
      </c>
      <c r="F169" s="754">
        <v>0</v>
      </c>
      <c r="G169" s="754">
        <v>0</v>
      </c>
      <c r="H169" s="754">
        <v>0</v>
      </c>
      <c r="I169" s="754">
        <v>0</v>
      </c>
      <c r="J169" s="754">
        <v>0</v>
      </c>
      <c r="K169" s="754">
        <v>0</v>
      </c>
      <c r="L169" s="754">
        <v>0</v>
      </c>
      <c r="M169" s="754">
        <v>0</v>
      </c>
      <c r="N169" s="754">
        <v>0</v>
      </c>
      <c r="O169" s="751">
        <f t="shared" si="62"/>
        <v>0</v>
      </c>
      <c r="P169" s="751"/>
      <c r="Q169" s="875"/>
      <c r="R169" s="876" t="s">
        <v>503</v>
      </c>
      <c r="S169" s="875"/>
      <c r="T169" s="751"/>
      <c r="U169" s="874">
        <f t="shared" si="63"/>
        <v>0</v>
      </c>
      <c r="V169" s="874">
        <f t="shared" si="64"/>
        <v>0</v>
      </c>
      <c r="W169" s="874">
        <f t="shared" si="65"/>
        <v>0</v>
      </c>
      <c r="X169" s="874">
        <f t="shared" si="66"/>
        <v>0</v>
      </c>
      <c r="Y169" s="873">
        <f t="shared" si="67"/>
        <v>0</v>
      </c>
    </row>
    <row r="170" spans="1:25" x14ac:dyDescent="0.2">
      <c r="A170" s="905" t="s">
        <v>609</v>
      </c>
      <c r="C170" s="878">
        <v>0</v>
      </c>
      <c r="D170" s="878">
        <v>0</v>
      </c>
      <c r="E170" s="878">
        <v>0</v>
      </c>
      <c r="F170" s="878">
        <v>0</v>
      </c>
      <c r="G170" s="878">
        <v>0</v>
      </c>
      <c r="H170" s="878">
        <v>0</v>
      </c>
      <c r="I170" s="878">
        <v>0</v>
      </c>
      <c r="J170" s="878">
        <v>0</v>
      </c>
      <c r="K170" s="878">
        <v>0</v>
      </c>
      <c r="L170" s="878">
        <v>0</v>
      </c>
      <c r="M170" s="878">
        <v>0</v>
      </c>
      <c r="N170" s="878">
        <v>0</v>
      </c>
      <c r="O170" s="751">
        <f t="shared" si="62"/>
        <v>0</v>
      </c>
      <c r="P170" s="751"/>
      <c r="Q170" s="875"/>
      <c r="R170" s="876" t="s">
        <v>503</v>
      </c>
      <c r="S170" s="875"/>
      <c r="T170" s="751"/>
      <c r="U170" s="874">
        <f t="shared" si="63"/>
        <v>0</v>
      </c>
      <c r="V170" s="874">
        <f t="shared" si="64"/>
        <v>0</v>
      </c>
      <c r="W170" s="874">
        <f t="shared" si="65"/>
        <v>0</v>
      </c>
      <c r="X170" s="874">
        <f t="shared" si="66"/>
        <v>0</v>
      </c>
      <c r="Y170" s="873">
        <f t="shared" si="67"/>
        <v>0</v>
      </c>
    </row>
    <row r="171" spans="1:25" x14ac:dyDescent="0.2">
      <c r="A171" s="905" t="s">
        <v>611</v>
      </c>
      <c r="C171" s="972">
        <v>-14</v>
      </c>
      <c r="D171" s="972">
        <v>-15</v>
      </c>
      <c r="E171" s="972">
        <v>-14</v>
      </c>
      <c r="F171" s="972">
        <v>-14</v>
      </c>
      <c r="G171" s="972">
        <v>-14</v>
      </c>
      <c r="H171" s="972">
        <v>-14</v>
      </c>
      <c r="I171" s="972">
        <v>-13</v>
      </c>
      <c r="J171" s="972">
        <v>-14</v>
      </c>
      <c r="K171" s="972">
        <v>-14</v>
      </c>
      <c r="L171" s="972">
        <v>-14</v>
      </c>
      <c r="M171" s="972">
        <v>-14</v>
      </c>
      <c r="N171" s="972">
        <v>-14</v>
      </c>
      <c r="O171" s="756">
        <f t="shared" si="62"/>
        <v>-168</v>
      </c>
      <c r="P171" s="751"/>
      <c r="Q171" s="875"/>
      <c r="R171" s="876" t="s">
        <v>503</v>
      </c>
      <c r="S171" s="875"/>
      <c r="T171" s="751"/>
      <c r="U171" s="919">
        <f t="shared" si="63"/>
        <v>-43</v>
      </c>
      <c r="V171" s="919">
        <f t="shared" si="64"/>
        <v>-42</v>
      </c>
      <c r="W171" s="919">
        <f t="shared" si="65"/>
        <v>-41</v>
      </c>
      <c r="X171" s="919">
        <f t="shared" si="66"/>
        <v>-42</v>
      </c>
      <c r="Y171" s="920">
        <f t="shared" si="67"/>
        <v>-168</v>
      </c>
    </row>
    <row r="172" spans="1:25" x14ac:dyDescent="0.2">
      <c r="A172" s="905" t="s">
        <v>449</v>
      </c>
      <c r="C172" s="973">
        <f>SUM(C167:C171)</f>
        <v>-545</v>
      </c>
      <c r="D172" s="973">
        <f t="shared" ref="D172:O172" si="68">SUM(D167:D171)</f>
        <v>-545</v>
      </c>
      <c r="E172" s="973">
        <f t="shared" si="68"/>
        <v>-580</v>
      </c>
      <c r="F172" s="973">
        <f t="shared" si="68"/>
        <v>-544</v>
      </c>
      <c r="G172" s="973">
        <f t="shared" si="68"/>
        <v>-545</v>
      </c>
      <c r="H172" s="973">
        <f t="shared" si="68"/>
        <v>-544</v>
      </c>
      <c r="I172" s="973">
        <f t="shared" si="68"/>
        <v>-544</v>
      </c>
      <c r="J172" s="973">
        <f t="shared" si="68"/>
        <v>-544</v>
      </c>
      <c r="K172" s="973">
        <f t="shared" si="68"/>
        <v>-582</v>
      </c>
      <c r="L172" s="973">
        <f t="shared" si="68"/>
        <v>-559</v>
      </c>
      <c r="M172" s="973">
        <f t="shared" si="68"/>
        <v>-545</v>
      </c>
      <c r="N172" s="973">
        <f t="shared" si="68"/>
        <v>-544</v>
      </c>
      <c r="O172" s="973">
        <f t="shared" si="68"/>
        <v>-6621</v>
      </c>
      <c r="P172" s="751"/>
      <c r="Q172" s="875"/>
      <c r="R172" s="876"/>
      <c r="S172" s="875"/>
      <c r="T172" s="751"/>
      <c r="U172" s="973">
        <f>SUM(U167:U171)</f>
        <v>-1670</v>
      </c>
      <c r="V172" s="973">
        <f>SUM(V167:V171)</f>
        <v>-1633</v>
      </c>
      <c r="W172" s="973">
        <f>SUM(W167:W171)</f>
        <v>-1670</v>
      </c>
      <c r="X172" s="973">
        <f>SUM(X167:X171)</f>
        <v>-1648</v>
      </c>
      <c r="Y172" s="973">
        <f>SUM(Y167:Y171)</f>
        <v>-6621</v>
      </c>
    </row>
    <row r="173" spans="1:25" ht="3.95" customHeight="1" x14ac:dyDescent="0.2">
      <c r="A173" s="905"/>
      <c r="C173" s="754"/>
      <c r="D173" s="754"/>
      <c r="E173" s="754"/>
      <c r="F173" s="754"/>
      <c r="G173" s="754"/>
      <c r="H173" s="754"/>
      <c r="I173" s="754"/>
      <c r="J173" s="754"/>
      <c r="K173" s="754"/>
      <c r="L173" s="754"/>
      <c r="M173" s="754"/>
      <c r="N173" s="754"/>
      <c r="O173" s="751"/>
      <c r="P173" s="751"/>
      <c r="Q173" s="875"/>
      <c r="R173" s="876"/>
      <c r="S173" s="875"/>
      <c r="T173" s="751"/>
      <c r="U173" s="874"/>
      <c r="V173" s="874"/>
      <c r="W173" s="874"/>
      <c r="X173" s="874"/>
      <c r="Y173" s="873"/>
    </row>
    <row r="174" spans="1:25" ht="12.75" customHeight="1" x14ac:dyDescent="0.2">
      <c r="A174" s="905" t="s">
        <v>1147</v>
      </c>
      <c r="C174" s="683">
        <f>-16+16</f>
        <v>0</v>
      </c>
      <c r="D174" s="683">
        <f>-17+17</f>
        <v>0</v>
      </c>
      <c r="E174" s="683">
        <f>-16+16</f>
        <v>0</v>
      </c>
      <c r="F174" s="683">
        <f>-17+17</f>
        <v>0</v>
      </c>
      <c r="G174" s="683">
        <f>-16+16</f>
        <v>0</v>
      </c>
      <c r="H174" s="683">
        <f>-17+17</f>
        <v>0</v>
      </c>
      <c r="I174" s="683">
        <f>-16+16</f>
        <v>0</v>
      </c>
      <c r="J174" s="683">
        <f>-17+17</f>
        <v>0</v>
      </c>
      <c r="K174" s="683">
        <f>-16+16</f>
        <v>0</v>
      </c>
      <c r="L174" s="683">
        <f>-17+17</f>
        <v>0</v>
      </c>
      <c r="M174" s="683">
        <f>-16+16</f>
        <v>0</v>
      </c>
      <c r="N174" s="683">
        <f>-17+17</f>
        <v>0</v>
      </c>
      <c r="O174" s="129">
        <f>SUM(C174:N174)</f>
        <v>0</v>
      </c>
      <c r="P174" s="129"/>
      <c r="Q174" s="875"/>
      <c r="R174" s="877" t="s">
        <v>518</v>
      </c>
      <c r="S174" s="875"/>
      <c r="T174" s="129"/>
      <c r="U174" s="874">
        <f>C174+D174+E174</f>
        <v>0</v>
      </c>
      <c r="V174" s="874">
        <f>F174+G174+H174</f>
        <v>0</v>
      </c>
      <c r="W174" s="874">
        <f>I174+J174+K174</f>
        <v>0</v>
      </c>
      <c r="X174" s="874">
        <f>L174+M174+N174</f>
        <v>0</v>
      </c>
      <c r="Y174" s="873">
        <f>SUM(U174:X174)</f>
        <v>0</v>
      </c>
    </row>
    <row r="175" spans="1:25" ht="3.95" customHeight="1" x14ac:dyDescent="0.2">
      <c r="A175" s="905"/>
      <c r="C175" s="754"/>
      <c r="D175" s="754"/>
      <c r="E175" s="754"/>
      <c r="F175" s="754"/>
      <c r="G175" s="754"/>
      <c r="H175" s="754"/>
      <c r="I175" s="754"/>
      <c r="J175" s="754"/>
      <c r="K175" s="754"/>
      <c r="L175" s="754"/>
      <c r="M175" s="754"/>
      <c r="N175" s="754"/>
      <c r="O175" s="751"/>
      <c r="P175" s="751"/>
      <c r="Q175" s="875"/>
      <c r="R175" s="876"/>
      <c r="S175" s="875"/>
      <c r="T175" s="751"/>
      <c r="U175" s="874"/>
      <c r="V175" s="874"/>
      <c r="W175" s="874"/>
      <c r="X175" s="874"/>
      <c r="Y175" s="873"/>
    </row>
    <row r="176" spans="1:25" s="871" customFormat="1" ht="12.75" customHeight="1" x14ac:dyDescent="0.2">
      <c r="A176" s="932" t="s">
        <v>604</v>
      </c>
      <c r="C176" s="128">
        <v>-32</v>
      </c>
      <c r="D176" s="128">
        <v>-68</v>
      </c>
      <c r="E176" s="128">
        <v>-31</v>
      </c>
      <c r="F176" s="128">
        <v>-31</v>
      </c>
      <c r="G176" s="128">
        <v>-31</v>
      </c>
      <c r="H176" s="128">
        <v>-31</v>
      </c>
      <c r="I176" s="128">
        <v>-32</v>
      </c>
      <c r="J176" s="128">
        <v>-31</v>
      </c>
      <c r="K176" s="128">
        <v>-31</v>
      </c>
      <c r="L176" s="128">
        <v>-31</v>
      </c>
      <c r="M176" s="128">
        <v>-31</v>
      </c>
      <c r="N176" s="128">
        <v>-31</v>
      </c>
      <c r="O176" s="751">
        <f t="shared" si="62"/>
        <v>-411</v>
      </c>
      <c r="P176" s="751"/>
      <c r="Q176" s="886"/>
      <c r="R176" s="877" t="s">
        <v>504</v>
      </c>
      <c r="S176" s="886"/>
      <c r="T176" s="751"/>
      <c r="U176" s="896">
        <f t="shared" si="63"/>
        <v>-131</v>
      </c>
      <c r="V176" s="896">
        <f t="shared" si="64"/>
        <v>-93</v>
      </c>
      <c r="W176" s="896">
        <f t="shared" si="65"/>
        <v>-94</v>
      </c>
      <c r="X176" s="896">
        <f t="shared" si="66"/>
        <v>-93</v>
      </c>
      <c r="Y176" s="880">
        <f t="shared" si="67"/>
        <v>-411</v>
      </c>
    </row>
    <row r="177" spans="1:25" s="871" customFormat="1" ht="3.95" customHeight="1" x14ac:dyDescent="0.2">
      <c r="A177" s="932"/>
      <c r="C177" s="128"/>
      <c r="D177" s="128"/>
      <c r="E177" s="128"/>
      <c r="F177" s="128"/>
      <c r="G177" s="128"/>
      <c r="H177" s="128"/>
      <c r="I177" s="128"/>
      <c r="J177" s="128"/>
      <c r="K177" s="128"/>
      <c r="L177" s="128"/>
      <c r="M177" s="128"/>
      <c r="N177" s="128"/>
      <c r="O177" s="751"/>
      <c r="P177" s="751"/>
      <c r="Q177" s="886"/>
      <c r="R177" s="877"/>
      <c r="S177" s="886"/>
      <c r="T177" s="751"/>
      <c r="U177" s="896"/>
      <c r="V177" s="896"/>
      <c r="W177" s="896"/>
      <c r="X177" s="896"/>
      <c r="Y177" s="880"/>
    </row>
    <row r="178" spans="1:25" s="871" customFormat="1" ht="12.75" customHeight="1" x14ac:dyDescent="0.2">
      <c r="A178" s="925" t="s">
        <v>606</v>
      </c>
      <c r="C178" s="922">
        <f>SUM(C172:C176)</f>
        <v>-577</v>
      </c>
      <c r="D178" s="923">
        <f>SUM(D172:D176)</f>
        <v>-613</v>
      </c>
      <c r="E178" s="923">
        <f t="shared" ref="E178:O178" si="69">SUM(E172:E176)</f>
        <v>-611</v>
      </c>
      <c r="F178" s="923">
        <f t="shared" si="69"/>
        <v>-575</v>
      </c>
      <c r="G178" s="923">
        <f t="shared" si="69"/>
        <v>-576</v>
      </c>
      <c r="H178" s="923">
        <f t="shared" si="69"/>
        <v>-575</v>
      </c>
      <c r="I178" s="923">
        <f t="shared" si="69"/>
        <v>-576</v>
      </c>
      <c r="J178" s="923">
        <f t="shared" si="69"/>
        <v>-575</v>
      </c>
      <c r="K178" s="923">
        <f t="shared" si="69"/>
        <v>-613</v>
      </c>
      <c r="L178" s="923">
        <f t="shared" si="69"/>
        <v>-590</v>
      </c>
      <c r="M178" s="923">
        <f t="shared" si="69"/>
        <v>-576</v>
      </c>
      <c r="N178" s="923">
        <f t="shared" si="69"/>
        <v>-575</v>
      </c>
      <c r="O178" s="924">
        <f t="shared" si="69"/>
        <v>-7032</v>
      </c>
      <c r="P178" s="896"/>
      <c r="Q178" s="886"/>
      <c r="R178" s="880"/>
      <c r="S178" s="886"/>
      <c r="T178" s="896"/>
      <c r="U178" s="922">
        <f>SUM(U172:U176)</f>
        <v>-1801</v>
      </c>
      <c r="V178" s="923">
        <f>SUM(V172:V176)</f>
        <v>-1726</v>
      </c>
      <c r="W178" s="923">
        <f>SUM(W172:W176)</f>
        <v>-1764</v>
      </c>
      <c r="X178" s="923">
        <f>SUM(X172:X176)</f>
        <v>-1741</v>
      </c>
      <c r="Y178" s="924">
        <f>SUM(Y172:Y176)</f>
        <v>-7032</v>
      </c>
    </row>
    <row r="179" spans="1:25" s="871" customFormat="1" ht="12.75" customHeight="1" x14ac:dyDescent="0.2">
      <c r="A179" s="925"/>
      <c r="C179" s="880"/>
      <c r="D179" s="880"/>
      <c r="E179" s="880"/>
      <c r="F179" s="880"/>
      <c r="G179" s="880"/>
      <c r="H179" s="880"/>
      <c r="I179" s="880"/>
      <c r="J179" s="880"/>
      <c r="K179" s="880"/>
      <c r="L179" s="880"/>
      <c r="M179" s="880"/>
      <c r="N179" s="880"/>
      <c r="O179" s="896"/>
      <c r="P179" s="896"/>
      <c r="Q179" s="886"/>
      <c r="R179" s="880"/>
      <c r="S179" s="886"/>
      <c r="T179" s="896"/>
      <c r="U179" s="896"/>
      <c r="V179" s="896"/>
      <c r="W179" s="896"/>
      <c r="X179" s="896"/>
      <c r="Y179" s="880"/>
    </row>
    <row r="180" spans="1:25" s="871" customFormat="1" ht="12.75" customHeight="1" x14ac:dyDescent="0.2">
      <c r="A180" s="909" t="s">
        <v>590</v>
      </c>
      <c r="C180" s="929">
        <f t="shared" ref="C180:N180" si="70">+C164+C178</f>
        <v>-577</v>
      </c>
      <c r="D180" s="930">
        <f t="shared" si="70"/>
        <v>-613</v>
      </c>
      <c r="E180" s="930">
        <f t="shared" si="70"/>
        <v>-611</v>
      </c>
      <c r="F180" s="930">
        <f t="shared" si="70"/>
        <v>-575</v>
      </c>
      <c r="G180" s="930">
        <f t="shared" si="70"/>
        <v>-576</v>
      </c>
      <c r="H180" s="930">
        <f t="shared" si="70"/>
        <v>-575</v>
      </c>
      <c r="I180" s="930">
        <f t="shared" si="70"/>
        <v>-576</v>
      </c>
      <c r="J180" s="930">
        <f t="shared" si="70"/>
        <v>-575</v>
      </c>
      <c r="K180" s="930">
        <f t="shared" si="70"/>
        <v>-613</v>
      </c>
      <c r="L180" s="930">
        <f t="shared" si="70"/>
        <v>-590</v>
      </c>
      <c r="M180" s="930">
        <f t="shared" si="70"/>
        <v>-576</v>
      </c>
      <c r="N180" s="930">
        <f t="shared" si="70"/>
        <v>-575</v>
      </c>
      <c r="O180" s="931">
        <f>+O164+O178</f>
        <v>-7032</v>
      </c>
      <c r="P180" s="898"/>
      <c r="Q180" s="928"/>
      <c r="R180" s="880"/>
      <c r="S180" s="928"/>
      <c r="T180" s="898"/>
      <c r="U180" s="929">
        <f>+U164+U178</f>
        <v>-1801</v>
      </c>
      <c r="V180" s="930">
        <f>+V164+V178</f>
        <v>-1726</v>
      </c>
      <c r="W180" s="930">
        <f>+W164+W178</f>
        <v>-1764</v>
      </c>
      <c r="X180" s="930">
        <f>+X164+X178</f>
        <v>-1741</v>
      </c>
      <c r="Y180" s="931">
        <f>+Y164+Y178</f>
        <v>-7032</v>
      </c>
    </row>
    <row r="181" spans="1:25" s="871" customFormat="1" ht="12.75" customHeight="1" x14ac:dyDescent="0.2">
      <c r="A181" s="912"/>
      <c r="C181" s="879"/>
      <c r="D181" s="879"/>
      <c r="E181" s="879"/>
      <c r="F181" s="879"/>
      <c r="G181" s="879"/>
      <c r="H181" s="879"/>
      <c r="I181" s="879"/>
      <c r="J181" s="879"/>
      <c r="K181" s="879"/>
      <c r="L181" s="879"/>
      <c r="M181" s="879"/>
      <c r="N181" s="879"/>
      <c r="O181" s="881"/>
      <c r="P181" s="881"/>
      <c r="Q181" s="882"/>
      <c r="R181" s="879"/>
      <c r="S181" s="882"/>
      <c r="T181" s="881"/>
      <c r="U181" s="881"/>
      <c r="V181" s="881"/>
      <c r="W181" s="881"/>
      <c r="X181" s="881"/>
      <c r="Y181" s="879"/>
    </row>
    <row r="182" spans="1:25" x14ac:dyDescent="0.2">
      <c r="A182" s="903" t="s">
        <v>509</v>
      </c>
      <c r="C182" s="873"/>
      <c r="D182" s="873"/>
      <c r="E182" s="873"/>
      <c r="F182" s="873"/>
      <c r="G182" s="873"/>
      <c r="H182" s="873"/>
      <c r="I182" s="873"/>
      <c r="J182" s="873"/>
      <c r="K182" s="873"/>
      <c r="L182" s="873"/>
      <c r="M182" s="873"/>
      <c r="N182" s="873"/>
      <c r="O182" s="874"/>
      <c r="P182" s="874"/>
      <c r="Q182" s="875"/>
      <c r="R182" s="873"/>
      <c r="S182" s="875"/>
      <c r="T182" s="874"/>
      <c r="U182" s="874"/>
      <c r="V182" s="874"/>
      <c r="W182" s="874"/>
      <c r="X182" s="874"/>
      <c r="Y182" s="873"/>
    </row>
    <row r="183" spans="1:25" x14ac:dyDescent="0.2">
      <c r="A183" s="904" t="s">
        <v>231</v>
      </c>
      <c r="C183" s="941">
        <v>0</v>
      </c>
      <c r="D183" s="942">
        <v>0</v>
      </c>
      <c r="E183" s="942">
        <v>0</v>
      </c>
      <c r="F183" s="942">
        <v>0</v>
      </c>
      <c r="G183" s="942">
        <v>0</v>
      </c>
      <c r="H183" s="942">
        <v>0</v>
      </c>
      <c r="I183" s="942">
        <v>0</v>
      </c>
      <c r="J183" s="942">
        <v>0</v>
      </c>
      <c r="K183" s="942">
        <v>0</v>
      </c>
      <c r="L183" s="942">
        <v>0</v>
      </c>
      <c r="M183" s="942">
        <v>0</v>
      </c>
      <c r="N183" s="942">
        <v>0</v>
      </c>
      <c r="O183" s="943">
        <f>SUM(C183:N183)</f>
        <v>0</v>
      </c>
      <c r="P183" s="967"/>
      <c r="Q183" s="875"/>
      <c r="R183" s="887" t="s">
        <v>495</v>
      </c>
      <c r="S183" s="875"/>
      <c r="T183" s="967"/>
      <c r="U183" s="933">
        <f>C183+D183+E183</f>
        <v>0</v>
      </c>
      <c r="V183" s="934">
        <f>F183+G183+H183</f>
        <v>0</v>
      </c>
      <c r="W183" s="934">
        <f>I183+J183+K183</f>
        <v>0</v>
      </c>
      <c r="X183" s="934">
        <f>L183+M183+N183</f>
        <v>0</v>
      </c>
      <c r="Y183" s="935">
        <f>SUM(U183:X183)</f>
        <v>0</v>
      </c>
    </row>
    <row r="184" spans="1:25" ht="6" customHeight="1" x14ac:dyDescent="0.2">
      <c r="A184" s="910"/>
      <c r="C184" s="873"/>
      <c r="D184" s="873"/>
      <c r="E184" s="873"/>
      <c r="F184" s="873"/>
      <c r="G184" s="873"/>
      <c r="H184" s="873"/>
      <c r="I184" s="873"/>
      <c r="J184" s="873"/>
      <c r="K184" s="873"/>
      <c r="L184" s="873"/>
      <c r="M184" s="873"/>
      <c r="N184" s="873"/>
      <c r="O184" s="874"/>
      <c r="P184" s="874"/>
      <c r="Q184" s="875"/>
      <c r="R184" s="873"/>
      <c r="S184" s="875"/>
      <c r="T184" s="874"/>
      <c r="U184" s="874"/>
      <c r="V184" s="874"/>
      <c r="W184" s="874"/>
      <c r="X184" s="874"/>
      <c r="Y184" s="873"/>
    </row>
    <row r="185" spans="1:25" x14ac:dyDescent="0.2">
      <c r="A185" s="904" t="s">
        <v>570</v>
      </c>
      <c r="C185" s="873"/>
      <c r="D185" s="873"/>
      <c r="E185" s="873"/>
      <c r="F185" s="873"/>
      <c r="G185" s="873"/>
      <c r="H185" s="873"/>
      <c r="I185" s="873"/>
      <c r="J185" s="873"/>
      <c r="K185" s="873"/>
      <c r="L185" s="873"/>
      <c r="M185" s="873"/>
      <c r="N185" s="873"/>
      <c r="O185" s="874"/>
      <c r="P185" s="874"/>
      <c r="Q185" s="875"/>
      <c r="R185" s="873"/>
      <c r="S185" s="875"/>
      <c r="T185" s="874"/>
      <c r="U185" s="874"/>
      <c r="V185" s="874"/>
      <c r="W185" s="874"/>
      <c r="X185" s="874"/>
      <c r="Y185" s="873"/>
    </row>
    <row r="186" spans="1:25" x14ac:dyDescent="0.2">
      <c r="A186" s="905" t="s">
        <v>612</v>
      </c>
      <c r="C186" s="878">
        <v>-6920</v>
      </c>
      <c r="D186" s="878">
        <v>-7370</v>
      </c>
      <c r="E186" s="878">
        <v>-7383</v>
      </c>
      <c r="F186" s="878">
        <v>-7206</v>
      </c>
      <c r="G186" s="878">
        <v>-7239</v>
      </c>
      <c r="H186" s="878">
        <v>-7665</v>
      </c>
      <c r="I186" s="878">
        <v>-9118</v>
      </c>
      <c r="J186" s="878">
        <v>-8331</v>
      </c>
      <c r="K186" s="878">
        <v>-8633</v>
      </c>
      <c r="L186" s="878">
        <v>-8610</v>
      </c>
      <c r="M186" s="878">
        <v>-7775</v>
      </c>
      <c r="N186" s="878">
        <v>-8245</v>
      </c>
      <c r="O186" s="751">
        <f>SUM(C186:N186)</f>
        <v>-94495</v>
      </c>
      <c r="P186" s="751"/>
      <c r="Q186" s="875"/>
      <c r="R186" s="876" t="s">
        <v>503</v>
      </c>
      <c r="S186" s="875"/>
      <c r="T186" s="751"/>
      <c r="U186" s="874">
        <f t="shared" ref="U186:U204" si="71">C186+D186+E186</f>
        <v>-21673</v>
      </c>
      <c r="V186" s="874">
        <f t="shared" ref="V186:V204" si="72">F186+G186+H186</f>
        <v>-22110</v>
      </c>
      <c r="W186" s="874">
        <f t="shared" ref="W186:W204" si="73">I186+J186+K186</f>
        <v>-26082</v>
      </c>
      <c r="X186" s="874">
        <f t="shared" ref="X186:X204" si="74">L186+M186+N186</f>
        <v>-24630</v>
      </c>
      <c r="Y186" s="873">
        <f>SUM(U186:X186)</f>
        <v>-94495</v>
      </c>
    </row>
    <row r="187" spans="1:25" x14ac:dyDescent="0.2">
      <c r="A187" s="905" t="s">
        <v>613</v>
      </c>
      <c r="C187" s="878"/>
      <c r="D187" s="878"/>
      <c r="E187" s="878"/>
      <c r="F187" s="878"/>
      <c r="G187" s="878"/>
      <c r="H187" s="878"/>
      <c r="I187" s="878"/>
      <c r="J187" s="878"/>
      <c r="K187" s="878"/>
      <c r="L187" s="878"/>
      <c r="M187" s="878"/>
      <c r="N187" s="878"/>
      <c r="O187" s="751">
        <f t="shared" ref="O187:O199" si="75">SUM(C187:N187)</f>
        <v>0</v>
      </c>
      <c r="P187" s="751"/>
      <c r="Q187" s="875"/>
      <c r="R187" s="876" t="s">
        <v>503</v>
      </c>
      <c r="S187" s="875"/>
      <c r="T187" s="751"/>
      <c r="U187" s="874">
        <f t="shared" si="71"/>
        <v>0</v>
      </c>
      <c r="V187" s="874">
        <f t="shared" si="72"/>
        <v>0</v>
      </c>
      <c r="W187" s="874">
        <f t="shared" si="73"/>
        <v>0</v>
      </c>
      <c r="X187" s="874">
        <f t="shared" si="74"/>
        <v>0</v>
      </c>
      <c r="Y187" s="873">
        <f t="shared" ref="Y187:Y204" si="76">SUM(U187:X187)</f>
        <v>0</v>
      </c>
    </row>
    <row r="188" spans="1:25" x14ac:dyDescent="0.2">
      <c r="A188" s="905" t="s">
        <v>599</v>
      </c>
      <c r="C188" s="878">
        <v>928</v>
      </c>
      <c r="D188" s="878">
        <v>945</v>
      </c>
      <c r="E188" s="878">
        <v>932</v>
      </c>
      <c r="F188" s="878">
        <v>932</v>
      </c>
      <c r="G188" s="878">
        <v>937</v>
      </c>
      <c r="H188" s="878">
        <v>993</v>
      </c>
      <c r="I188" s="878">
        <v>986</v>
      </c>
      <c r="J188" s="878">
        <v>982</v>
      </c>
      <c r="K188" s="878">
        <v>940</v>
      </c>
      <c r="L188" s="878">
        <v>939</v>
      </c>
      <c r="M188" s="878">
        <v>936</v>
      </c>
      <c r="N188" s="878">
        <v>936</v>
      </c>
      <c r="O188" s="751">
        <f t="shared" si="75"/>
        <v>11386</v>
      </c>
      <c r="P188" s="751"/>
      <c r="Q188" s="875"/>
      <c r="R188" s="876" t="s">
        <v>503</v>
      </c>
      <c r="S188" s="875"/>
      <c r="T188" s="751"/>
      <c r="U188" s="874">
        <f t="shared" si="71"/>
        <v>2805</v>
      </c>
      <c r="V188" s="874">
        <f t="shared" si="72"/>
        <v>2862</v>
      </c>
      <c r="W188" s="874">
        <f t="shared" si="73"/>
        <v>2908</v>
      </c>
      <c r="X188" s="874">
        <f t="shared" si="74"/>
        <v>2811</v>
      </c>
      <c r="Y188" s="873">
        <f t="shared" si="76"/>
        <v>11386</v>
      </c>
    </row>
    <row r="189" spans="1:25" x14ac:dyDescent="0.2">
      <c r="A189" s="905" t="s">
        <v>614</v>
      </c>
      <c r="C189" s="878">
        <v>-482</v>
      </c>
      <c r="D189" s="878">
        <v>-543</v>
      </c>
      <c r="E189" s="878">
        <v>-482</v>
      </c>
      <c r="F189" s="878">
        <v>-494</v>
      </c>
      <c r="G189" s="878">
        <v>-489</v>
      </c>
      <c r="H189" s="878">
        <v>-485</v>
      </c>
      <c r="I189" s="878">
        <v>-601</v>
      </c>
      <c r="J189" s="878">
        <v>-491</v>
      </c>
      <c r="K189" s="878">
        <v>-485</v>
      </c>
      <c r="L189" s="878">
        <v>-507</v>
      </c>
      <c r="M189" s="878">
        <v>-498</v>
      </c>
      <c r="N189" s="878">
        <v>-483</v>
      </c>
      <c r="O189" s="751">
        <f t="shared" si="75"/>
        <v>-6040</v>
      </c>
      <c r="P189" s="751"/>
      <c r="Q189" s="875"/>
      <c r="R189" s="876" t="s">
        <v>503</v>
      </c>
      <c r="S189" s="875"/>
      <c r="T189" s="751"/>
      <c r="U189" s="874">
        <f t="shared" si="71"/>
        <v>-1507</v>
      </c>
      <c r="V189" s="874">
        <f t="shared" si="72"/>
        <v>-1468</v>
      </c>
      <c r="W189" s="874">
        <f t="shared" si="73"/>
        <v>-1577</v>
      </c>
      <c r="X189" s="874">
        <f t="shared" si="74"/>
        <v>-1488</v>
      </c>
      <c r="Y189" s="873">
        <f t="shared" si="76"/>
        <v>-6040</v>
      </c>
    </row>
    <row r="190" spans="1:25" x14ac:dyDescent="0.2">
      <c r="A190" s="905" t="s">
        <v>615</v>
      </c>
      <c r="C190" s="878"/>
      <c r="D190" s="878"/>
      <c r="E190" s="878"/>
      <c r="F190" s="878"/>
      <c r="G190" s="878"/>
      <c r="H190" s="878"/>
      <c r="I190" s="878"/>
      <c r="J190" s="878"/>
      <c r="K190" s="878"/>
      <c r="L190" s="878"/>
      <c r="M190" s="878"/>
      <c r="N190" s="878"/>
      <c r="O190" s="751">
        <f t="shared" si="75"/>
        <v>0</v>
      </c>
      <c r="P190" s="751"/>
      <c r="Q190" s="875"/>
      <c r="R190" s="876" t="s">
        <v>503</v>
      </c>
      <c r="S190" s="875"/>
      <c r="T190" s="751"/>
      <c r="U190" s="874">
        <f t="shared" si="71"/>
        <v>0</v>
      </c>
      <c r="V190" s="874">
        <f t="shared" si="72"/>
        <v>0</v>
      </c>
      <c r="W190" s="874">
        <f t="shared" si="73"/>
        <v>0</v>
      </c>
      <c r="X190" s="874">
        <f t="shared" si="74"/>
        <v>0</v>
      </c>
      <c r="Y190" s="873">
        <f t="shared" si="76"/>
        <v>0</v>
      </c>
    </row>
    <row r="191" spans="1:25" x14ac:dyDescent="0.2">
      <c r="A191" s="905" t="s">
        <v>616</v>
      </c>
      <c r="C191" s="878"/>
      <c r="D191" s="878"/>
      <c r="E191" s="878"/>
      <c r="F191" s="878"/>
      <c r="G191" s="878"/>
      <c r="H191" s="878"/>
      <c r="I191" s="878"/>
      <c r="J191" s="878"/>
      <c r="K191" s="878"/>
      <c r="L191" s="878"/>
      <c r="M191" s="878"/>
      <c r="N191" s="878"/>
      <c r="O191" s="751">
        <f t="shared" si="75"/>
        <v>0</v>
      </c>
      <c r="P191" s="751"/>
      <c r="Q191" s="875"/>
      <c r="R191" s="876" t="s">
        <v>503</v>
      </c>
      <c r="S191" s="875"/>
      <c r="T191" s="751"/>
      <c r="U191" s="874">
        <f t="shared" si="71"/>
        <v>0</v>
      </c>
      <c r="V191" s="874">
        <f t="shared" si="72"/>
        <v>0</v>
      </c>
      <c r="W191" s="874">
        <f t="shared" si="73"/>
        <v>0</v>
      </c>
      <c r="X191" s="874">
        <f t="shared" si="74"/>
        <v>0</v>
      </c>
      <c r="Y191" s="873">
        <f t="shared" si="76"/>
        <v>0</v>
      </c>
    </row>
    <row r="192" spans="1:25" x14ac:dyDescent="0.2">
      <c r="A192" s="905" t="s">
        <v>617</v>
      </c>
      <c r="C192" s="878"/>
      <c r="D192" s="878"/>
      <c r="E192" s="878"/>
      <c r="F192" s="878"/>
      <c r="G192" s="878"/>
      <c r="H192" s="878"/>
      <c r="I192" s="878"/>
      <c r="J192" s="878"/>
      <c r="K192" s="878"/>
      <c r="L192" s="878"/>
      <c r="M192" s="878"/>
      <c r="N192" s="878"/>
      <c r="O192" s="751">
        <f t="shared" si="75"/>
        <v>0</v>
      </c>
      <c r="P192" s="751"/>
      <c r="Q192" s="875"/>
      <c r="R192" s="876" t="s">
        <v>503</v>
      </c>
      <c r="S192" s="875"/>
      <c r="T192" s="751"/>
      <c r="U192" s="874">
        <f t="shared" si="71"/>
        <v>0</v>
      </c>
      <c r="V192" s="874">
        <f t="shared" si="72"/>
        <v>0</v>
      </c>
      <c r="W192" s="874">
        <f t="shared" si="73"/>
        <v>0</v>
      </c>
      <c r="X192" s="874">
        <f t="shared" si="74"/>
        <v>0</v>
      </c>
      <c r="Y192" s="873">
        <f t="shared" si="76"/>
        <v>0</v>
      </c>
    </row>
    <row r="193" spans="1:25" x14ac:dyDescent="0.2">
      <c r="A193" s="905" t="s">
        <v>618</v>
      </c>
      <c r="C193" s="878"/>
      <c r="D193" s="878"/>
      <c r="E193" s="878"/>
      <c r="F193" s="878"/>
      <c r="G193" s="878"/>
      <c r="H193" s="878"/>
      <c r="I193" s="878"/>
      <c r="J193" s="878"/>
      <c r="K193" s="878"/>
      <c r="L193" s="878"/>
      <c r="M193" s="878"/>
      <c r="N193" s="878"/>
      <c r="O193" s="751">
        <f t="shared" si="75"/>
        <v>0</v>
      </c>
      <c r="P193" s="751"/>
      <c r="Q193" s="875"/>
      <c r="R193" s="876" t="s">
        <v>503</v>
      </c>
      <c r="S193" s="875"/>
      <c r="T193" s="751"/>
      <c r="U193" s="874">
        <f t="shared" si="71"/>
        <v>0</v>
      </c>
      <c r="V193" s="874">
        <f t="shared" si="72"/>
        <v>0</v>
      </c>
      <c r="W193" s="874">
        <f t="shared" si="73"/>
        <v>0</v>
      </c>
      <c r="X193" s="874">
        <f t="shared" si="74"/>
        <v>0</v>
      </c>
      <c r="Y193" s="873">
        <f t="shared" si="76"/>
        <v>0</v>
      </c>
    </row>
    <row r="194" spans="1:25" x14ac:dyDescent="0.2">
      <c r="A194" s="905" t="s">
        <v>619</v>
      </c>
      <c r="C194" s="878"/>
      <c r="D194" s="878"/>
      <c r="E194" s="878"/>
      <c r="F194" s="878"/>
      <c r="G194" s="878"/>
      <c r="H194" s="878"/>
      <c r="I194" s="878"/>
      <c r="J194" s="878"/>
      <c r="K194" s="878"/>
      <c r="L194" s="878"/>
      <c r="M194" s="878"/>
      <c r="N194" s="878"/>
      <c r="O194" s="751">
        <f t="shared" si="75"/>
        <v>0</v>
      </c>
      <c r="P194" s="751"/>
      <c r="Q194" s="875"/>
      <c r="R194" s="876" t="s">
        <v>503</v>
      </c>
      <c r="S194" s="875"/>
      <c r="T194" s="751"/>
      <c r="U194" s="874">
        <f t="shared" si="71"/>
        <v>0</v>
      </c>
      <c r="V194" s="874">
        <f t="shared" si="72"/>
        <v>0</v>
      </c>
      <c r="W194" s="874">
        <f t="shared" si="73"/>
        <v>0</v>
      </c>
      <c r="X194" s="874">
        <f t="shared" si="74"/>
        <v>0</v>
      </c>
      <c r="Y194" s="873">
        <f t="shared" si="76"/>
        <v>0</v>
      </c>
    </row>
    <row r="195" spans="1:25" x14ac:dyDescent="0.2">
      <c r="A195" s="905" t="s">
        <v>620</v>
      </c>
      <c r="C195" s="878"/>
      <c r="D195" s="878"/>
      <c r="E195" s="878"/>
      <c r="F195" s="878"/>
      <c r="G195" s="878"/>
      <c r="H195" s="878"/>
      <c r="I195" s="878"/>
      <c r="J195" s="878"/>
      <c r="K195" s="878"/>
      <c r="L195" s="878"/>
      <c r="M195" s="878"/>
      <c r="N195" s="878"/>
      <c r="O195" s="751">
        <f t="shared" si="75"/>
        <v>0</v>
      </c>
      <c r="P195" s="751"/>
      <c r="Q195" s="875"/>
      <c r="R195" s="876" t="s">
        <v>503</v>
      </c>
      <c r="S195" s="875"/>
      <c r="T195" s="751"/>
      <c r="U195" s="874">
        <f t="shared" si="71"/>
        <v>0</v>
      </c>
      <c r="V195" s="874">
        <f t="shared" si="72"/>
        <v>0</v>
      </c>
      <c r="W195" s="874">
        <f t="shared" si="73"/>
        <v>0</v>
      </c>
      <c r="X195" s="874">
        <f t="shared" si="74"/>
        <v>0</v>
      </c>
      <c r="Y195" s="873">
        <f t="shared" si="76"/>
        <v>0</v>
      </c>
    </row>
    <row r="196" spans="1:25" x14ac:dyDescent="0.2">
      <c r="A196" s="905" t="s">
        <v>273</v>
      </c>
      <c r="C196" s="878">
        <v>0</v>
      </c>
      <c r="D196" s="878">
        <v>0</v>
      </c>
      <c r="E196" s="878">
        <v>0</v>
      </c>
      <c r="F196" s="878">
        <v>0</v>
      </c>
      <c r="G196" s="878">
        <v>0</v>
      </c>
      <c r="H196" s="878">
        <v>0</v>
      </c>
      <c r="I196" s="878">
        <v>-333</v>
      </c>
      <c r="J196" s="878">
        <v>-333</v>
      </c>
      <c r="K196" s="878">
        <v>-334</v>
      </c>
      <c r="L196" s="878">
        <v>-333</v>
      </c>
      <c r="M196" s="878">
        <v>-333</v>
      </c>
      <c r="N196" s="878">
        <v>-334</v>
      </c>
      <c r="O196" s="751">
        <f t="shared" si="75"/>
        <v>-2000</v>
      </c>
      <c r="P196" s="751"/>
      <c r="Q196" s="875"/>
      <c r="R196" s="876" t="s">
        <v>503</v>
      </c>
      <c r="S196" s="875"/>
      <c r="T196" s="751"/>
      <c r="U196" s="874">
        <f t="shared" si="71"/>
        <v>0</v>
      </c>
      <c r="V196" s="874">
        <f t="shared" si="72"/>
        <v>0</v>
      </c>
      <c r="W196" s="874">
        <f t="shared" si="73"/>
        <v>-1000</v>
      </c>
      <c r="X196" s="874">
        <f t="shared" si="74"/>
        <v>-1000</v>
      </c>
      <c r="Y196" s="873">
        <f t="shared" si="76"/>
        <v>-2000</v>
      </c>
    </row>
    <row r="197" spans="1:25" x14ac:dyDescent="0.2">
      <c r="A197" s="905" t="s">
        <v>226</v>
      </c>
      <c r="C197" s="873"/>
      <c r="D197" s="873"/>
      <c r="E197" s="873"/>
      <c r="F197" s="873"/>
      <c r="G197" s="873"/>
      <c r="H197" s="873"/>
      <c r="I197" s="873"/>
      <c r="J197" s="873"/>
      <c r="K197" s="873"/>
      <c r="L197" s="873"/>
      <c r="M197" s="873"/>
      <c r="N197" s="873"/>
      <c r="O197" s="751">
        <f t="shared" si="75"/>
        <v>0</v>
      </c>
      <c r="P197" s="751"/>
      <c r="Q197" s="875"/>
      <c r="R197" s="876" t="s">
        <v>503</v>
      </c>
      <c r="S197" s="875"/>
      <c r="T197" s="751"/>
      <c r="U197" s="874">
        <f t="shared" si="71"/>
        <v>0</v>
      </c>
      <c r="V197" s="874">
        <f t="shared" si="72"/>
        <v>0</v>
      </c>
      <c r="W197" s="874">
        <f t="shared" si="73"/>
        <v>0</v>
      </c>
      <c r="X197" s="874">
        <f t="shared" si="74"/>
        <v>0</v>
      </c>
      <c r="Y197" s="873">
        <f t="shared" si="76"/>
        <v>0</v>
      </c>
    </row>
    <row r="198" spans="1:25" x14ac:dyDescent="0.2">
      <c r="A198" s="905" t="s">
        <v>417</v>
      </c>
      <c r="C198" s="873"/>
      <c r="D198" s="873"/>
      <c r="E198" s="873"/>
      <c r="F198" s="873"/>
      <c r="G198" s="873"/>
      <c r="H198" s="873"/>
      <c r="I198" s="873"/>
      <c r="J198" s="873"/>
      <c r="K198" s="873"/>
      <c r="L198" s="873"/>
      <c r="M198" s="873"/>
      <c r="N198" s="873"/>
      <c r="O198" s="751">
        <f t="shared" si="75"/>
        <v>0</v>
      </c>
      <c r="P198" s="751"/>
      <c r="Q198" s="875"/>
      <c r="R198" s="876" t="s">
        <v>503</v>
      </c>
      <c r="S198" s="875"/>
      <c r="T198" s="751"/>
      <c r="U198" s="874">
        <f>C198+D198+E198</f>
        <v>0</v>
      </c>
      <c r="V198" s="874">
        <f>F198+G198+H198</f>
        <v>0</v>
      </c>
      <c r="W198" s="874">
        <f>I198+J198+K198</f>
        <v>0</v>
      </c>
      <c r="X198" s="874">
        <f>L198+M198+N198</f>
        <v>0</v>
      </c>
      <c r="Y198" s="873">
        <f>SUM(U198:X198)</f>
        <v>0</v>
      </c>
    </row>
    <row r="199" spans="1:25" x14ac:dyDescent="0.2">
      <c r="A199" s="905" t="s">
        <v>435</v>
      </c>
      <c r="C199" s="940">
        <v>0</v>
      </c>
      <c r="D199" s="940">
        <v>0</v>
      </c>
      <c r="E199" s="940">
        <v>0</v>
      </c>
      <c r="F199" s="940">
        <v>0</v>
      </c>
      <c r="G199" s="940">
        <v>0</v>
      </c>
      <c r="H199" s="940">
        <v>0</v>
      </c>
      <c r="I199" s="940">
        <v>0</v>
      </c>
      <c r="J199" s="940">
        <v>0</v>
      </c>
      <c r="K199" s="940">
        <v>0</v>
      </c>
      <c r="L199" s="940">
        <v>0</v>
      </c>
      <c r="M199" s="940">
        <v>0</v>
      </c>
      <c r="N199" s="940">
        <v>0</v>
      </c>
      <c r="O199" s="756">
        <f t="shared" si="75"/>
        <v>0</v>
      </c>
      <c r="P199" s="751"/>
      <c r="Q199" s="875"/>
      <c r="R199" s="876" t="s">
        <v>503</v>
      </c>
      <c r="S199" s="875"/>
      <c r="T199" s="751"/>
      <c r="U199" s="919">
        <f>C199+D199+E199</f>
        <v>0</v>
      </c>
      <c r="V199" s="919">
        <f>F199+G199+H199</f>
        <v>0</v>
      </c>
      <c r="W199" s="919">
        <f>I199+J199+K199</f>
        <v>0</v>
      </c>
      <c r="X199" s="919">
        <f>L199+M199+N199</f>
        <v>0</v>
      </c>
      <c r="Y199" s="920">
        <f>SUM(U199:X199)</f>
        <v>0</v>
      </c>
    </row>
    <row r="200" spans="1:25" x14ac:dyDescent="0.2">
      <c r="A200" s="905" t="s">
        <v>449</v>
      </c>
      <c r="C200" s="873">
        <f>SUM(C186:C199)</f>
        <v>-6474</v>
      </c>
      <c r="D200" s="873">
        <f t="shared" ref="D200:O200" si="77">SUM(D186:D199)</f>
        <v>-6968</v>
      </c>
      <c r="E200" s="873">
        <f t="shared" si="77"/>
        <v>-6933</v>
      </c>
      <c r="F200" s="873">
        <f t="shared" si="77"/>
        <v>-6768</v>
      </c>
      <c r="G200" s="873">
        <f t="shared" si="77"/>
        <v>-6791</v>
      </c>
      <c r="H200" s="873">
        <f t="shared" si="77"/>
        <v>-7157</v>
      </c>
      <c r="I200" s="873">
        <f t="shared" si="77"/>
        <v>-9066</v>
      </c>
      <c r="J200" s="873">
        <f t="shared" si="77"/>
        <v>-8173</v>
      </c>
      <c r="K200" s="873">
        <f t="shared" si="77"/>
        <v>-8512</v>
      </c>
      <c r="L200" s="873">
        <f t="shared" si="77"/>
        <v>-8511</v>
      </c>
      <c r="M200" s="873">
        <f t="shared" si="77"/>
        <v>-7670</v>
      </c>
      <c r="N200" s="873">
        <f t="shared" si="77"/>
        <v>-8126</v>
      </c>
      <c r="O200" s="873">
        <f t="shared" si="77"/>
        <v>-91149</v>
      </c>
      <c r="P200" s="751"/>
      <c r="Q200" s="875"/>
      <c r="R200" s="876"/>
      <c r="S200" s="875"/>
      <c r="T200" s="751"/>
      <c r="U200" s="873">
        <f>SUM(U186:U199)</f>
        <v>-20375</v>
      </c>
      <c r="V200" s="873">
        <f>SUM(V186:V199)</f>
        <v>-20716</v>
      </c>
      <c r="W200" s="873">
        <f>SUM(W186:W199)</f>
        <v>-25751</v>
      </c>
      <c r="X200" s="873">
        <f>SUM(X186:X199)</f>
        <v>-24307</v>
      </c>
      <c r="Y200" s="873">
        <f>SUM(Y186:Y199)</f>
        <v>-91149</v>
      </c>
    </row>
    <row r="201" spans="1:25" ht="3.95" customHeight="1" x14ac:dyDescent="0.2">
      <c r="A201" s="905"/>
      <c r="C201" s="873"/>
      <c r="D201" s="873"/>
      <c r="E201" s="873"/>
      <c r="F201" s="873"/>
      <c r="G201" s="873"/>
      <c r="H201" s="873"/>
      <c r="I201" s="873"/>
      <c r="J201" s="873"/>
      <c r="K201" s="873"/>
      <c r="L201" s="873"/>
      <c r="M201" s="873"/>
      <c r="N201" s="873"/>
      <c r="O201" s="751"/>
      <c r="P201" s="751"/>
      <c r="Q201" s="875"/>
      <c r="R201" s="876"/>
      <c r="S201" s="875"/>
      <c r="T201" s="751"/>
      <c r="U201" s="874"/>
      <c r="V201" s="874"/>
      <c r="W201" s="874"/>
      <c r="X201" s="874"/>
      <c r="Y201" s="873"/>
    </row>
    <row r="202" spans="1:25" ht="12.75" customHeight="1" x14ac:dyDescent="0.2">
      <c r="A202" s="905" t="s">
        <v>1150</v>
      </c>
      <c r="C202" s="683">
        <f>-59+59</f>
        <v>0</v>
      </c>
      <c r="D202" s="683">
        <f>-60+60</f>
        <v>0</v>
      </c>
      <c r="E202" s="683">
        <f>-59+59</f>
        <v>0</v>
      </c>
      <c r="F202" s="683">
        <f>-60+60</f>
        <v>0</v>
      </c>
      <c r="G202" s="683">
        <f>-59+59</f>
        <v>0</v>
      </c>
      <c r="H202" s="683">
        <f>-60+60</f>
        <v>0</v>
      </c>
      <c r="I202" s="683">
        <f>-173+173</f>
        <v>0</v>
      </c>
      <c r="J202" s="683">
        <f>-173+173</f>
        <v>0</v>
      </c>
      <c r="K202" s="683">
        <f>-173+173</f>
        <v>0</v>
      </c>
      <c r="L202" s="683">
        <f>-173+173</f>
        <v>0</v>
      </c>
      <c r="M202" s="683">
        <f>-173+173</f>
        <v>0</v>
      </c>
      <c r="N202" s="683">
        <f>-172+172</f>
        <v>0</v>
      </c>
      <c r="O202" s="129">
        <f>SUM(C202:N202)</f>
        <v>0</v>
      </c>
      <c r="P202" s="129"/>
      <c r="Q202" s="875"/>
      <c r="R202" s="877" t="s">
        <v>518</v>
      </c>
      <c r="S202" s="875"/>
      <c r="T202" s="129"/>
      <c r="U202" s="874">
        <f>C202+D202+E202</f>
        <v>0</v>
      </c>
      <c r="V202" s="874">
        <f>F202+G202+H202</f>
        <v>0</v>
      </c>
      <c r="W202" s="874">
        <f>I202+J202+K202</f>
        <v>0</v>
      </c>
      <c r="X202" s="874">
        <f>L202+M202+N202</f>
        <v>0</v>
      </c>
      <c r="Y202" s="873">
        <f>SUM(U202:X202)</f>
        <v>0</v>
      </c>
    </row>
    <row r="203" spans="1:25" ht="3.95" customHeight="1" x14ac:dyDescent="0.2">
      <c r="A203" s="905"/>
      <c r="C203" s="873"/>
      <c r="D203" s="873"/>
      <c r="E203" s="873"/>
      <c r="F203" s="873"/>
      <c r="G203" s="873"/>
      <c r="H203" s="873"/>
      <c r="I203" s="873"/>
      <c r="J203" s="873"/>
      <c r="K203" s="873"/>
      <c r="L203" s="873"/>
      <c r="M203" s="873"/>
      <c r="N203" s="873"/>
      <c r="O203" s="751"/>
      <c r="P203" s="751"/>
      <c r="Q203" s="875"/>
      <c r="R203" s="876"/>
      <c r="S203" s="875"/>
      <c r="T203" s="751"/>
      <c r="U203" s="874"/>
      <c r="V203" s="874"/>
      <c r="W203" s="874"/>
      <c r="X203" s="874"/>
      <c r="Y203" s="873"/>
    </row>
    <row r="204" spans="1:25" s="871" customFormat="1" ht="12.75" customHeight="1" x14ac:dyDescent="0.2">
      <c r="A204" s="932" t="s">
        <v>604</v>
      </c>
      <c r="C204" s="128">
        <v>-300</v>
      </c>
      <c r="D204" s="128">
        <v>-400</v>
      </c>
      <c r="E204" s="128">
        <v>-300</v>
      </c>
      <c r="F204" s="128">
        <v>-300</v>
      </c>
      <c r="G204" s="128">
        <v>-275</v>
      </c>
      <c r="H204" s="128">
        <v>-275</v>
      </c>
      <c r="I204" s="128">
        <v>-275</v>
      </c>
      <c r="J204" s="128">
        <v>-275</v>
      </c>
      <c r="K204" s="128">
        <v>-275</v>
      </c>
      <c r="L204" s="128">
        <v>-275</v>
      </c>
      <c r="M204" s="128">
        <v>-275</v>
      </c>
      <c r="N204" s="128">
        <v>-275</v>
      </c>
      <c r="O204" s="129">
        <f>SUM(C204:N204)</f>
        <v>-3500</v>
      </c>
      <c r="P204" s="129"/>
      <c r="Q204" s="886"/>
      <c r="R204" s="887" t="s">
        <v>504</v>
      </c>
      <c r="S204" s="886"/>
      <c r="T204" s="129"/>
      <c r="U204" s="896">
        <f t="shared" si="71"/>
        <v>-1000</v>
      </c>
      <c r="V204" s="896">
        <f t="shared" si="72"/>
        <v>-850</v>
      </c>
      <c r="W204" s="896">
        <f t="shared" si="73"/>
        <v>-825</v>
      </c>
      <c r="X204" s="896">
        <f t="shared" si="74"/>
        <v>-825</v>
      </c>
      <c r="Y204" s="873">
        <f t="shared" si="76"/>
        <v>-3500</v>
      </c>
    </row>
    <row r="205" spans="1:25" s="871" customFormat="1" ht="3.95" customHeight="1" x14ac:dyDescent="0.2">
      <c r="A205" s="932"/>
      <c r="C205" s="128"/>
      <c r="D205" s="128"/>
      <c r="E205" s="128"/>
      <c r="F205" s="128"/>
      <c r="G205" s="128"/>
      <c r="H205" s="128"/>
      <c r="I205" s="128"/>
      <c r="J205" s="128"/>
      <c r="K205" s="128"/>
      <c r="L205" s="128"/>
      <c r="M205" s="128"/>
      <c r="N205" s="128"/>
      <c r="O205" s="129"/>
      <c r="P205" s="129"/>
      <c r="Q205" s="886"/>
      <c r="R205" s="887"/>
      <c r="S205" s="886"/>
      <c r="T205" s="129"/>
      <c r="U205" s="896"/>
      <c r="V205" s="896"/>
      <c r="W205" s="896"/>
      <c r="X205" s="896"/>
      <c r="Y205" s="873"/>
    </row>
    <row r="206" spans="1:25" s="871" customFormat="1" ht="12.75" customHeight="1" x14ac:dyDescent="0.2">
      <c r="A206" s="909" t="s">
        <v>606</v>
      </c>
      <c r="C206" s="922">
        <f>SUM(C200:C204)</f>
        <v>-6774</v>
      </c>
      <c r="D206" s="923">
        <f>SUM(D200:D204)</f>
        <v>-7368</v>
      </c>
      <c r="E206" s="923">
        <f t="shared" ref="E206:O206" si="78">SUM(E200:E204)</f>
        <v>-7233</v>
      </c>
      <c r="F206" s="923">
        <f t="shared" si="78"/>
        <v>-7068</v>
      </c>
      <c r="G206" s="923">
        <f t="shared" si="78"/>
        <v>-7066</v>
      </c>
      <c r="H206" s="923">
        <f t="shared" si="78"/>
        <v>-7432</v>
      </c>
      <c r="I206" s="923">
        <f t="shared" si="78"/>
        <v>-9341</v>
      </c>
      <c r="J206" s="923">
        <f t="shared" si="78"/>
        <v>-8448</v>
      </c>
      <c r="K206" s="923">
        <f t="shared" si="78"/>
        <v>-8787</v>
      </c>
      <c r="L206" s="923">
        <f t="shared" si="78"/>
        <v>-8786</v>
      </c>
      <c r="M206" s="923">
        <f t="shared" si="78"/>
        <v>-7945</v>
      </c>
      <c r="N206" s="923">
        <f t="shared" si="78"/>
        <v>-8401</v>
      </c>
      <c r="O206" s="924">
        <f t="shared" si="78"/>
        <v>-94649</v>
      </c>
      <c r="P206" s="896"/>
      <c r="Q206" s="886"/>
      <c r="R206" s="880"/>
      <c r="S206" s="886"/>
      <c r="T206" s="896"/>
      <c r="U206" s="922">
        <f>SUM(U200:U204)</f>
        <v>-21375</v>
      </c>
      <c r="V206" s="923">
        <f>SUM(V200:V204)</f>
        <v>-21566</v>
      </c>
      <c r="W206" s="923">
        <f>SUM(W200:W204)</f>
        <v>-26576</v>
      </c>
      <c r="X206" s="923">
        <f>SUM(X200:X204)</f>
        <v>-25132</v>
      </c>
      <c r="Y206" s="924">
        <f>SUM(Y200:Y204)</f>
        <v>-94649</v>
      </c>
    </row>
    <row r="207" spans="1:25" s="871" customFormat="1" ht="12.75" customHeight="1" x14ac:dyDescent="0.2">
      <c r="A207" s="909"/>
      <c r="C207" s="880"/>
      <c r="D207" s="880"/>
      <c r="E207" s="880"/>
      <c r="F207" s="880"/>
      <c r="G207" s="880"/>
      <c r="H207" s="880"/>
      <c r="I207" s="880"/>
      <c r="J207" s="880"/>
      <c r="K207" s="880"/>
      <c r="L207" s="880"/>
      <c r="M207" s="880"/>
      <c r="N207" s="880"/>
      <c r="O207" s="896"/>
      <c r="P207" s="896"/>
      <c r="Q207" s="886"/>
      <c r="R207" s="880"/>
      <c r="S207" s="886"/>
      <c r="T207" s="896"/>
      <c r="U207" s="896"/>
      <c r="V207" s="896"/>
      <c r="W207" s="896"/>
      <c r="X207" s="896"/>
      <c r="Y207" s="880"/>
    </row>
    <row r="208" spans="1:25" s="871" customFormat="1" ht="12.75" customHeight="1" x14ac:dyDescent="0.2">
      <c r="A208" s="912" t="s">
        <v>510</v>
      </c>
      <c r="B208" s="872"/>
      <c r="C208" s="929">
        <f t="shared" ref="C208:N208" si="79">+C183+C206</f>
        <v>-6774</v>
      </c>
      <c r="D208" s="930">
        <f t="shared" si="79"/>
        <v>-7368</v>
      </c>
      <c r="E208" s="930">
        <f t="shared" si="79"/>
        <v>-7233</v>
      </c>
      <c r="F208" s="930">
        <f t="shared" si="79"/>
        <v>-7068</v>
      </c>
      <c r="G208" s="930">
        <f t="shared" si="79"/>
        <v>-7066</v>
      </c>
      <c r="H208" s="930">
        <f t="shared" si="79"/>
        <v>-7432</v>
      </c>
      <c r="I208" s="930">
        <f t="shared" si="79"/>
        <v>-9341</v>
      </c>
      <c r="J208" s="930">
        <f t="shared" si="79"/>
        <v>-8448</v>
      </c>
      <c r="K208" s="930">
        <f t="shared" si="79"/>
        <v>-8787</v>
      </c>
      <c r="L208" s="930">
        <f t="shared" si="79"/>
        <v>-8786</v>
      </c>
      <c r="M208" s="930">
        <f t="shared" si="79"/>
        <v>-7945</v>
      </c>
      <c r="N208" s="930">
        <f t="shared" si="79"/>
        <v>-8401</v>
      </c>
      <c r="O208" s="931">
        <f>+O183+O206</f>
        <v>-94649</v>
      </c>
      <c r="P208" s="898"/>
      <c r="Q208" s="928"/>
      <c r="R208" s="880"/>
      <c r="S208" s="928"/>
      <c r="T208" s="898"/>
      <c r="U208" s="929">
        <f>+U183+U206</f>
        <v>-21375</v>
      </c>
      <c r="V208" s="930">
        <f>+V183+V206</f>
        <v>-21566</v>
      </c>
      <c r="W208" s="930">
        <f>+W183+W206</f>
        <v>-26576</v>
      </c>
      <c r="X208" s="930">
        <f>+X183+X206</f>
        <v>-25132</v>
      </c>
      <c r="Y208" s="931">
        <f>+Y183+Y206</f>
        <v>-94649</v>
      </c>
    </row>
    <row r="209" spans="1:25" s="871" customFormat="1" ht="12.75" customHeight="1" x14ac:dyDescent="0.2">
      <c r="A209" s="911"/>
      <c r="C209" s="880"/>
      <c r="D209" s="880"/>
      <c r="E209" s="880"/>
      <c r="F209" s="880"/>
      <c r="G209" s="880"/>
      <c r="H209" s="880"/>
      <c r="I209" s="880"/>
      <c r="J209" s="880"/>
      <c r="K209" s="880"/>
      <c r="L209" s="880"/>
      <c r="M209" s="880"/>
      <c r="N209" s="880"/>
      <c r="O209" s="896"/>
      <c r="P209" s="896"/>
      <c r="Q209" s="886"/>
      <c r="R209" s="880"/>
      <c r="S209" s="886"/>
      <c r="T209" s="896"/>
      <c r="U209" s="896"/>
      <c r="V209" s="896"/>
      <c r="W209" s="896"/>
      <c r="X209" s="896"/>
      <c r="Y209" s="880"/>
    </row>
    <row r="210" spans="1:25" ht="6" customHeight="1" x14ac:dyDescent="0.2">
      <c r="C210" s="873"/>
      <c r="D210" s="873"/>
      <c r="E210" s="873"/>
      <c r="F210" s="873"/>
      <c r="G210" s="873"/>
      <c r="H210" s="873"/>
      <c r="I210" s="873"/>
      <c r="J210" s="873"/>
      <c r="K210" s="873"/>
      <c r="L210" s="873"/>
      <c r="M210" s="873"/>
      <c r="N210" s="873"/>
      <c r="O210" s="874"/>
      <c r="P210" s="874"/>
      <c r="Q210" s="875"/>
      <c r="R210" s="873"/>
      <c r="S210" s="875"/>
      <c r="T210" s="874"/>
      <c r="U210" s="874"/>
      <c r="V210" s="874"/>
      <c r="W210" s="874"/>
      <c r="X210" s="874"/>
      <c r="Y210" s="873"/>
    </row>
    <row r="211" spans="1:25" x14ac:dyDescent="0.2">
      <c r="A211" s="921" t="s">
        <v>569</v>
      </c>
      <c r="C211" s="873"/>
      <c r="D211" s="873"/>
      <c r="E211" s="873"/>
      <c r="F211" s="873"/>
      <c r="G211" s="873"/>
      <c r="H211" s="873"/>
      <c r="I211" s="873"/>
      <c r="J211" s="873"/>
      <c r="K211" s="873"/>
      <c r="L211" s="873"/>
      <c r="M211" s="873"/>
      <c r="N211" s="873"/>
      <c r="O211" s="874"/>
      <c r="P211" s="874"/>
      <c r="Q211" s="875"/>
      <c r="R211" s="873"/>
      <c r="S211" s="875"/>
      <c r="T211" s="874"/>
      <c r="U211" s="874"/>
      <c r="V211" s="874"/>
      <c r="W211" s="874"/>
      <c r="X211" s="874"/>
      <c r="Y211" s="873"/>
    </row>
    <row r="212" spans="1:25" x14ac:dyDescent="0.2">
      <c r="A212" s="904" t="s">
        <v>548</v>
      </c>
      <c r="C212" s="941">
        <v>0</v>
      </c>
      <c r="D212" s="942">
        <v>0</v>
      </c>
      <c r="E212" s="942">
        <v>0</v>
      </c>
      <c r="F212" s="942">
        <v>0</v>
      </c>
      <c r="G212" s="942">
        <v>0</v>
      </c>
      <c r="H212" s="942">
        <v>0</v>
      </c>
      <c r="I212" s="942">
        <v>0</v>
      </c>
      <c r="J212" s="942">
        <v>0</v>
      </c>
      <c r="K212" s="942">
        <v>0</v>
      </c>
      <c r="L212" s="942">
        <v>0</v>
      </c>
      <c r="M212" s="942">
        <v>0</v>
      </c>
      <c r="N212" s="942">
        <v>0</v>
      </c>
      <c r="O212" s="943">
        <f>SUM(C212:N212)</f>
        <v>0</v>
      </c>
      <c r="P212" s="967"/>
      <c r="Q212" s="875"/>
      <c r="R212" s="876" t="s">
        <v>511</v>
      </c>
      <c r="S212" s="875"/>
      <c r="T212" s="967"/>
      <c r="U212" s="933">
        <f>C212+D212+E212</f>
        <v>0</v>
      </c>
      <c r="V212" s="934">
        <f>F212+G212+H212</f>
        <v>0</v>
      </c>
      <c r="W212" s="934">
        <f>I212+J212+K212</f>
        <v>0</v>
      </c>
      <c r="X212" s="934">
        <f>L212+M212+N212</f>
        <v>0</v>
      </c>
      <c r="Y212" s="935">
        <f>SUM(U212:X212)</f>
        <v>0</v>
      </c>
    </row>
    <row r="213" spans="1:25" ht="3.95" customHeight="1" x14ac:dyDescent="0.2">
      <c r="A213" s="905"/>
      <c r="C213" s="873"/>
      <c r="D213" s="873"/>
      <c r="E213" s="873"/>
      <c r="F213" s="873"/>
      <c r="G213" s="873"/>
      <c r="H213" s="873"/>
      <c r="I213" s="873"/>
      <c r="J213" s="873"/>
      <c r="K213" s="873"/>
      <c r="L213" s="873"/>
      <c r="M213" s="873"/>
      <c r="N213" s="873"/>
      <c r="O213" s="874"/>
      <c r="P213" s="874"/>
      <c r="Q213" s="875"/>
      <c r="R213" s="873"/>
      <c r="S213" s="875"/>
      <c r="T213" s="874"/>
      <c r="U213" s="874"/>
      <c r="V213" s="874"/>
      <c r="W213" s="874"/>
      <c r="X213" s="874"/>
      <c r="Y213" s="873"/>
    </row>
    <row r="214" spans="1:25" x14ac:dyDescent="0.2">
      <c r="A214" s="904" t="s">
        <v>570</v>
      </c>
      <c r="C214" s="873"/>
      <c r="D214" s="873"/>
      <c r="E214" s="873"/>
      <c r="F214" s="873"/>
      <c r="G214" s="873"/>
      <c r="H214" s="873"/>
      <c r="I214" s="873"/>
      <c r="J214" s="873"/>
      <c r="K214" s="873"/>
      <c r="L214" s="873"/>
      <c r="M214" s="873"/>
      <c r="N214" s="873"/>
      <c r="O214" s="874"/>
      <c r="P214" s="874"/>
      <c r="Q214" s="875"/>
      <c r="R214" s="873"/>
      <c r="S214" s="875"/>
      <c r="T214" s="874"/>
      <c r="U214" s="874"/>
      <c r="V214" s="874"/>
      <c r="W214" s="874"/>
      <c r="X214" s="874"/>
      <c r="Y214" s="873"/>
    </row>
    <row r="215" spans="1:25" x14ac:dyDescent="0.2">
      <c r="A215" s="905" t="s">
        <v>437</v>
      </c>
      <c r="C215" s="878">
        <v>-119</v>
      </c>
      <c r="D215" s="878">
        <v>-122</v>
      </c>
      <c r="E215" s="878">
        <v>-123</v>
      </c>
      <c r="F215" s="878">
        <v>-123</v>
      </c>
      <c r="G215" s="878">
        <v>-123</v>
      </c>
      <c r="H215" s="878">
        <v>-123</v>
      </c>
      <c r="I215" s="878">
        <v>-123</v>
      </c>
      <c r="J215" s="878">
        <v>-123</v>
      </c>
      <c r="K215" s="878">
        <v>-122</v>
      </c>
      <c r="L215" s="878">
        <v>-123</v>
      </c>
      <c r="M215" s="878">
        <v>-123</v>
      </c>
      <c r="N215" s="878">
        <v>-122</v>
      </c>
      <c r="O215" s="143">
        <f t="shared" ref="O215:O229" si="80">SUM(C215:N215)</f>
        <v>-1469</v>
      </c>
      <c r="P215" s="143"/>
      <c r="Q215" s="875"/>
      <c r="R215" s="876" t="s">
        <v>503</v>
      </c>
      <c r="S215" s="875"/>
      <c r="T215" s="143"/>
      <c r="U215" s="874">
        <f t="shared" ref="U215:U229" si="81">C215+D215+E215</f>
        <v>-364</v>
      </c>
      <c r="V215" s="874">
        <f t="shared" ref="V215:V229" si="82">F215+G215+H215</f>
        <v>-369</v>
      </c>
      <c r="W215" s="874">
        <f t="shared" ref="W215:W229" si="83">I215+J215+K215</f>
        <v>-368</v>
      </c>
      <c r="X215" s="874">
        <f t="shared" ref="X215:X229" si="84">L215+M215+N215</f>
        <v>-368</v>
      </c>
      <c r="Y215" s="873">
        <f t="shared" ref="Y215:Y229" si="85">SUM(U215:X215)</f>
        <v>-1469</v>
      </c>
    </row>
    <row r="216" spans="1:25" x14ac:dyDescent="0.2">
      <c r="A216" s="905" t="s">
        <v>438</v>
      </c>
      <c r="C216" s="878">
        <v>0</v>
      </c>
      <c r="D216" s="878">
        <v>0</v>
      </c>
      <c r="E216" s="878">
        <v>0</v>
      </c>
      <c r="F216" s="878">
        <v>0</v>
      </c>
      <c r="G216" s="878">
        <v>0</v>
      </c>
      <c r="H216" s="878">
        <v>0</v>
      </c>
      <c r="I216" s="878">
        <v>0</v>
      </c>
      <c r="J216" s="878">
        <v>0</v>
      </c>
      <c r="K216" s="878">
        <v>0</v>
      </c>
      <c r="L216" s="878">
        <v>0</v>
      </c>
      <c r="M216" s="878">
        <v>0</v>
      </c>
      <c r="N216" s="878">
        <v>0</v>
      </c>
      <c r="O216" s="143">
        <f t="shared" si="80"/>
        <v>0</v>
      </c>
      <c r="P216" s="143"/>
      <c r="Q216" s="875"/>
      <c r="R216" s="876" t="s">
        <v>503</v>
      </c>
      <c r="S216" s="875"/>
      <c r="T216" s="143"/>
      <c r="U216" s="874">
        <f t="shared" si="81"/>
        <v>0</v>
      </c>
      <c r="V216" s="874">
        <f t="shared" si="82"/>
        <v>0</v>
      </c>
      <c r="W216" s="874">
        <f t="shared" si="83"/>
        <v>0</v>
      </c>
      <c r="X216" s="874">
        <f t="shared" si="84"/>
        <v>0</v>
      </c>
      <c r="Y216" s="873">
        <f t="shared" si="85"/>
        <v>0</v>
      </c>
    </row>
    <row r="217" spans="1:25" x14ac:dyDescent="0.2">
      <c r="A217" s="905" t="s">
        <v>439</v>
      </c>
      <c r="C217" s="878">
        <v>-95</v>
      </c>
      <c r="D217" s="878">
        <v>-95</v>
      </c>
      <c r="E217" s="878">
        <v>-95</v>
      </c>
      <c r="F217" s="878">
        <v>-95</v>
      </c>
      <c r="G217" s="878">
        <v>-95</v>
      </c>
      <c r="H217" s="878">
        <v>-95</v>
      </c>
      <c r="I217" s="878">
        <v>-95</v>
      </c>
      <c r="J217" s="878">
        <v>-95</v>
      </c>
      <c r="K217" s="878">
        <v>-95</v>
      </c>
      <c r="L217" s="878">
        <v>-95</v>
      </c>
      <c r="M217" s="878">
        <v>-95</v>
      </c>
      <c r="N217" s="878">
        <v>-95</v>
      </c>
      <c r="O217" s="143">
        <f t="shared" si="80"/>
        <v>-1140</v>
      </c>
      <c r="P217" s="143"/>
      <c r="Q217" s="875"/>
      <c r="R217" s="876" t="s">
        <v>503</v>
      </c>
      <c r="S217" s="875"/>
      <c r="T217" s="143"/>
      <c r="U217" s="874">
        <f t="shared" si="81"/>
        <v>-285</v>
      </c>
      <c r="V217" s="874">
        <f t="shared" si="82"/>
        <v>-285</v>
      </c>
      <c r="W217" s="874">
        <f t="shared" si="83"/>
        <v>-285</v>
      </c>
      <c r="X217" s="874">
        <f t="shared" si="84"/>
        <v>-285</v>
      </c>
      <c r="Y217" s="873">
        <f t="shared" si="85"/>
        <v>-1140</v>
      </c>
    </row>
    <row r="218" spans="1:25" x14ac:dyDescent="0.2">
      <c r="A218" s="905" t="s">
        <v>615</v>
      </c>
      <c r="C218" s="878">
        <v>-392</v>
      </c>
      <c r="D218" s="878">
        <v>-399</v>
      </c>
      <c r="E218" s="878">
        <v>-401</v>
      </c>
      <c r="F218" s="878">
        <v>-400</v>
      </c>
      <c r="G218" s="878">
        <v>-399</v>
      </c>
      <c r="H218" s="878">
        <v>-402</v>
      </c>
      <c r="I218" s="878">
        <v>-399</v>
      </c>
      <c r="J218" s="878">
        <v>-400</v>
      </c>
      <c r="K218" s="878">
        <v>-402</v>
      </c>
      <c r="L218" s="878">
        <v>-403</v>
      </c>
      <c r="M218" s="878">
        <v>-402</v>
      </c>
      <c r="N218" s="878">
        <v>-383</v>
      </c>
      <c r="O218" s="143">
        <f t="shared" si="80"/>
        <v>-4782</v>
      </c>
      <c r="P218" s="143"/>
      <c r="Q218" s="875"/>
      <c r="R218" s="876" t="s">
        <v>503</v>
      </c>
      <c r="S218" s="875"/>
      <c r="T218" s="143"/>
      <c r="U218" s="874">
        <f t="shared" si="81"/>
        <v>-1192</v>
      </c>
      <c r="V218" s="874">
        <f t="shared" si="82"/>
        <v>-1201</v>
      </c>
      <c r="W218" s="874">
        <f t="shared" si="83"/>
        <v>-1201</v>
      </c>
      <c r="X218" s="874">
        <f t="shared" si="84"/>
        <v>-1188</v>
      </c>
      <c r="Y218" s="873">
        <f t="shared" si="85"/>
        <v>-4782</v>
      </c>
    </row>
    <row r="219" spans="1:25" x14ac:dyDescent="0.2">
      <c r="A219" s="905" t="s">
        <v>284</v>
      </c>
      <c r="C219" s="878">
        <v>-7</v>
      </c>
      <c r="D219" s="878">
        <v>-7</v>
      </c>
      <c r="E219" s="878">
        <v>-7</v>
      </c>
      <c r="F219" s="878">
        <v>-8</v>
      </c>
      <c r="G219" s="878">
        <v>-7</v>
      </c>
      <c r="H219" s="878">
        <v>-7</v>
      </c>
      <c r="I219" s="878">
        <v>-7</v>
      </c>
      <c r="J219" s="878">
        <v>-8</v>
      </c>
      <c r="K219" s="878">
        <v>-7</v>
      </c>
      <c r="L219" s="878">
        <v>-7</v>
      </c>
      <c r="M219" s="878">
        <v>-7</v>
      </c>
      <c r="N219" s="878">
        <v>-8</v>
      </c>
      <c r="O219" s="143">
        <f t="shared" si="80"/>
        <v>-87</v>
      </c>
      <c r="P219" s="143"/>
      <c r="Q219" s="875"/>
      <c r="R219" s="876" t="s">
        <v>503</v>
      </c>
      <c r="S219" s="875"/>
      <c r="T219" s="143"/>
      <c r="U219" s="874">
        <f t="shared" si="81"/>
        <v>-21</v>
      </c>
      <c r="V219" s="874">
        <f t="shared" si="82"/>
        <v>-22</v>
      </c>
      <c r="W219" s="874">
        <f t="shared" si="83"/>
        <v>-22</v>
      </c>
      <c r="X219" s="874">
        <f t="shared" si="84"/>
        <v>-22</v>
      </c>
      <c r="Y219" s="873">
        <f t="shared" si="85"/>
        <v>-87</v>
      </c>
    </row>
    <row r="220" spans="1:25" x14ac:dyDescent="0.2">
      <c r="A220" s="905" t="s">
        <v>440</v>
      </c>
      <c r="C220" s="878">
        <v>0</v>
      </c>
      <c r="D220" s="878">
        <v>0</v>
      </c>
      <c r="E220" s="878">
        <v>0</v>
      </c>
      <c r="F220" s="878">
        <v>0</v>
      </c>
      <c r="G220" s="878">
        <v>0</v>
      </c>
      <c r="H220" s="878">
        <v>0</v>
      </c>
      <c r="I220" s="878">
        <v>0</v>
      </c>
      <c r="J220" s="878">
        <v>0</v>
      </c>
      <c r="K220" s="878">
        <v>0</v>
      </c>
      <c r="L220" s="878">
        <v>0</v>
      </c>
      <c r="M220" s="878">
        <v>0</v>
      </c>
      <c r="N220" s="878">
        <v>0</v>
      </c>
      <c r="O220" s="143">
        <f t="shared" si="80"/>
        <v>0</v>
      </c>
      <c r="P220" s="143"/>
      <c r="Q220" s="875"/>
      <c r="R220" s="876" t="s">
        <v>503</v>
      </c>
      <c r="S220" s="875"/>
      <c r="T220" s="143"/>
      <c r="U220" s="874">
        <f t="shared" si="81"/>
        <v>0</v>
      </c>
      <c r="V220" s="874">
        <f t="shared" si="82"/>
        <v>0</v>
      </c>
      <c r="W220" s="874">
        <f t="shared" si="83"/>
        <v>0</v>
      </c>
      <c r="X220" s="874">
        <f t="shared" si="84"/>
        <v>0</v>
      </c>
      <c r="Y220" s="873">
        <f t="shared" si="85"/>
        <v>0</v>
      </c>
    </row>
    <row r="221" spans="1:25" x14ac:dyDescent="0.2">
      <c r="A221" s="905" t="s">
        <v>441</v>
      </c>
      <c r="C221" s="878">
        <v>0</v>
      </c>
      <c r="D221" s="878">
        <v>0</v>
      </c>
      <c r="E221" s="878">
        <v>0</v>
      </c>
      <c r="F221" s="878">
        <v>0</v>
      </c>
      <c r="G221" s="878">
        <v>0</v>
      </c>
      <c r="H221" s="878">
        <v>0</v>
      </c>
      <c r="I221" s="878">
        <v>0</v>
      </c>
      <c r="J221" s="878">
        <v>0</v>
      </c>
      <c r="K221" s="878">
        <v>0</v>
      </c>
      <c r="L221" s="878">
        <v>0</v>
      </c>
      <c r="M221" s="878">
        <v>0</v>
      </c>
      <c r="N221" s="878">
        <v>0</v>
      </c>
      <c r="O221" s="143">
        <f t="shared" si="80"/>
        <v>0</v>
      </c>
      <c r="P221" s="143"/>
      <c r="Q221" s="875"/>
      <c r="R221" s="876" t="s">
        <v>503</v>
      </c>
      <c r="S221" s="875"/>
      <c r="T221" s="143"/>
      <c r="U221" s="874">
        <f t="shared" si="81"/>
        <v>0</v>
      </c>
      <c r="V221" s="874">
        <f t="shared" si="82"/>
        <v>0</v>
      </c>
      <c r="W221" s="874">
        <f t="shared" si="83"/>
        <v>0</v>
      </c>
      <c r="X221" s="874">
        <f t="shared" si="84"/>
        <v>0</v>
      </c>
      <c r="Y221" s="873">
        <f t="shared" si="85"/>
        <v>0</v>
      </c>
    </row>
    <row r="222" spans="1:25" x14ac:dyDescent="0.2">
      <c r="A222" s="905" t="s">
        <v>602</v>
      </c>
      <c r="C222" s="878">
        <v>-135</v>
      </c>
      <c r="D222" s="878">
        <v>-144</v>
      </c>
      <c r="E222" s="878">
        <v>-136</v>
      </c>
      <c r="F222" s="878">
        <v>-135</v>
      </c>
      <c r="G222" s="878">
        <v>-136</v>
      </c>
      <c r="H222" s="878">
        <v>-135</v>
      </c>
      <c r="I222" s="878">
        <v>-136</v>
      </c>
      <c r="J222" s="878">
        <v>-135</v>
      </c>
      <c r="K222" s="878">
        <v>-136</v>
      </c>
      <c r="L222" s="878">
        <v>-135</v>
      </c>
      <c r="M222" s="878">
        <v>-136</v>
      </c>
      <c r="N222" s="878">
        <v>-135</v>
      </c>
      <c r="O222" s="143">
        <f t="shared" si="80"/>
        <v>-1634</v>
      </c>
      <c r="P222" s="143"/>
      <c r="Q222" s="875"/>
      <c r="R222" s="876" t="s">
        <v>503</v>
      </c>
      <c r="S222" s="875"/>
      <c r="T222" s="143"/>
      <c r="U222" s="874">
        <f t="shared" si="81"/>
        <v>-415</v>
      </c>
      <c r="V222" s="874">
        <f t="shared" si="82"/>
        <v>-406</v>
      </c>
      <c r="W222" s="874">
        <f t="shared" si="83"/>
        <v>-407</v>
      </c>
      <c r="X222" s="874">
        <f t="shared" si="84"/>
        <v>-406</v>
      </c>
      <c r="Y222" s="873">
        <f t="shared" si="85"/>
        <v>-1634</v>
      </c>
    </row>
    <row r="223" spans="1:25" x14ac:dyDescent="0.2">
      <c r="A223" s="905" t="s">
        <v>444</v>
      </c>
      <c r="C223" s="878">
        <v>292</v>
      </c>
      <c r="D223" s="878">
        <v>292</v>
      </c>
      <c r="E223" s="878">
        <v>291</v>
      </c>
      <c r="F223" s="878">
        <v>292</v>
      </c>
      <c r="G223" s="878">
        <v>292</v>
      </c>
      <c r="H223" s="878">
        <v>291</v>
      </c>
      <c r="I223" s="878">
        <v>292</v>
      </c>
      <c r="J223" s="878">
        <v>292</v>
      </c>
      <c r="K223" s="878">
        <v>291</v>
      </c>
      <c r="L223" s="878">
        <v>292</v>
      </c>
      <c r="M223" s="878">
        <v>292</v>
      </c>
      <c r="N223" s="878">
        <v>291</v>
      </c>
      <c r="O223" s="143">
        <f t="shared" si="80"/>
        <v>3500</v>
      </c>
      <c r="P223" s="143"/>
      <c r="Q223" s="875"/>
      <c r="R223" s="876" t="s">
        <v>503</v>
      </c>
      <c r="S223" s="875"/>
      <c r="T223" s="143"/>
      <c r="U223" s="874">
        <f t="shared" si="81"/>
        <v>875</v>
      </c>
      <c r="V223" s="874">
        <f t="shared" si="82"/>
        <v>875</v>
      </c>
      <c r="W223" s="874">
        <f t="shared" si="83"/>
        <v>875</v>
      </c>
      <c r="X223" s="874">
        <f t="shared" si="84"/>
        <v>875</v>
      </c>
      <c r="Y223" s="873">
        <f t="shared" si="85"/>
        <v>3500</v>
      </c>
    </row>
    <row r="224" spans="1:25" x14ac:dyDescent="0.2">
      <c r="A224" s="905" t="s">
        <v>442</v>
      </c>
      <c r="C224" s="878">
        <v>-423</v>
      </c>
      <c r="D224" s="878">
        <v>-424</v>
      </c>
      <c r="E224" s="878">
        <v>-423</v>
      </c>
      <c r="F224" s="878">
        <v>-424</v>
      </c>
      <c r="G224" s="878">
        <v>-423</v>
      </c>
      <c r="H224" s="878">
        <v>-424</v>
      </c>
      <c r="I224" s="878">
        <v>-423</v>
      </c>
      <c r="J224" s="878">
        <v>-424</v>
      </c>
      <c r="K224" s="878">
        <v>-423</v>
      </c>
      <c r="L224" s="878">
        <v>-424</v>
      </c>
      <c r="M224" s="878">
        <v>-423</v>
      </c>
      <c r="N224" s="878">
        <v>-424</v>
      </c>
      <c r="O224" s="143">
        <f t="shared" si="80"/>
        <v>-5082</v>
      </c>
      <c r="P224" s="143"/>
      <c r="Q224" s="875"/>
      <c r="R224" s="876" t="s">
        <v>503</v>
      </c>
      <c r="S224" s="875"/>
      <c r="T224" s="143"/>
      <c r="U224" s="874">
        <f t="shared" si="81"/>
        <v>-1270</v>
      </c>
      <c r="V224" s="874">
        <f t="shared" si="82"/>
        <v>-1271</v>
      </c>
      <c r="W224" s="874">
        <f t="shared" si="83"/>
        <v>-1270</v>
      </c>
      <c r="X224" s="874">
        <f t="shared" si="84"/>
        <v>-1271</v>
      </c>
      <c r="Y224" s="873">
        <f t="shared" si="85"/>
        <v>-5082</v>
      </c>
    </row>
    <row r="225" spans="1:25" x14ac:dyDescent="0.2">
      <c r="A225" s="905" t="s">
        <v>443</v>
      </c>
      <c r="C225" s="878">
        <v>0</v>
      </c>
      <c r="D225" s="878">
        <v>0</v>
      </c>
      <c r="E225" s="878">
        <v>0</v>
      </c>
      <c r="F225" s="878">
        <v>0</v>
      </c>
      <c r="G225" s="878">
        <v>0</v>
      </c>
      <c r="H225" s="878">
        <v>0</v>
      </c>
      <c r="I225" s="878">
        <v>0</v>
      </c>
      <c r="J225" s="878">
        <v>0</v>
      </c>
      <c r="K225" s="878">
        <v>0</v>
      </c>
      <c r="L225" s="878">
        <v>0</v>
      </c>
      <c r="M225" s="878">
        <v>0</v>
      </c>
      <c r="N225" s="878">
        <v>0</v>
      </c>
      <c r="O225" s="143">
        <f t="shared" si="80"/>
        <v>0</v>
      </c>
      <c r="P225" s="143"/>
      <c r="Q225" s="875"/>
      <c r="R225" s="876" t="s">
        <v>503</v>
      </c>
      <c r="S225" s="875"/>
      <c r="T225" s="143"/>
      <c r="U225" s="874">
        <f t="shared" si="81"/>
        <v>0</v>
      </c>
      <c r="V225" s="874">
        <f t="shared" si="82"/>
        <v>0</v>
      </c>
      <c r="W225" s="874">
        <f t="shared" si="83"/>
        <v>0</v>
      </c>
      <c r="X225" s="874">
        <f t="shared" si="84"/>
        <v>0</v>
      </c>
      <c r="Y225" s="873">
        <f t="shared" si="85"/>
        <v>0</v>
      </c>
    </row>
    <row r="226" spans="1:25" x14ac:dyDescent="0.2">
      <c r="A226" s="905" t="s">
        <v>445</v>
      </c>
      <c r="C226" s="878">
        <v>-11</v>
      </c>
      <c r="D226" s="878">
        <v>-11</v>
      </c>
      <c r="E226" s="878">
        <v>-39</v>
      </c>
      <c r="F226" s="878">
        <v>-11</v>
      </c>
      <c r="G226" s="878">
        <v>-11</v>
      </c>
      <c r="H226" s="878">
        <v>-39</v>
      </c>
      <c r="I226" s="878">
        <v>-11</v>
      </c>
      <c r="J226" s="878">
        <v>-11</v>
      </c>
      <c r="K226" s="878">
        <v>-39</v>
      </c>
      <c r="L226" s="878">
        <v>-11</v>
      </c>
      <c r="M226" s="878">
        <v>-12</v>
      </c>
      <c r="N226" s="878">
        <v>-39</v>
      </c>
      <c r="O226" s="143">
        <f t="shared" si="80"/>
        <v>-245</v>
      </c>
      <c r="P226" s="143"/>
      <c r="Q226" s="875"/>
      <c r="R226" s="876" t="s">
        <v>503</v>
      </c>
      <c r="S226" s="875"/>
      <c r="T226" s="143"/>
      <c r="U226" s="874">
        <f t="shared" si="81"/>
        <v>-61</v>
      </c>
      <c r="V226" s="874">
        <f t="shared" si="82"/>
        <v>-61</v>
      </c>
      <c r="W226" s="874">
        <f t="shared" si="83"/>
        <v>-61</v>
      </c>
      <c r="X226" s="874">
        <f t="shared" si="84"/>
        <v>-62</v>
      </c>
      <c r="Y226" s="873">
        <f t="shared" si="85"/>
        <v>-245</v>
      </c>
    </row>
    <row r="227" spans="1:25" x14ac:dyDescent="0.2">
      <c r="A227" s="936" t="s">
        <v>446</v>
      </c>
      <c r="C227" s="878">
        <v>-190</v>
      </c>
      <c r="D227" s="878">
        <v>-190</v>
      </c>
      <c r="E227" s="878">
        <v>-190</v>
      </c>
      <c r="F227" s="878">
        <v>-190</v>
      </c>
      <c r="G227" s="878">
        <v>-190</v>
      </c>
      <c r="H227" s="878">
        <v>-190</v>
      </c>
      <c r="I227" s="878">
        <v>-190</v>
      </c>
      <c r="J227" s="878">
        <v>-190</v>
      </c>
      <c r="K227" s="878">
        <v>-190</v>
      </c>
      <c r="L227" s="878">
        <v>-190</v>
      </c>
      <c r="M227" s="878">
        <v>-190</v>
      </c>
      <c r="N227" s="878">
        <v>-191</v>
      </c>
      <c r="O227" s="143">
        <f t="shared" si="80"/>
        <v>-2281</v>
      </c>
      <c r="P227" s="143"/>
      <c r="Q227" s="875"/>
      <c r="R227" s="876" t="s">
        <v>503</v>
      </c>
      <c r="S227" s="875"/>
      <c r="T227" s="143"/>
      <c r="U227" s="874">
        <f t="shared" si="81"/>
        <v>-570</v>
      </c>
      <c r="V227" s="874">
        <f t="shared" si="82"/>
        <v>-570</v>
      </c>
      <c r="W227" s="874">
        <f t="shared" si="83"/>
        <v>-570</v>
      </c>
      <c r="X227" s="874">
        <f t="shared" si="84"/>
        <v>-571</v>
      </c>
      <c r="Y227" s="873">
        <f t="shared" si="85"/>
        <v>-2281</v>
      </c>
    </row>
    <row r="228" spans="1:25" x14ac:dyDescent="0.2">
      <c r="A228" s="905" t="s">
        <v>447</v>
      </c>
      <c r="C228" s="878">
        <v>-272</v>
      </c>
      <c r="D228" s="878">
        <v>-271</v>
      </c>
      <c r="E228" s="878">
        <v>-272</v>
      </c>
      <c r="F228" s="878">
        <v>-271</v>
      </c>
      <c r="G228" s="878">
        <v>-272</v>
      </c>
      <c r="H228" s="878">
        <v>-271</v>
      </c>
      <c r="I228" s="878">
        <v>-272</v>
      </c>
      <c r="J228" s="878">
        <v>-271</v>
      </c>
      <c r="K228" s="878">
        <v>-272</v>
      </c>
      <c r="L228" s="878">
        <v>-271</v>
      </c>
      <c r="M228" s="878">
        <v>-272</v>
      </c>
      <c r="N228" s="878">
        <v>-271</v>
      </c>
      <c r="O228" s="143">
        <f t="shared" si="80"/>
        <v>-3258</v>
      </c>
      <c r="P228" s="143"/>
      <c r="Q228" s="875"/>
      <c r="R228" s="876" t="s">
        <v>503</v>
      </c>
      <c r="S228" s="875"/>
      <c r="T228" s="143"/>
      <c r="U228" s="874">
        <f t="shared" si="81"/>
        <v>-815</v>
      </c>
      <c r="V228" s="874">
        <f t="shared" si="82"/>
        <v>-814</v>
      </c>
      <c r="W228" s="874">
        <f t="shared" si="83"/>
        <v>-815</v>
      </c>
      <c r="X228" s="874">
        <f t="shared" si="84"/>
        <v>-814</v>
      </c>
      <c r="Y228" s="873">
        <f t="shared" si="85"/>
        <v>-3258</v>
      </c>
    </row>
    <row r="229" spans="1:25" x14ac:dyDescent="0.2">
      <c r="A229" s="905" t="s">
        <v>448</v>
      </c>
      <c r="C229" s="940">
        <v>0</v>
      </c>
      <c r="D229" s="940">
        <v>0</v>
      </c>
      <c r="E229" s="940">
        <v>0</v>
      </c>
      <c r="F229" s="940">
        <v>0</v>
      </c>
      <c r="G229" s="940">
        <v>0</v>
      </c>
      <c r="H229" s="940">
        <v>0</v>
      </c>
      <c r="I229" s="940">
        <v>0</v>
      </c>
      <c r="J229" s="940">
        <v>0</v>
      </c>
      <c r="K229" s="940">
        <v>0</v>
      </c>
      <c r="L229" s="940">
        <v>0</v>
      </c>
      <c r="M229" s="940">
        <v>0</v>
      </c>
      <c r="N229" s="940">
        <v>0</v>
      </c>
      <c r="O229" s="144">
        <f t="shared" si="80"/>
        <v>0</v>
      </c>
      <c r="P229" s="143"/>
      <c r="Q229" s="875"/>
      <c r="R229" s="876" t="s">
        <v>503</v>
      </c>
      <c r="S229" s="875"/>
      <c r="T229" s="143"/>
      <c r="U229" s="919">
        <f t="shared" si="81"/>
        <v>0</v>
      </c>
      <c r="V229" s="919">
        <f t="shared" si="82"/>
        <v>0</v>
      </c>
      <c r="W229" s="919">
        <f t="shared" si="83"/>
        <v>0</v>
      </c>
      <c r="X229" s="919">
        <f t="shared" si="84"/>
        <v>0</v>
      </c>
      <c r="Y229" s="920">
        <f t="shared" si="85"/>
        <v>0</v>
      </c>
    </row>
    <row r="230" spans="1:25" x14ac:dyDescent="0.2">
      <c r="A230" s="905" t="s">
        <v>449</v>
      </c>
      <c r="C230" s="938">
        <f t="shared" ref="C230:O230" si="86">SUM(C215:C229)</f>
        <v>-1352</v>
      </c>
      <c r="D230" s="938">
        <f t="shared" si="86"/>
        <v>-1371</v>
      </c>
      <c r="E230" s="938">
        <f t="shared" si="86"/>
        <v>-1395</v>
      </c>
      <c r="F230" s="938">
        <f t="shared" si="86"/>
        <v>-1365</v>
      </c>
      <c r="G230" s="938">
        <f t="shared" si="86"/>
        <v>-1364</v>
      </c>
      <c r="H230" s="938">
        <f t="shared" si="86"/>
        <v>-1395</v>
      </c>
      <c r="I230" s="938">
        <f t="shared" si="86"/>
        <v>-1364</v>
      </c>
      <c r="J230" s="938">
        <f t="shared" si="86"/>
        <v>-1365</v>
      </c>
      <c r="K230" s="938">
        <f t="shared" si="86"/>
        <v>-1395</v>
      </c>
      <c r="L230" s="938">
        <f t="shared" si="86"/>
        <v>-1367</v>
      </c>
      <c r="M230" s="938">
        <f t="shared" si="86"/>
        <v>-1368</v>
      </c>
      <c r="N230" s="938">
        <f t="shared" si="86"/>
        <v>-1377</v>
      </c>
      <c r="O230" s="938">
        <f t="shared" si="86"/>
        <v>-16478</v>
      </c>
      <c r="P230" s="938"/>
      <c r="Q230" s="875"/>
      <c r="R230" s="876"/>
      <c r="S230" s="875"/>
      <c r="T230" s="938"/>
      <c r="U230" s="938">
        <f>SUM(U215:U229)</f>
        <v>-4118</v>
      </c>
      <c r="V230" s="938">
        <f>SUM(V215:V229)</f>
        <v>-4124</v>
      </c>
      <c r="W230" s="938">
        <f>SUM(W215:W229)</f>
        <v>-4124</v>
      </c>
      <c r="X230" s="938">
        <f>SUM(X215:X229)</f>
        <v>-4112</v>
      </c>
      <c r="Y230" s="938">
        <f>SUM(Y215:Y229)</f>
        <v>-16478</v>
      </c>
    </row>
    <row r="231" spans="1:25" ht="3.95" customHeight="1" x14ac:dyDescent="0.2">
      <c r="A231" s="905"/>
      <c r="C231" s="873"/>
      <c r="D231" s="873"/>
      <c r="E231" s="873"/>
      <c r="F231" s="873"/>
      <c r="G231" s="873"/>
      <c r="H231" s="873"/>
      <c r="I231" s="873"/>
      <c r="J231" s="873"/>
      <c r="K231" s="873"/>
      <c r="L231" s="873"/>
      <c r="M231" s="873"/>
      <c r="N231" s="873"/>
      <c r="O231" s="874"/>
      <c r="P231" s="874"/>
      <c r="Q231" s="875"/>
      <c r="R231" s="876"/>
      <c r="S231" s="875"/>
      <c r="T231" s="874"/>
      <c r="U231" s="874"/>
      <c r="V231" s="874"/>
      <c r="W231" s="874"/>
      <c r="X231" s="874"/>
      <c r="Y231" s="873"/>
    </row>
    <row r="232" spans="1:25" x14ac:dyDescent="0.2">
      <c r="A232" s="905" t="s">
        <v>219</v>
      </c>
      <c r="C232" s="878">
        <v>-578</v>
      </c>
      <c r="D232" s="878">
        <v>-579</v>
      </c>
      <c r="E232" s="878">
        <v>-578</v>
      </c>
      <c r="F232" s="878">
        <v>-579</v>
      </c>
      <c r="G232" s="878">
        <v>-578</v>
      </c>
      <c r="H232" s="878">
        <v>-579</v>
      </c>
      <c r="I232" s="878">
        <v>-578</v>
      </c>
      <c r="J232" s="878">
        <v>-579</v>
      </c>
      <c r="K232" s="878">
        <v>-578</v>
      </c>
      <c r="L232" s="878">
        <v>-579</v>
      </c>
      <c r="M232" s="878">
        <v>-578</v>
      </c>
      <c r="N232" s="878">
        <v>-578</v>
      </c>
      <c r="O232" s="143">
        <f>SUM(C232:N232)</f>
        <v>-6941</v>
      </c>
      <c r="P232" s="143"/>
      <c r="Q232" s="875"/>
      <c r="R232" s="876" t="s">
        <v>503</v>
      </c>
      <c r="S232" s="875"/>
      <c r="T232" s="143"/>
      <c r="U232" s="874">
        <f>C232+D232+E232</f>
        <v>-1735</v>
      </c>
      <c r="V232" s="874">
        <f>F232+G232+H232</f>
        <v>-1736</v>
      </c>
      <c r="W232" s="874">
        <f>I232+J232+K232</f>
        <v>-1735</v>
      </c>
      <c r="X232" s="874">
        <f>L232+M232+N232</f>
        <v>-1735</v>
      </c>
      <c r="Y232" s="873">
        <f>SUM(U232:X232)</f>
        <v>-6941</v>
      </c>
    </row>
    <row r="233" spans="1:25" x14ac:dyDescent="0.2">
      <c r="A233" s="905" t="s">
        <v>450</v>
      </c>
      <c r="C233" s="878">
        <v>-1171</v>
      </c>
      <c r="D233" s="878">
        <v>-1170</v>
      </c>
      <c r="E233" s="878">
        <v>-1171</v>
      </c>
      <c r="F233" s="878">
        <v>-1170</v>
      </c>
      <c r="G233" s="878">
        <v>-1171</v>
      </c>
      <c r="H233" s="878">
        <v>-1170</v>
      </c>
      <c r="I233" s="878">
        <v>-1171</v>
      </c>
      <c r="J233" s="878">
        <v>-1170</v>
      </c>
      <c r="K233" s="878">
        <v>-1171</v>
      </c>
      <c r="L233" s="878">
        <v>-1170</v>
      </c>
      <c r="M233" s="878">
        <v>-1171</v>
      </c>
      <c r="N233" s="878">
        <v>-1171</v>
      </c>
      <c r="O233" s="143">
        <f>SUM(C233:N233)</f>
        <v>-14047</v>
      </c>
      <c r="P233" s="143"/>
      <c r="Q233" s="875"/>
      <c r="R233" s="876" t="s">
        <v>503</v>
      </c>
      <c r="S233" s="875"/>
      <c r="T233" s="143"/>
      <c r="U233" s="874">
        <f>C233+D233+E233</f>
        <v>-3512</v>
      </c>
      <c r="V233" s="874">
        <f>F233+G233+H233</f>
        <v>-3511</v>
      </c>
      <c r="W233" s="874">
        <f>I233+J233+K233</f>
        <v>-3512</v>
      </c>
      <c r="X233" s="874">
        <f>L233+M233+N233</f>
        <v>-3512</v>
      </c>
      <c r="Y233" s="873">
        <f>SUM(U233:X233)</f>
        <v>-14047</v>
      </c>
    </row>
    <row r="234" spans="1:25" s="871" customFormat="1" ht="12.75" customHeight="1" x14ac:dyDescent="0.2">
      <c r="A234" s="907" t="s">
        <v>451</v>
      </c>
      <c r="C234" s="835">
        <v>0</v>
      </c>
      <c r="D234" s="835">
        <v>0</v>
      </c>
      <c r="E234" s="835">
        <v>0</v>
      </c>
      <c r="F234" s="835">
        <v>0</v>
      </c>
      <c r="G234" s="835">
        <v>0</v>
      </c>
      <c r="H234" s="835">
        <v>0</v>
      </c>
      <c r="I234" s="835">
        <v>0</v>
      </c>
      <c r="J234" s="835">
        <v>0</v>
      </c>
      <c r="K234" s="835">
        <v>0</v>
      </c>
      <c r="L234" s="835">
        <v>0</v>
      </c>
      <c r="M234" s="835">
        <v>0</v>
      </c>
      <c r="N234" s="835">
        <v>0</v>
      </c>
      <c r="O234" s="144">
        <f>SUM(C234:N234)</f>
        <v>0</v>
      </c>
      <c r="P234" s="144"/>
      <c r="Q234" s="886"/>
      <c r="R234" s="876" t="s">
        <v>503</v>
      </c>
      <c r="S234" s="886"/>
      <c r="T234" s="144"/>
      <c r="U234" s="939">
        <f>C234+D234+E234</f>
        <v>0</v>
      </c>
      <c r="V234" s="939">
        <f>F234+G234+H234</f>
        <v>0</v>
      </c>
      <c r="W234" s="939">
        <f>I234+J234+K234</f>
        <v>0</v>
      </c>
      <c r="X234" s="939">
        <f>L234+M234+N234</f>
        <v>0</v>
      </c>
      <c r="Y234" s="920">
        <f>SUM(U234:X234)</f>
        <v>0</v>
      </c>
    </row>
    <row r="235" spans="1:25" s="871" customFormat="1" ht="12.75" customHeight="1" x14ac:dyDescent="0.2">
      <c r="A235" s="907" t="s">
        <v>220</v>
      </c>
      <c r="C235" s="938">
        <f t="shared" ref="C235:O235" si="87">SUM(C232:C234)</f>
        <v>-1749</v>
      </c>
      <c r="D235" s="938">
        <f t="shared" si="87"/>
        <v>-1749</v>
      </c>
      <c r="E235" s="938">
        <f t="shared" si="87"/>
        <v>-1749</v>
      </c>
      <c r="F235" s="938">
        <f t="shared" si="87"/>
        <v>-1749</v>
      </c>
      <c r="G235" s="938">
        <f t="shared" si="87"/>
        <v>-1749</v>
      </c>
      <c r="H235" s="938">
        <f t="shared" si="87"/>
        <v>-1749</v>
      </c>
      <c r="I235" s="938">
        <f t="shared" si="87"/>
        <v>-1749</v>
      </c>
      <c r="J235" s="938">
        <f t="shared" si="87"/>
        <v>-1749</v>
      </c>
      <c r="K235" s="938">
        <f t="shared" si="87"/>
        <v>-1749</v>
      </c>
      <c r="L235" s="938">
        <f t="shared" si="87"/>
        <v>-1749</v>
      </c>
      <c r="M235" s="938">
        <f t="shared" si="87"/>
        <v>-1749</v>
      </c>
      <c r="N235" s="938">
        <f t="shared" si="87"/>
        <v>-1749</v>
      </c>
      <c r="O235" s="938">
        <f t="shared" si="87"/>
        <v>-20988</v>
      </c>
      <c r="P235" s="938"/>
      <c r="Q235" s="886"/>
      <c r="R235" s="880"/>
      <c r="S235" s="886"/>
      <c r="T235" s="938"/>
      <c r="U235" s="938">
        <f>SUM(U232:U234)</f>
        <v>-5247</v>
      </c>
      <c r="V235" s="938">
        <f>SUM(V232:V234)</f>
        <v>-5247</v>
      </c>
      <c r="W235" s="938">
        <f>SUM(W232:W234)</f>
        <v>-5247</v>
      </c>
      <c r="X235" s="938">
        <f>SUM(X232:X234)</f>
        <v>-5247</v>
      </c>
      <c r="Y235" s="938">
        <f>SUM(Y232:Y234)</f>
        <v>-20988</v>
      </c>
    </row>
    <row r="236" spans="1:25" s="871" customFormat="1" ht="3.95" customHeight="1" x14ac:dyDescent="0.2">
      <c r="A236" s="911"/>
      <c r="C236" s="880"/>
      <c r="D236" s="880"/>
      <c r="E236" s="880"/>
      <c r="F236" s="880"/>
      <c r="G236" s="880"/>
      <c r="H236" s="880"/>
      <c r="I236" s="880"/>
      <c r="J236" s="880"/>
      <c r="K236" s="880"/>
      <c r="L236" s="880"/>
      <c r="M236" s="880"/>
      <c r="N236" s="880"/>
      <c r="O236" s="896"/>
      <c r="P236" s="896"/>
      <c r="Q236" s="886"/>
      <c r="R236" s="880"/>
      <c r="S236" s="886"/>
      <c r="T236" s="896"/>
      <c r="U236" s="896"/>
      <c r="V236" s="896"/>
      <c r="W236" s="896"/>
      <c r="X236" s="896"/>
      <c r="Y236" s="880"/>
    </row>
    <row r="237" spans="1:25" s="871" customFormat="1" ht="12.75" customHeight="1" x14ac:dyDescent="0.2">
      <c r="A237" s="907" t="s">
        <v>221</v>
      </c>
      <c r="C237" s="835">
        <v>0</v>
      </c>
      <c r="D237" s="835">
        <v>0</v>
      </c>
      <c r="E237" s="835">
        <v>0</v>
      </c>
      <c r="F237" s="835">
        <v>0</v>
      </c>
      <c r="G237" s="835">
        <v>0</v>
      </c>
      <c r="H237" s="835">
        <v>0</v>
      </c>
      <c r="I237" s="991">
        <v>0</v>
      </c>
      <c r="J237" s="835">
        <v>0</v>
      </c>
      <c r="K237" s="835">
        <v>0</v>
      </c>
      <c r="L237" s="835">
        <v>0</v>
      </c>
      <c r="M237" s="835">
        <v>0</v>
      </c>
      <c r="N237" s="835">
        <v>0</v>
      </c>
      <c r="O237" s="939">
        <f>C237+D237+E237+F237+G237+H237+I237+J237+K237+L237+M237+N237</f>
        <v>0</v>
      </c>
      <c r="P237" s="939"/>
      <c r="Q237" s="886"/>
      <c r="R237" s="876" t="s">
        <v>503</v>
      </c>
      <c r="S237" s="886"/>
      <c r="T237" s="939"/>
      <c r="U237" s="939">
        <f>C237+D237+E237</f>
        <v>0</v>
      </c>
      <c r="V237" s="939">
        <f>F237+G237+H237</f>
        <v>0</v>
      </c>
      <c r="W237" s="939">
        <f>I237+J237+K237</f>
        <v>0</v>
      </c>
      <c r="X237" s="939">
        <f>L237+M237+N237</f>
        <v>0</v>
      </c>
      <c r="Y237" s="938">
        <f>SUM(U237:X237)</f>
        <v>0</v>
      </c>
    </row>
    <row r="238" spans="1:25" ht="3.95" customHeight="1" x14ac:dyDescent="0.2">
      <c r="A238" s="905"/>
      <c r="C238" s="873"/>
      <c r="D238" s="873"/>
      <c r="E238" s="873"/>
      <c r="F238" s="873"/>
      <c r="G238" s="873"/>
      <c r="H238" s="873"/>
      <c r="I238" s="873"/>
      <c r="J238" s="873"/>
      <c r="K238" s="873"/>
      <c r="L238" s="873"/>
      <c r="M238" s="873"/>
      <c r="N238" s="873"/>
      <c r="O238" s="874"/>
      <c r="P238" s="874"/>
      <c r="Q238" s="875"/>
      <c r="R238" s="876"/>
      <c r="S238" s="875"/>
      <c r="T238" s="874"/>
      <c r="U238" s="874"/>
      <c r="V238" s="874"/>
      <c r="W238" s="874"/>
      <c r="X238" s="874"/>
      <c r="Y238" s="873"/>
    </row>
    <row r="239" spans="1:25" x14ac:dyDescent="0.2">
      <c r="A239" s="907" t="s">
        <v>222</v>
      </c>
      <c r="C239" s="920">
        <f>+C230+C235+C237</f>
        <v>-3101</v>
      </c>
      <c r="D239" s="920">
        <f t="shared" ref="D239:O239" si="88">+D230+D235+D237</f>
        <v>-3120</v>
      </c>
      <c r="E239" s="920">
        <f t="shared" si="88"/>
        <v>-3144</v>
      </c>
      <c r="F239" s="920">
        <f t="shared" si="88"/>
        <v>-3114</v>
      </c>
      <c r="G239" s="920">
        <f t="shared" si="88"/>
        <v>-3113</v>
      </c>
      <c r="H239" s="920">
        <f t="shared" si="88"/>
        <v>-3144</v>
      </c>
      <c r="I239" s="920">
        <f t="shared" si="88"/>
        <v>-3113</v>
      </c>
      <c r="J239" s="920">
        <f t="shared" si="88"/>
        <v>-3114</v>
      </c>
      <c r="K239" s="920">
        <f t="shared" si="88"/>
        <v>-3144</v>
      </c>
      <c r="L239" s="920">
        <f t="shared" si="88"/>
        <v>-3116</v>
      </c>
      <c r="M239" s="920">
        <f t="shared" si="88"/>
        <v>-3117</v>
      </c>
      <c r="N239" s="920">
        <f t="shared" si="88"/>
        <v>-3126</v>
      </c>
      <c r="O239" s="920">
        <f t="shared" si="88"/>
        <v>-37466</v>
      </c>
      <c r="P239" s="920"/>
      <c r="Q239" s="875"/>
      <c r="R239" s="876"/>
      <c r="S239" s="875"/>
      <c r="T239" s="920"/>
      <c r="U239" s="920">
        <f>+U230+U235+U237</f>
        <v>-9365</v>
      </c>
      <c r="V239" s="920">
        <f>+V230+V235+V237</f>
        <v>-9371</v>
      </c>
      <c r="W239" s="920">
        <f>+W230+W235+W237</f>
        <v>-9371</v>
      </c>
      <c r="X239" s="920">
        <f>+X230+X235+X237</f>
        <v>-9359</v>
      </c>
      <c r="Y239" s="920">
        <f>+Y230+Y235+Y237</f>
        <v>-37466</v>
      </c>
    </row>
    <row r="240" spans="1:25" ht="6" customHeight="1" x14ac:dyDescent="0.2">
      <c r="A240" s="905"/>
      <c r="C240" s="873"/>
      <c r="D240" s="873"/>
      <c r="E240" s="873"/>
      <c r="F240" s="873"/>
      <c r="G240" s="873"/>
      <c r="H240" s="873"/>
      <c r="I240" s="873"/>
      <c r="J240" s="873"/>
      <c r="K240" s="873"/>
      <c r="L240" s="873"/>
      <c r="M240" s="873"/>
      <c r="N240" s="873"/>
      <c r="O240" s="874"/>
      <c r="P240" s="874"/>
      <c r="Q240" s="875"/>
      <c r="R240" s="876"/>
      <c r="S240" s="875"/>
      <c r="T240" s="874"/>
      <c r="U240" s="874"/>
      <c r="V240" s="874"/>
      <c r="W240" s="874"/>
      <c r="X240" s="874"/>
      <c r="Y240" s="873"/>
    </row>
    <row r="241" spans="1:25" ht="12.75" customHeight="1" x14ac:dyDescent="0.2">
      <c r="A241" s="905" t="s">
        <v>271</v>
      </c>
      <c r="C241" s="116">
        <v>-349</v>
      </c>
      <c r="D241" s="116">
        <v>-350</v>
      </c>
      <c r="E241" s="116">
        <v>-349</v>
      </c>
      <c r="F241" s="116">
        <v>-350</v>
      </c>
      <c r="G241" s="116">
        <v>-349</v>
      </c>
      <c r="H241" s="116">
        <v>-350</v>
      </c>
      <c r="I241" s="116">
        <v>-349</v>
      </c>
      <c r="J241" s="116">
        <v>-350</v>
      </c>
      <c r="K241" s="116">
        <v>-349</v>
      </c>
      <c r="L241" s="116">
        <v>-350</v>
      </c>
      <c r="M241" s="116">
        <v>-351</v>
      </c>
      <c r="N241" s="116">
        <v>-351</v>
      </c>
      <c r="O241" s="143">
        <f>SUM(C241:N241)</f>
        <v>-4197</v>
      </c>
      <c r="P241" s="143"/>
      <c r="Q241" s="875"/>
      <c r="R241" s="877" t="s">
        <v>496</v>
      </c>
      <c r="S241" s="875"/>
      <c r="T241" s="143"/>
      <c r="U241" s="874">
        <f>C241+D241+E241</f>
        <v>-1048</v>
      </c>
      <c r="V241" s="874">
        <f>F241+G241+H241</f>
        <v>-1049</v>
      </c>
      <c r="W241" s="874">
        <f>I241+J241+K241</f>
        <v>-1048</v>
      </c>
      <c r="X241" s="874">
        <f>L241+M241+N241</f>
        <v>-1052</v>
      </c>
      <c r="Y241" s="873">
        <f>SUM(U241:X241)</f>
        <v>-4197</v>
      </c>
    </row>
    <row r="242" spans="1:25" ht="12.75" customHeight="1" x14ac:dyDescent="0.2">
      <c r="A242" s="905" t="s">
        <v>269</v>
      </c>
      <c r="C242" s="269">
        <v>-86</v>
      </c>
      <c r="D242" s="269">
        <v>-85</v>
      </c>
      <c r="E242" s="269">
        <v>-86</v>
      </c>
      <c r="F242" s="269">
        <v>-86</v>
      </c>
      <c r="G242" s="269">
        <v>-86</v>
      </c>
      <c r="H242" s="269">
        <v>-85</v>
      </c>
      <c r="I242" s="269">
        <v>-86</v>
      </c>
      <c r="J242" s="269">
        <v>-85</v>
      </c>
      <c r="K242" s="269">
        <v>-86</v>
      </c>
      <c r="L242" s="269">
        <v>-85</v>
      </c>
      <c r="M242" s="269">
        <v>-86</v>
      </c>
      <c r="N242" s="269">
        <v>-86</v>
      </c>
      <c r="O242" s="144">
        <f>SUM(C242:N242)</f>
        <v>-1028</v>
      </c>
      <c r="P242" s="144"/>
      <c r="Q242" s="886"/>
      <c r="R242" s="877" t="s">
        <v>496</v>
      </c>
      <c r="S242" s="886"/>
      <c r="T242" s="144"/>
      <c r="U242" s="939">
        <f>C242+D242+E242</f>
        <v>-257</v>
      </c>
      <c r="V242" s="939">
        <f>F242+G242+H242</f>
        <v>-257</v>
      </c>
      <c r="W242" s="939">
        <f>I242+J242+K242</f>
        <v>-257</v>
      </c>
      <c r="X242" s="939">
        <f>L242+M242+N242</f>
        <v>-257</v>
      </c>
      <c r="Y242" s="920">
        <f>SUM(U242:X242)</f>
        <v>-1028</v>
      </c>
    </row>
    <row r="243" spans="1:25" ht="12.75" customHeight="1" x14ac:dyDescent="0.2">
      <c r="A243" s="905" t="s">
        <v>270</v>
      </c>
      <c r="C243" s="938">
        <f>SUM(C241:C242)</f>
        <v>-435</v>
      </c>
      <c r="D243" s="938">
        <f t="shared" ref="D243:O243" si="89">SUM(D241:D242)</f>
        <v>-435</v>
      </c>
      <c r="E243" s="938">
        <f t="shared" si="89"/>
        <v>-435</v>
      </c>
      <c r="F243" s="938">
        <f t="shared" si="89"/>
        <v>-436</v>
      </c>
      <c r="G243" s="938">
        <f t="shared" si="89"/>
        <v>-435</v>
      </c>
      <c r="H243" s="938">
        <f t="shared" si="89"/>
        <v>-435</v>
      </c>
      <c r="I243" s="938">
        <f t="shared" si="89"/>
        <v>-435</v>
      </c>
      <c r="J243" s="938">
        <f t="shared" si="89"/>
        <v>-435</v>
      </c>
      <c r="K243" s="938">
        <f t="shared" si="89"/>
        <v>-435</v>
      </c>
      <c r="L243" s="938">
        <f t="shared" si="89"/>
        <v>-435</v>
      </c>
      <c r="M243" s="938">
        <f t="shared" si="89"/>
        <v>-437</v>
      </c>
      <c r="N243" s="938">
        <f t="shared" si="89"/>
        <v>-437</v>
      </c>
      <c r="O243" s="938">
        <f t="shared" si="89"/>
        <v>-5225</v>
      </c>
      <c r="P243" s="938"/>
      <c r="Q243" s="886"/>
      <c r="R243" s="880"/>
      <c r="S243" s="886"/>
      <c r="T243" s="938"/>
      <c r="U243" s="938">
        <f>SUM(U241:U242)</f>
        <v>-1305</v>
      </c>
      <c r="V243" s="938">
        <f>SUM(V241:V242)</f>
        <v>-1306</v>
      </c>
      <c r="W243" s="938">
        <f>SUM(W241:W242)</f>
        <v>-1305</v>
      </c>
      <c r="X243" s="938">
        <f>SUM(X241:X242)</f>
        <v>-1309</v>
      </c>
      <c r="Y243" s="938">
        <f>SUM(Y241:Y242)</f>
        <v>-5225</v>
      </c>
    </row>
    <row r="244" spans="1:25" ht="3.95" customHeight="1" x14ac:dyDescent="0.2">
      <c r="A244" s="905"/>
      <c r="C244" s="873"/>
      <c r="D244" s="873"/>
      <c r="E244" s="873"/>
      <c r="F244" s="873"/>
      <c r="G244" s="873"/>
      <c r="H244" s="873"/>
      <c r="I244" s="873"/>
      <c r="J244" s="873"/>
      <c r="K244" s="873"/>
      <c r="L244" s="873"/>
      <c r="M244" s="873"/>
      <c r="N244" s="873"/>
      <c r="O244" s="874"/>
      <c r="P244" s="874"/>
      <c r="Q244" s="875"/>
      <c r="R244" s="876"/>
      <c r="S244" s="875"/>
      <c r="T244" s="874"/>
      <c r="U244" s="874"/>
      <c r="V244" s="874"/>
      <c r="W244" s="874"/>
      <c r="X244" s="874"/>
      <c r="Y244" s="873"/>
    </row>
    <row r="245" spans="1:25" ht="12.75" customHeight="1" x14ac:dyDescent="0.2">
      <c r="A245" s="905" t="s">
        <v>459</v>
      </c>
      <c r="C245" s="128">
        <v>-2785</v>
      </c>
      <c r="D245" s="128">
        <v>-2785</v>
      </c>
      <c r="E245" s="128">
        <v>-2791</v>
      </c>
      <c r="F245" s="128">
        <v>-2838</v>
      </c>
      <c r="G245" s="128">
        <v>-2838</v>
      </c>
      <c r="H245" s="128">
        <v>-2842</v>
      </c>
      <c r="I245" s="128">
        <v>-2843</v>
      </c>
      <c r="J245" s="128">
        <v>-2862</v>
      </c>
      <c r="K245" s="128">
        <v>-2874</v>
      </c>
      <c r="L245" s="128">
        <v>-2969</v>
      </c>
      <c r="M245" s="128">
        <v>-2969</v>
      </c>
      <c r="N245" s="128">
        <v>-2969</v>
      </c>
      <c r="O245" s="129">
        <f t="shared" ref="O245:O255" si="90">SUM(C245:N245)</f>
        <v>-34365</v>
      </c>
      <c r="P245" s="129"/>
      <c r="Q245" s="875"/>
      <c r="R245" s="877" t="s">
        <v>518</v>
      </c>
      <c r="S245" s="875"/>
      <c r="T245" s="129"/>
      <c r="U245" s="874">
        <f t="shared" ref="U245:U253" si="91">C245+D245+E245</f>
        <v>-8361</v>
      </c>
      <c r="V245" s="874">
        <f t="shared" ref="V245:V253" si="92">F245+G245+H245</f>
        <v>-8518</v>
      </c>
      <c r="W245" s="874">
        <f t="shared" ref="W245:W253" si="93">I245+J245+K245</f>
        <v>-8579</v>
      </c>
      <c r="X245" s="874">
        <f t="shared" ref="X245:X253" si="94">L245+M245+N245</f>
        <v>-8907</v>
      </c>
      <c r="Y245" s="873">
        <f t="shared" ref="Y245:Y253" si="95">SUM(U245:X245)</f>
        <v>-34365</v>
      </c>
    </row>
    <row r="246" spans="1:25" ht="12.75" customHeight="1" x14ac:dyDescent="0.2">
      <c r="A246" s="905" t="s">
        <v>696</v>
      </c>
      <c r="C246" s="878">
        <v>0</v>
      </c>
      <c r="D246" s="878">
        <v>0</v>
      </c>
      <c r="E246" s="878">
        <v>0</v>
      </c>
      <c r="F246" s="878">
        <v>0</v>
      </c>
      <c r="G246" s="878">
        <v>0</v>
      </c>
      <c r="H246" s="878">
        <v>0</v>
      </c>
      <c r="I246" s="878">
        <v>0</v>
      </c>
      <c r="J246" s="878">
        <v>0</v>
      </c>
      <c r="K246" s="878">
        <v>0</v>
      </c>
      <c r="L246" s="878">
        <v>0</v>
      </c>
      <c r="M246" s="878">
        <v>0</v>
      </c>
      <c r="N246" s="878">
        <v>0</v>
      </c>
      <c r="O246" s="129">
        <f t="shared" si="90"/>
        <v>0</v>
      </c>
      <c r="P246" s="129"/>
      <c r="Q246" s="875"/>
      <c r="R246" s="877" t="s">
        <v>518</v>
      </c>
      <c r="S246" s="875"/>
      <c r="T246" s="129"/>
      <c r="U246" s="874">
        <f t="shared" si="91"/>
        <v>0</v>
      </c>
      <c r="V246" s="874">
        <f t="shared" si="92"/>
        <v>0</v>
      </c>
      <c r="W246" s="874">
        <f t="shared" si="93"/>
        <v>0</v>
      </c>
      <c r="X246" s="874">
        <f t="shared" si="94"/>
        <v>0</v>
      </c>
      <c r="Y246" s="873">
        <f t="shared" si="95"/>
        <v>0</v>
      </c>
    </row>
    <row r="247" spans="1:25" ht="12.75" customHeight="1" x14ac:dyDescent="0.2">
      <c r="A247" s="905" t="s">
        <v>697</v>
      </c>
      <c r="C247" s="878">
        <v>0</v>
      </c>
      <c r="D247" s="878">
        <v>0</v>
      </c>
      <c r="E247" s="878">
        <v>0</v>
      </c>
      <c r="F247" s="878">
        <v>0</v>
      </c>
      <c r="G247" s="878">
        <v>0</v>
      </c>
      <c r="H247" s="878">
        <v>0</v>
      </c>
      <c r="I247" s="878">
        <v>0</v>
      </c>
      <c r="J247" s="878">
        <v>0</v>
      </c>
      <c r="K247" s="878">
        <v>0</v>
      </c>
      <c r="L247" s="878">
        <v>0</v>
      </c>
      <c r="M247" s="878">
        <v>0</v>
      </c>
      <c r="N247" s="878">
        <v>0</v>
      </c>
      <c r="O247" s="129">
        <f t="shared" si="90"/>
        <v>0</v>
      </c>
      <c r="P247" s="129"/>
      <c r="Q247" s="875"/>
      <c r="R247" s="877" t="s">
        <v>518</v>
      </c>
      <c r="S247" s="875"/>
      <c r="T247" s="129"/>
      <c r="U247" s="874">
        <f>C247+D247+E247</f>
        <v>0</v>
      </c>
      <c r="V247" s="874">
        <f>F247+G247+H247</f>
        <v>0</v>
      </c>
      <c r="W247" s="874">
        <f>I247+J247+K247</f>
        <v>0</v>
      </c>
      <c r="X247" s="874">
        <f>L247+M247+N247</f>
        <v>0</v>
      </c>
      <c r="Y247" s="873">
        <f>SUM(U247:X247)</f>
        <v>0</v>
      </c>
    </row>
    <row r="248" spans="1:25" ht="12.75" customHeight="1" x14ac:dyDescent="0.2">
      <c r="A248" s="905" t="s">
        <v>460</v>
      </c>
      <c r="C248" s="128">
        <v>-600</v>
      </c>
      <c r="D248" s="128">
        <v>-600</v>
      </c>
      <c r="E248" s="128">
        <v>-600</v>
      </c>
      <c r="F248" s="128">
        <v>-600</v>
      </c>
      <c r="G248" s="128">
        <v>-600</v>
      </c>
      <c r="H248" s="128">
        <v>-600</v>
      </c>
      <c r="I248" s="128">
        <v>-600</v>
      </c>
      <c r="J248" s="128">
        <v>-600</v>
      </c>
      <c r="K248" s="128">
        <v>-600</v>
      </c>
      <c r="L248" s="128">
        <v>-600</v>
      </c>
      <c r="M248" s="128">
        <v>-600</v>
      </c>
      <c r="N248" s="128">
        <v>-600</v>
      </c>
      <c r="O248" s="129">
        <f t="shared" si="90"/>
        <v>-7200</v>
      </c>
      <c r="P248" s="129"/>
      <c r="Q248" s="875"/>
      <c r="R248" s="877" t="s">
        <v>518</v>
      </c>
      <c r="S248" s="875"/>
      <c r="T248" s="129"/>
      <c r="U248" s="874">
        <f t="shared" si="91"/>
        <v>-1800</v>
      </c>
      <c r="V248" s="874">
        <f t="shared" si="92"/>
        <v>-1800</v>
      </c>
      <c r="W248" s="874">
        <f t="shared" si="93"/>
        <v>-1800</v>
      </c>
      <c r="X248" s="874">
        <f t="shared" si="94"/>
        <v>-1800</v>
      </c>
      <c r="Y248" s="873">
        <f t="shared" si="95"/>
        <v>-7200</v>
      </c>
    </row>
    <row r="249" spans="1:25" ht="12.75" customHeight="1" x14ac:dyDescent="0.2">
      <c r="A249" s="905" t="s">
        <v>464</v>
      </c>
      <c r="C249" s="128">
        <v>-28</v>
      </c>
      <c r="D249" s="128">
        <v>-28</v>
      </c>
      <c r="E249" s="128">
        <v>-28</v>
      </c>
      <c r="F249" s="128">
        <v>-28</v>
      </c>
      <c r="G249" s="128">
        <v>-28</v>
      </c>
      <c r="H249" s="128">
        <v>-28</v>
      </c>
      <c r="I249" s="128">
        <v>-28</v>
      </c>
      <c r="J249" s="128">
        <v>-28</v>
      </c>
      <c r="K249" s="128">
        <v>-28</v>
      </c>
      <c r="L249" s="128">
        <v>-28</v>
      </c>
      <c r="M249" s="128">
        <v>-28</v>
      </c>
      <c r="N249" s="128">
        <v>-28</v>
      </c>
      <c r="O249" s="129">
        <f t="shared" si="90"/>
        <v>-336</v>
      </c>
      <c r="P249" s="129"/>
      <c r="Q249" s="875"/>
      <c r="R249" s="877" t="s">
        <v>518</v>
      </c>
      <c r="S249" s="875"/>
      <c r="T249" s="129"/>
      <c r="U249" s="874">
        <f t="shared" si="91"/>
        <v>-84</v>
      </c>
      <c r="V249" s="874">
        <f t="shared" si="92"/>
        <v>-84</v>
      </c>
      <c r="W249" s="874">
        <f t="shared" si="93"/>
        <v>-84</v>
      </c>
      <c r="X249" s="874">
        <f t="shared" si="94"/>
        <v>-84</v>
      </c>
      <c r="Y249" s="873">
        <f t="shared" si="95"/>
        <v>-336</v>
      </c>
    </row>
    <row r="250" spans="1:25" ht="12.75" customHeight="1" x14ac:dyDescent="0.2">
      <c r="A250" s="905" t="s">
        <v>462</v>
      </c>
      <c r="B250" s="1003" t="s">
        <v>1221</v>
      </c>
      <c r="C250" s="128">
        <v>-492</v>
      </c>
      <c r="D250" s="128">
        <v>-492</v>
      </c>
      <c r="E250" s="128">
        <v>-492</v>
      </c>
      <c r="F250" s="128">
        <v>-492</v>
      </c>
      <c r="G250" s="128">
        <v>-492</v>
      </c>
      <c r="H250" s="128">
        <v>-492</v>
      </c>
      <c r="I250" s="128">
        <v>-492</v>
      </c>
      <c r="J250" s="128">
        <v>-492</v>
      </c>
      <c r="K250" s="128">
        <v>-492</v>
      </c>
      <c r="L250" s="128">
        <v>-492</v>
      </c>
      <c r="M250" s="128">
        <v>-492</v>
      </c>
      <c r="N250" s="128">
        <v>-492</v>
      </c>
      <c r="O250" s="129">
        <f t="shared" si="90"/>
        <v>-5904</v>
      </c>
      <c r="P250" s="129"/>
      <c r="Q250" s="875"/>
      <c r="R250" s="877" t="s">
        <v>518</v>
      </c>
      <c r="S250" s="875"/>
      <c r="T250" s="129"/>
      <c r="U250" s="874">
        <f t="shared" si="91"/>
        <v>-1476</v>
      </c>
      <c r="V250" s="874">
        <f t="shared" si="92"/>
        <v>-1476</v>
      </c>
      <c r="W250" s="874">
        <f t="shared" si="93"/>
        <v>-1476</v>
      </c>
      <c r="X250" s="874">
        <f t="shared" si="94"/>
        <v>-1476</v>
      </c>
      <c r="Y250" s="873">
        <f t="shared" si="95"/>
        <v>-5904</v>
      </c>
    </row>
    <row r="251" spans="1:25" ht="12.75" customHeight="1" x14ac:dyDescent="0.2">
      <c r="A251" s="905" t="s">
        <v>461</v>
      </c>
      <c r="B251" s="1003" t="s">
        <v>1221</v>
      </c>
      <c r="C251" s="128">
        <v>-27</v>
      </c>
      <c r="D251" s="128">
        <v>-27</v>
      </c>
      <c r="E251" s="128">
        <v>-27</v>
      </c>
      <c r="F251" s="128">
        <v>-27</v>
      </c>
      <c r="G251" s="128">
        <v>-27</v>
      </c>
      <c r="H251" s="128">
        <v>-27</v>
      </c>
      <c r="I251" s="128">
        <v>-27</v>
      </c>
      <c r="J251" s="128">
        <v>-27</v>
      </c>
      <c r="K251" s="128">
        <v>-27</v>
      </c>
      <c r="L251" s="128">
        <v>-27</v>
      </c>
      <c r="M251" s="128">
        <v>-27</v>
      </c>
      <c r="N251" s="128">
        <v>-27</v>
      </c>
      <c r="O251" s="129">
        <f t="shared" si="90"/>
        <v>-324</v>
      </c>
      <c r="P251" s="129"/>
      <c r="Q251" s="875"/>
      <c r="R251" s="877" t="s">
        <v>518</v>
      </c>
      <c r="S251" s="875"/>
      <c r="T251" s="129"/>
      <c r="U251" s="874">
        <f t="shared" si="91"/>
        <v>-81</v>
      </c>
      <c r="V251" s="874">
        <f t="shared" si="92"/>
        <v>-81</v>
      </c>
      <c r="W251" s="874">
        <f t="shared" si="93"/>
        <v>-81</v>
      </c>
      <c r="X251" s="874">
        <f t="shared" si="94"/>
        <v>-81</v>
      </c>
      <c r="Y251" s="873">
        <f t="shared" si="95"/>
        <v>-324</v>
      </c>
    </row>
    <row r="252" spans="1:25" ht="12.75" customHeight="1" x14ac:dyDescent="0.2">
      <c r="A252" s="905" t="s">
        <v>463</v>
      </c>
      <c r="C252" s="128">
        <v>-26</v>
      </c>
      <c r="D252" s="128">
        <v>-26</v>
      </c>
      <c r="E252" s="128">
        <v>-26</v>
      </c>
      <c r="F252" s="128">
        <v>-26</v>
      </c>
      <c r="G252" s="128">
        <v>-26</v>
      </c>
      <c r="H252" s="128">
        <v>-26</v>
      </c>
      <c r="I252" s="128">
        <v>-26</v>
      </c>
      <c r="J252" s="128">
        <v>-26</v>
      </c>
      <c r="K252" s="128">
        <v>-26</v>
      </c>
      <c r="L252" s="128">
        <v>-26</v>
      </c>
      <c r="M252" s="128">
        <v>-26</v>
      </c>
      <c r="N252" s="128">
        <v>-26</v>
      </c>
      <c r="O252" s="129">
        <f t="shared" si="90"/>
        <v>-312</v>
      </c>
      <c r="P252" s="129"/>
      <c r="Q252" s="875"/>
      <c r="R252" s="877" t="s">
        <v>518</v>
      </c>
      <c r="S252" s="875"/>
      <c r="T252" s="129"/>
      <c r="U252" s="874">
        <f t="shared" si="91"/>
        <v>-78</v>
      </c>
      <c r="V252" s="874">
        <f t="shared" si="92"/>
        <v>-78</v>
      </c>
      <c r="W252" s="874">
        <f t="shared" si="93"/>
        <v>-78</v>
      </c>
      <c r="X252" s="874">
        <f t="shared" si="94"/>
        <v>-78</v>
      </c>
      <c r="Y252" s="873">
        <f t="shared" si="95"/>
        <v>-312</v>
      </c>
    </row>
    <row r="253" spans="1:25" ht="12.75" customHeight="1" x14ac:dyDescent="0.2">
      <c r="A253" s="905" t="s">
        <v>698</v>
      </c>
      <c r="C253" s="270">
        <v>-2</v>
      </c>
      <c r="D253" s="270">
        <v>-2</v>
      </c>
      <c r="E253" s="270">
        <v>-2</v>
      </c>
      <c r="F253" s="270">
        <v>-2</v>
      </c>
      <c r="G253" s="270">
        <v>-2</v>
      </c>
      <c r="H253" s="270">
        <v>-2</v>
      </c>
      <c r="I253" s="270">
        <v>-2</v>
      </c>
      <c r="J253" s="270">
        <v>-2</v>
      </c>
      <c r="K253" s="270">
        <v>-2</v>
      </c>
      <c r="L253" s="270">
        <v>-2</v>
      </c>
      <c r="M253" s="270">
        <v>-2</v>
      </c>
      <c r="N253" s="270">
        <v>-2</v>
      </c>
      <c r="O253" s="130">
        <f t="shared" si="90"/>
        <v>-24</v>
      </c>
      <c r="P253" s="129"/>
      <c r="Q253" s="875"/>
      <c r="R253" s="877" t="s">
        <v>518</v>
      </c>
      <c r="S253" s="875"/>
      <c r="T253" s="129"/>
      <c r="U253" s="919">
        <f t="shared" si="91"/>
        <v>-6</v>
      </c>
      <c r="V253" s="919">
        <f t="shared" si="92"/>
        <v>-6</v>
      </c>
      <c r="W253" s="919">
        <f t="shared" si="93"/>
        <v>-6</v>
      </c>
      <c r="X253" s="919">
        <f t="shared" si="94"/>
        <v>-6</v>
      </c>
      <c r="Y253" s="920">
        <f t="shared" si="95"/>
        <v>-24</v>
      </c>
    </row>
    <row r="254" spans="1:25" ht="12.75" customHeight="1" x14ac:dyDescent="0.2">
      <c r="A254" s="907" t="s">
        <v>214</v>
      </c>
      <c r="C254" s="880">
        <f t="shared" ref="C254:O254" si="96">SUM(C245:C253)</f>
        <v>-3960</v>
      </c>
      <c r="D254" s="880">
        <f t="shared" si="96"/>
        <v>-3960</v>
      </c>
      <c r="E254" s="880">
        <f t="shared" si="96"/>
        <v>-3966</v>
      </c>
      <c r="F254" s="880">
        <f t="shared" si="96"/>
        <v>-4013</v>
      </c>
      <c r="G254" s="880">
        <f t="shared" si="96"/>
        <v>-4013</v>
      </c>
      <c r="H254" s="880">
        <f t="shared" si="96"/>
        <v>-4017</v>
      </c>
      <c r="I254" s="880">
        <f t="shared" si="96"/>
        <v>-4018</v>
      </c>
      <c r="J254" s="880">
        <f t="shared" si="96"/>
        <v>-4037</v>
      </c>
      <c r="K254" s="880">
        <f t="shared" si="96"/>
        <v>-4049</v>
      </c>
      <c r="L254" s="880">
        <f t="shared" si="96"/>
        <v>-4144</v>
      </c>
      <c r="M254" s="880">
        <f t="shared" si="96"/>
        <v>-4144</v>
      </c>
      <c r="N254" s="880">
        <f t="shared" si="96"/>
        <v>-4144</v>
      </c>
      <c r="O254" s="880">
        <f t="shared" si="96"/>
        <v>-48465</v>
      </c>
      <c r="P254" s="880"/>
      <c r="Q254" s="875"/>
      <c r="R254" s="877"/>
      <c r="S254" s="875"/>
      <c r="T254" s="880"/>
      <c r="U254" s="880">
        <f>SUM(U245:U253)</f>
        <v>-11886</v>
      </c>
      <c r="V254" s="880">
        <f>SUM(V245:V253)</f>
        <v>-12043</v>
      </c>
      <c r="W254" s="880">
        <f>SUM(W245:W253)</f>
        <v>-12104</v>
      </c>
      <c r="X254" s="880">
        <f>SUM(X245:X253)</f>
        <v>-12432</v>
      </c>
      <c r="Y254" s="880">
        <f>SUM(Y245:Y253)</f>
        <v>-48465</v>
      </c>
    </row>
    <row r="255" spans="1:25" ht="12.75" customHeight="1" x14ac:dyDescent="0.2">
      <c r="A255" s="905" t="s">
        <v>1148</v>
      </c>
      <c r="C255" s="938">
        <f t="shared" ref="C255:N255" si="97">-C120-C174-C202-C311-C326-C340-C357</f>
        <v>0</v>
      </c>
      <c r="D255" s="938">
        <f t="shared" si="97"/>
        <v>0</v>
      </c>
      <c r="E255" s="938">
        <f t="shared" si="97"/>
        <v>0</v>
      </c>
      <c r="F255" s="938">
        <f t="shared" si="97"/>
        <v>0</v>
      </c>
      <c r="G255" s="938">
        <f t="shared" si="97"/>
        <v>0</v>
      </c>
      <c r="H255" s="938">
        <f t="shared" si="97"/>
        <v>0</v>
      </c>
      <c r="I255" s="938">
        <f t="shared" si="97"/>
        <v>0</v>
      </c>
      <c r="J255" s="938">
        <f t="shared" si="97"/>
        <v>0</v>
      </c>
      <c r="K255" s="938">
        <f t="shared" si="97"/>
        <v>0</v>
      </c>
      <c r="L255" s="938">
        <f t="shared" si="97"/>
        <v>0</v>
      </c>
      <c r="M255" s="938">
        <f t="shared" si="97"/>
        <v>0</v>
      </c>
      <c r="N255" s="938">
        <f t="shared" si="97"/>
        <v>0</v>
      </c>
      <c r="O255" s="130">
        <f t="shared" si="90"/>
        <v>0</v>
      </c>
      <c r="P255" s="938"/>
      <c r="Q255" s="875"/>
      <c r="R255" s="877"/>
      <c r="S255" s="875"/>
      <c r="T255" s="938"/>
      <c r="U255" s="919">
        <f>C255+D255+E255</f>
        <v>0</v>
      </c>
      <c r="V255" s="919">
        <f>F255+G255+H255</f>
        <v>0</v>
      </c>
      <c r="W255" s="919">
        <f>I255+J255+K255</f>
        <v>0</v>
      </c>
      <c r="X255" s="919">
        <f>L255+M255+N255</f>
        <v>0</v>
      </c>
      <c r="Y255" s="920">
        <f>SUM(U255:X255)</f>
        <v>0</v>
      </c>
    </row>
    <row r="256" spans="1:25" ht="12.75" customHeight="1" x14ac:dyDescent="0.2">
      <c r="A256" s="907" t="s">
        <v>1146</v>
      </c>
      <c r="C256" s="938">
        <f>+C254+C255</f>
        <v>-3960</v>
      </c>
      <c r="D256" s="938">
        <f t="shared" ref="D256:O256" si="98">+D254+D255</f>
        <v>-3960</v>
      </c>
      <c r="E256" s="938">
        <f t="shared" si="98"/>
        <v>-3966</v>
      </c>
      <c r="F256" s="938">
        <f t="shared" si="98"/>
        <v>-4013</v>
      </c>
      <c r="G256" s="938">
        <f t="shared" si="98"/>
        <v>-4013</v>
      </c>
      <c r="H256" s="938">
        <f t="shared" si="98"/>
        <v>-4017</v>
      </c>
      <c r="I256" s="938">
        <f t="shared" si="98"/>
        <v>-4018</v>
      </c>
      <c r="J256" s="938">
        <f t="shared" si="98"/>
        <v>-4037</v>
      </c>
      <c r="K256" s="938">
        <f t="shared" si="98"/>
        <v>-4049</v>
      </c>
      <c r="L256" s="938">
        <f t="shared" si="98"/>
        <v>-4144</v>
      </c>
      <c r="M256" s="938">
        <f t="shared" si="98"/>
        <v>-4144</v>
      </c>
      <c r="N256" s="938">
        <f t="shared" si="98"/>
        <v>-4144</v>
      </c>
      <c r="O256" s="938">
        <f t="shared" si="98"/>
        <v>-48465</v>
      </c>
      <c r="P256" s="938"/>
      <c r="Q256" s="875"/>
      <c r="R256" s="877"/>
      <c r="S256" s="875"/>
      <c r="T256" s="938"/>
      <c r="U256" s="938">
        <f>+U254+U255</f>
        <v>-11886</v>
      </c>
      <c r="V256" s="938">
        <f>+V254+V255</f>
        <v>-12043</v>
      </c>
      <c r="W256" s="938">
        <f>+W254+W255</f>
        <v>-12104</v>
      </c>
      <c r="X256" s="938">
        <f>+X254+X255</f>
        <v>-12432</v>
      </c>
      <c r="Y256" s="938">
        <f>+Y254+Y255</f>
        <v>-48465</v>
      </c>
    </row>
    <row r="257" spans="1:25" ht="3.95" customHeight="1" x14ac:dyDescent="0.2">
      <c r="A257" s="905"/>
      <c r="C257" s="873"/>
      <c r="D257" s="873"/>
      <c r="E257" s="873"/>
      <c r="F257" s="873"/>
      <c r="G257" s="873"/>
      <c r="H257" s="873"/>
      <c r="I257" s="873"/>
      <c r="J257" s="873"/>
      <c r="K257" s="873"/>
      <c r="L257" s="873"/>
      <c r="M257" s="873"/>
      <c r="N257" s="873"/>
      <c r="O257" s="874"/>
      <c r="P257" s="874"/>
      <c r="Q257" s="875"/>
      <c r="R257" s="876"/>
      <c r="S257" s="875"/>
      <c r="T257" s="874"/>
      <c r="U257" s="874"/>
      <c r="V257" s="874"/>
      <c r="W257" s="874"/>
      <c r="X257" s="874"/>
      <c r="Y257" s="873"/>
    </row>
    <row r="258" spans="1:25" ht="12.75" customHeight="1" x14ac:dyDescent="0.2">
      <c r="A258" s="905" t="s">
        <v>453</v>
      </c>
      <c r="C258" s="683">
        <f>-2310+26</f>
        <v>-2284</v>
      </c>
      <c r="D258" s="683">
        <f>-2311+27</f>
        <v>-2284</v>
      </c>
      <c r="E258" s="683">
        <f>-2310+26</f>
        <v>-2284</v>
      </c>
      <c r="F258" s="683">
        <f>-2311+27</f>
        <v>-2284</v>
      </c>
      <c r="G258" s="683">
        <f>-2310+26</f>
        <v>-2284</v>
      </c>
      <c r="H258" s="683">
        <f>-2311+27</f>
        <v>-2284</v>
      </c>
      <c r="I258" s="683">
        <f>-2310+26</f>
        <v>-2284</v>
      </c>
      <c r="J258" s="683">
        <f>-2311+27</f>
        <v>-2284</v>
      </c>
      <c r="K258" s="683">
        <f>-2310+26</f>
        <v>-2284</v>
      </c>
      <c r="L258" s="683">
        <f>-2311+27</f>
        <v>-2284</v>
      </c>
      <c r="M258" s="683">
        <f>-2310+26</f>
        <v>-2284</v>
      </c>
      <c r="N258" s="683">
        <f>-2311+27</f>
        <v>-2284</v>
      </c>
      <c r="O258" s="129">
        <f>SUM(C258:N258)</f>
        <v>-27408</v>
      </c>
      <c r="P258" s="129"/>
      <c r="Q258" s="875"/>
      <c r="R258" s="887" t="s">
        <v>504</v>
      </c>
      <c r="S258" s="875"/>
      <c r="T258" s="129"/>
      <c r="U258" s="874">
        <f>C258+D258+E258</f>
        <v>-6852</v>
      </c>
      <c r="V258" s="874">
        <f>F258+G258+H258</f>
        <v>-6852</v>
      </c>
      <c r="W258" s="874">
        <f>I258+J258+K258</f>
        <v>-6852</v>
      </c>
      <c r="X258" s="874">
        <f>L258+M258+N258</f>
        <v>-6852</v>
      </c>
      <c r="Y258" s="873">
        <f>SUM(U258:X258)</f>
        <v>-27408</v>
      </c>
    </row>
    <row r="259" spans="1:25" ht="12.75" customHeight="1" x14ac:dyDescent="0.2">
      <c r="A259" s="905" t="s">
        <v>454</v>
      </c>
      <c r="C259" s="128">
        <v>-8</v>
      </c>
      <c r="D259" s="128">
        <v>-8</v>
      </c>
      <c r="E259" s="128">
        <v>-8</v>
      </c>
      <c r="F259" s="128">
        <v>-8</v>
      </c>
      <c r="G259" s="128">
        <v>-8</v>
      </c>
      <c r="H259" s="128">
        <v>-8</v>
      </c>
      <c r="I259" s="128">
        <v>-8</v>
      </c>
      <c r="J259" s="128">
        <v>-8</v>
      </c>
      <c r="K259" s="128">
        <v>-8</v>
      </c>
      <c r="L259" s="128">
        <v>-8</v>
      </c>
      <c r="M259" s="128">
        <v>-8</v>
      </c>
      <c r="N259" s="128">
        <v>-8</v>
      </c>
      <c r="O259" s="129">
        <f>SUM(C259:N259)</f>
        <v>-96</v>
      </c>
      <c r="P259" s="129"/>
      <c r="Q259" s="875"/>
      <c r="R259" s="887" t="s">
        <v>504</v>
      </c>
      <c r="S259" s="875"/>
      <c r="T259" s="129"/>
      <c r="U259" s="874">
        <f>C259+D259+E259</f>
        <v>-24</v>
      </c>
      <c r="V259" s="874">
        <f>F259+G259+H259</f>
        <v>-24</v>
      </c>
      <c r="W259" s="874">
        <f>I259+J259+K259</f>
        <v>-24</v>
      </c>
      <c r="X259" s="874">
        <f>L259+M259+N259</f>
        <v>-24</v>
      </c>
      <c r="Y259" s="873">
        <f>SUM(U259:X259)</f>
        <v>-96</v>
      </c>
    </row>
    <row r="260" spans="1:25" ht="12.75" customHeight="1" x14ac:dyDescent="0.2">
      <c r="A260" s="905" t="s">
        <v>492</v>
      </c>
      <c r="C260" s="128">
        <v>-25</v>
      </c>
      <c r="D260" s="128">
        <v>-25</v>
      </c>
      <c r="E260" s="128">
        <v>-25</v>
      </c>
      <c r="F260" s="128">
        <v>-25</v>
      </c>
      <c r="G260" s="128">
        <v>-25</v>
      </c>
      <c r="H260" s="128">
        <v>-25</v>
      </c>
      <c r="I260" s="128">
        <v>-25</v>
      </c>
      <c r="J260" s="128">
        <v>-25</v>
      </c>
      <c r="K260" s="128">
        <v>-25</v>
      </c>
      <c r="L260" s="128">
        <v>-25</v>
      </c>
      <c r="M260" s="128">
        <v>-25</v>
      </c>
      <c r="N260" s="128">
        <v>-25</v>
      </c>
      <c r="O260" s="129">
        <f>SUM(C260:N260)</f>
        <v>-300</v>
      </c>
      <c r="P260" s="129"/>
      <c r="Q260" s="875"/>
      <c r="R260" s="887" t="s">
        <v>504</v>
      </c>
      <c r="S260" s="875"/>
      <c r="T260" s="129"/>
      <c r="U260" s="874">
        <f>C260+D260+E260</f>
        <v>-75</v>
      </c>
      <c r="V260" s="874">
        <f>F260+G260+H260</f>
        <v>-75</v>
      </c>
      <c r="W260" s="874">
        <f>I260+J260+K260</f>
        <v>-75</v>
      </c>
      <c r="X260" s="874">
        <f>L260+M260+N260</f>
        <v>-75</v>
      </c>
      <c r="Y260" s="873">
        <f>SUM(U260:X260)</f>
        <v>-300</v>
      </c>
    </row>
    <row r="261" spans="1:25" ht="12.75" customHeight="1" x14ac:dyDescent="0.2">
      <c r="A261" s="907" t="s">
        <v>455</v>
      </c>
      <c r="C261" s="754">
        <v>0</v>
      </c>
      <c r="D261" s="754">
        <v>0</v>
      </c>
      <c r="E261" s="754">
        <v>0</v>
      </c>
      <c r="F261" s="754">
        <v>0</v>
      </c>
      <c r="G261" s="754">
        <v>0</v>
      </c>
      <c r="H261" s="754">
        <v>0</v>
      </c>
      <c r="I261" s="754">
        <v>0</v>
      </c>
      <c r="J261" s="754">
        <v>0</v>
      </c>
      <c r="K261" s="754">
        <v>0</v>
      </c>
      <c r="L261" s="754">
        <v>0</v>
      </c>
      <c r="M261" s="754">
        <v>0</v>
      </c>
      <c r="N261" s="754">
        <v>0</v>
      </c>
      <c r="O261" s="751">
        <f>SUM(C261:N261)</f>
        <v>0</v>
      </c>
      <c r="P261" s="751"/>
      <c r="Q261" s="875"/>
      <c r="R261" s="887" t="s">
        <v>504</v>
      </c>
      <c r="S261" s="875"/>
      <c r="T261" s="751"/>
      <c r="U261" s="874">
        <f>C261+D261+E261</f>
        <v>0</v>
      </c>
      <c r="V261" s="874">
        <f>F261+G261+H261</f>
        <v>0</v>
      </c>
      <c r="W261" s="874">
        <f>I261+J261+K261</f>
        <v>0</v>
      </c>
      <c r="X261" s="874">
        <f>L261+M261+N261</f>
        <v>0</v>
      </c>
      <c r="Y261" s="873">
        <f>SUM(U261:X261)</f>
        <v>0</v>
      </c>
    </row>
    <row r="262" spans="1:25" ht="12.75" customHeight="1" x14ac:dyDescent="0.2">
      <c r="A262" s="907" t="s">
        <v>456</v>
      </c>
      <c r="B262" s="871"/>
      <c r="C262" s="270">
        <v>-23</v>
      </c>
      <c r="D262" s="270">
        <v>-39</v>
      </c>
      <c r="E262" s="270">
        <v>-24</v>
      </c>
      <c r="F262" s="270">
        <v>-24</v>
      </c>
      <c r="G262" s="270">
        <v>-25</v>
      </c>
      <c r="H262" s="270">
        <v>-24</v>
      </c>
      <c r="I262" s="270">
        <v>-24</v>
      </c>
      <c r="J262" s="270">
        <v>-25</v>
      </c>
      <c r="K262" s="270">
        <v>-24</v>
      </c>
      <c r="L262" s="270">
        <v>-24</v>
      </c>
      <c r="M262" s="270">
        <v>-25</v>
      </c>
      <c r="N262" s="270">
        <v>-24</v>
      </c>
      <c r="O262" s="130">
        <f>SUM(C262:N262)</f>
        <v>-305</v>
      </c>
      <c r="P262" s="130"/>
      <c r="Q262" s="882"/>
      <c r="R262" s="887" t="s">
        <v>504</v>
      </c>
      <c r="S262" s="882"/>
      <c r="T262" s="130"/>
      <c r="U262" s="939">
        <f>C262+D262+E262</f>
        <v>-86</v>
      </c>
      <c r="V262" s="939">
        <f>F262+G262+H262</f>
        <v>-73</v>
      </c>
      <c r="W262" s="939">
        <f>I262+J262+K262</f>
        <v>-73</v>
      </c>
      <c r="X262" s="939">
        <f>L262+M262+N262</f>
        <v>-73</v>
      </c>
      <c r="Y262" s="938">
        <f>SUM(U262:X262)</f>
        <v>-305</v>
      </c>
    </row>
    <row r="263" spans="1:25" ht="12.75" customHeight="1" x14ac:dyDescent="0.2">
      <c r="A263" s="907" t="s">
        <v>457</v>
      </c>
      <c r="B263" s="871"/>
      <c r="C263" s="938">
        <f t="shared" ref="C263:O263" si="99">SUM(C258:C262)</f>
        <v>-2340</v>
      </c>
      <c r="D263" s="938">
        <f t="shared" si="99"/>
        <v>-2356</v>
      </c>
      <c r="E263" s="938">
        <f t="shared" si="99"/>
        <v>-2341</v>
      </c>
      <c r="F263" s="938">
        <f t="shared" si="99"/>
        <v>-2341</v>
      </c>
      <c r="G263" s="938">
        <f t="shared" si="99"/>
        <v>-2342</v>
      </c>
      <c r="H263" s="938">
        <f t="shared" si="99"/>
        <v>-2341</v>
      </c>
      <c r="I263" s="938">
        <f t="shared" si="99"/>
        <v>-2341</v>
      </c>
      <c r="J263" s="938">
        <f t="shared" si="99"/>
        <v>-2342</v>
      </c>
      <c r="K263" s="938">
        <f t="shared" si="99"/>
        <v>-2341</v>
      </c>
      <c r="L263" s="938">
        <f t="shared" si="99"/>
        <v>-2341</v>
      </c>
      <c r="M263" s="938">
        <f t="shared" si="99"/>
        <v>-2342</v>
      </c>
      <c r="N263" s="938">
        <f t="shared" si="99"/>
        <v>-2341</v>
      </c>
      <c r="O263" s="938">
        <f t="shared" si="99"/>
        <v>-28109</v>
      </c>
      <c r="P263" s="938"/>
      <c r="Q263" s="882"/>
      <c r="R263" s="879"/>
      <c r="S263" s="882"/>
      <c r="T263" s="938"/>
      <c r="U263" s="938">
        <f>SUM(U258:U262)</f>
        <v>-7037</v>
      </c>
      <c r="V263" s="938">
        <f>SUM(V258:V262)</f>
        <v>-7024</v>
      </c>
      <c r="W263" s="938">
        <f>SUM(W258:W262)</f>
        <v>-7024</v>
      </c>
      <c r="X263" s="938">
        <f>SUM(X258:X262)</f>
        <v>-7024</v>
      </c>
      <c r="Y263" s="938">
        <f>SUM(Y258:Y262)</f>
        <v>-28109</v>
      </c>
    </row>
    <row r="264" spans="1:25" ht="3.95" customHeight="1" x14ac:dyDescent="0.2">
      <c r="A264" s="905"/>
      <c r="C264" s="873"/>
      <c r="D264" s="873"/>
      <c r="E264" s="873"/>
      <c r="F264" s="873"/>
      <c r="G264" s="873"/>
      <c r="H264" s="873"/>
      <c r="I264" s="873"/>
      <c r="J264" s="873"/>
      <c r="K264" s="873"/>
      <c r="L264" s="873"/>
      <c r="M264" s="873"/>
      <c r="N264" s="873"/>
      <c r="O264" s="874"/>
      <c r="P264" s="874"/>
      <c r="Q264" s="875"/>
      <c r="R264" s="876"/>
      <c r="S264" s="875"/>
      <c r="T264" s="874"/>
      <c r="U264" s="874"/>
      <c r="V264" s="874"/>
      <c r="W264" s="874"/>
      <c r="X264" s="874"/>
      <c r="Y264" s="873"/>
    </row>
    <row r="265" spans="1:25" ht="12.75" customHeight="1" x14ac:dyDescent="0.2">
      <c r="A265" s="905" t="s">
        <v>213</v>
      </c>
      <c r="C265" s="142">
        <v>5</v>
      </c>
      <c r="D265" s="142">
        <v>0</v>
      </c>
      <c r="E265" s="142">
        <v>0</v>
      </c>
      <c r="F265" s="142">
        <v>5</v>
      </c>
      <c r="G265" s="142">
        <v>0</v>
      </c>
      <c r="H265" s="142">
        <v>0</v>
      </c>
      <c r="I265" s="142">
        <v>4</v>
      </c>
      <c r="J265" s="142">
        <v>0</v>
      </c>
      <c r="K265" s="142">
        <v>0</v>
      </c>
      <c r="L265" s="142">
        <v>4</v>
      </c>
      <c r="M265" s="142">
        <v>0</v>
      </c>
      <c r="N265" s="142">
        <v>0</v>
      </c>
      <c r="O265" s="143">
        <f t="shared" ref="O265:O271" si="100">SUM(C265:N265)</f>
        <v>18</v>
      </c>
      <c r="P265" s="143"/>
      <c r="Q265" s="875"/>
      <c r="R265" s="877" t="s">
        <v>514</v>
      </c>
      <c r="S265" s="875"/>
      <c r="T265" s="143"/>
      <c r="U265" s="874">
        <f t="shared" ref="U265:U271" si="101">C265+D265+E265</f>
        <v>5</v>
      </c>
      <c r="V265" s="874">
        <f t="shared" ref="V265:V271" si="102">F265+G265+H265</f>
        <v>5</v>
      </c>
      <c r="W265" s="874">
        <f t="shared" ref="W265:W271" si="103">I265+J265+K265</f>
        <v>4</v>
      </c>
      <c r="X265" s="874">
        <f t="shared" ref="X265:X271" si="104">L265+M265+N265</f>
        <v>4</v>
      </c>
      <c r="Y265" s="873">
        <f t="shared" ref="Y265:Y271" si="105">SUM(U265:X265)</f>
        <v>18</v>
      </c>
    </row>
    <row r="266" spans="1:25" ht="12.75" customHeight="1" x14ac:dyDescent="0.2">
      <c r="A266" s="905" t="s">
        <v>492</v>
      </c>
      <c r="C266" s="142">
        <v>10</v>
      </c>
      <c r="D266" s="142">
        <v>10</v>
      </c>
      <c r="E266" s="142">
        <v>10</v>
      </c>
      <c r="F266" s="142">
        <v>10</v>
      </c>
      <c r="G266" s="142">
        <v>10</v>
      </c>
      <c r="H266" s="142">
        <v>10</v>
      </c>
      <c r="I266" s="142">
        <v>10</v>
      </c>
      <c r="J266" s="142">
        <v>10</v>
      </c>
      <c r="K266" s="142">
        <v>10</v>
      </c>
      <c r="L266" s="142">
        <v>10</v>
      </c>
      <c r="M266" s="142">
        <v>10</v>
      </c>
      <c r="N266" s="142">
        <v>10</v>
      </c>
      <c r="O266" s="143">
        <f t="shared" si="100"/>
        <v>120</v>
      </c>
      <c r="P266" s="143"/>
      <c r="Q266" s="875"/>
      <c r="R266" s="877" t="s">
        <v>514</v>
      </c>
      <c r="S266" s="875"/>
      <c r="T266" s="143"/>
      <c r="U266" s="874">
        <f t="shared" si="101"/>
        <v>30</v>
      </c>
      <c r="V266" s="874">
        <f t="shared" si="102"/>
        <v>30</v>
      </c>
      <c r="W266" s="874">
        <f t="shared" si="103"/>
        <v>30</v>
      </c>
      <c r="X266" s="874">
        <f t="shared" si="104"/>
        <v>30</v>
      </c>
      <c r="Y266" s="873">
        <f t="shared" si="105"/>
        <v>120</v>
      </c>
    </row>
    <row r="267" spans="1:25" ht="12.75" customHeight="1" x14ac:dyDescent="0.2">
      <c r="A267" s="905" t="s">
        <v>516</v>
      </c>
      <c r="C267" s="855">
        <f>+OtherInc!C17</f>
        <v>0</v>
      </c>
      <c r="D267" s="855">
        <f>+OtherInc!D17</f>
        <v>0</v>
      </c>
      <c r="E267" s="855">
        <f>+OtherInc!E17</f>
        <v>0</v>
      </c>
      <c r="F267" s="855">
        <f>+OtherInc!F17</f>
        <v>0</v>
      </c>
      <c r="G267" s="855">
        <f>+OtherInc!G17</f>
        <v>0</v>
      </c>
      <c r="H267" s="855">
        <f>+OtherInc!H17</f>
        <v>0</v>
      </c>
      <c r="I267" s="855">
        <f>+OtherInc!I17</f>
        <v>0</v>
      </c>
      <c r="J267" s="855">
        <f>+OtherInc!J17</f>
        <v>0</v>
      </c>
      <c r="K267" s="855">
        <f>+OtherInc!K17</f>
        <v>0</v>
      </c>
      <c r="L267" s="855">
        <f>+OtherInc!L17</f>
        <v>0</v>
      </c>
      <c r="M267" s="855">
        <f>+OtherInc!M17</f>
        <v>0</v>
      </c>
      <c r="N267" s="855">
        <f>+OtherInc!N17</f>
        <v>0</v>
      </c>
      <c r="O267" s="143">
        <f t="shared" si="100"/>
        <v>0</v>
      </c>
      <c r="P267" s="143"/>
      <c r="Q267" s="875"/>
      <c r="R267" s="877" t="s">
        <v>514</v>
      </c>
      <c r="S267" s="875"/>
      <c r="T267" s="143"/>
      <c r="U267" s="874">
        <f t="shared" si="101"/>
        <v>0</v>
      </c>
      <c r="V267" s="874">
        <f t="shared" si="102"/>
        <v>0</v>
      </c>
      <c r="W267" s="874">
        <f t="shared" si="103"/>
        <v>0</v>
      </c>
      <c r="X267" s="874">
        <f t="shared" si="104"/>
        <v>0</v>
      </c>
      <c r="Y267" s="873">
        <f t="shared" si="105"/>
        <v>0</v>
      </c>
    </row>
    <row r="268" spans="1:25" ht="12.75" customHeight="1" x14ac:dyDescent="0.2">
      <c r="A268" s="905" t="s">
        <v>517</v>
      </c>
      <c r="C268" s="855">
        <f>+OtherInc!C18</f>
        <v>0</v>
      </c>
      <c r="D268" s="855">
        <f>+OtherInc!D18</f>
        <v>0</v>
      </c>
      <c r="E268" s="855">
        <f>+OtherInc!E18</f>
        <v>0</v>
      </c>
      <c r="F268" s="855">
        <f>+OtherInc!F18</f>
        <v>0</v>
      </c>
      <c r="G268" s="855">
        <f>+OtherInc!G18</f>
        <v>0</v>
      </c>
      <c r="H268" s="855">
        <f>+OtherInc!H18</f>
        <v>0</v>
      </c>
      <c r="I268" s="855">
        <f>+OtherInc!I18</f>
        <v>0</v>
      </c>
      <c r="J268" s="855">
        <f>+OtherInc!J18</f>
        <v>0</v>
      </c>
      <c r="K268" s="855">
        <f>+OtherInc!K18</f>
        <v>0</v>
      </c>
      <c r="L268" s="855">
        <f>+OtherInc!L18</f>
        <v>0</v>
      </c>
      <c r="M268" s="855">
        <f>+OtherInc!M18</f>
        <v>0</v>
      </c>
      <c r="N268" s="855">
        <f>+OtherInc!N18</f>
        <v>0</v>
      </c>
      <c r="O268" s="143">
        <f t="shared" si="100"/>
        <v>0</v>
      </c>
      <c r="P268" s="143"/>
      <c r="Q268" s="875"/>
      <c r="R268" s="877" t="s">
        <v>514</v>
      </c>
      <c r="S268" s="875"/>
      <c r="T268" s="143"/>
      <c r="U268" s="874">
        <f t="shared" si="101"/>
        <v>0</v>
      </c>
      <c r="V268" s="874">
        <f t="shared" si="102"/>
        <v>0</v>
      </c>
      <c r="W268" s="874">
        <f t="shared" si="103"/>
        <v>0</v>
      </c>
      <c r="X268" s="874">
        <f t="shared" si="104"/>
        <v>0</v>
      </c>
      <c r="Y268" s="873">
        <f t="shared" si="105"/>
        <v>0</v>
      </c>
    </row>
    <row r="269" spans="1:25" ht="12.75" customHeight="1" x14ac:dyDescent="0.2">
      <c r="A269" s="905" t="s">
        <v>701</v>
      </c>
      <c r="C269" s="855">
        <f>+OtherInc!C19</f>
        <v>0</v>
      </c>
      <c r="D269" s="855">
        <f>+OtherInc!D19</f>
        <v>0</v>
      </c>
      <c r="E269" s="855">
        <f>+OtherInc!E19</f>
        <v>0</v>
      </c>
      <c r="F269" s="855">
        <f>+OtherInc!F19</f>
        <v>0</v>
      </c>
      <c r="G269" s="855">
        <f>+OtherInc!G19</f>
        <v>0</v>
      </c>
      <c r="H269" s="855">
        <f>+OtherInc!H19</f>
        <v>0</v>
      </c>
      <c r="I269" s="855">
        <f>+OtherInc!I19</f>
        <v>0</v>
      </c>
      <c r="J269" s="855">
        <f>+OtherInc!J19</f>
        <v>0</v>
      </c>
      <c r="K269" s="855">
        <f>+OtherInc!K19</f>
        <v>0</v>
      </c>
      <c r="L269" s="855">
        <f>+OtherInc!L19</f>
        <v>0</v>
      </c>
      <c r="M269" s="855">
        <f>+OtherInc!M19</f>
        <v>0</v>
      </c>
      <c r="N269" s="855">
        <f>+OtherInc!N19</f>
        <v>0</v>
      </c>
      <c r="O269" s="143">
        <f t="shared" si="100"/>
        <v>0</v>
      </c>
      <c r="P269" s="143"/>
      <c r="Q269" s="875"/>
      <c r="R269" s="877" t="s">
        <v>514</v>
      </c>
      <c r="S269" s="875"/>
      <c r="T269" s="143"/>
      <c r="U269" s="874">
        <f t="shared" si="101"/>
        <v>0</v>
      </c>
      <c r="V269" s="874">
        <f t="shared" si="102"/>
        <v>0</v>
      </c>
      <c r="W269" s="874">
        <f t="shared" si="103"/>
        <v>0</v>
      </c>
      <c r="X269" s="874">
        <f t="shared" si="104"/>
        <v>0</v>
      </c>
      <c r="Y269" s="873">
        <f t="shared" si="105"/>
        <v>0</v>
      </c>
    </row>
    <row r="270" spans="1:25" ht="12.75" customHeight="1" x14ac:dyDescent="0.2">
      <c r="A270" s="905" t="s">
        <v>515</v>
      </c>
      <c r="C270" s="855">
        <f>+OtherInc!C20</f>
        <v>21</v>
      </c>
      <c r="D270" s="855">
        <f>+OtherInc!D20</f>
        <v>19</v>
      </c>
      <c r="E270" s="855">
        <f>+OtherInc!E20</f>
        <v>21</v>
      </c>
      <c r="F270" s="855">
        <f>+OtherInc!F20</f>
        <v>21</v>
      </c>
      <c r="G270" s="855">
        <f>+OtherInc!G20</f>
        <v>21</v>
      </c>
      <c r="H270" s="855">
        <f>+OtherInc!H20</f>
        <v>21</v>
      </c>
      <c r="I270" s="855">
        <f>+OtherInc!I20</f>
        <v>22</v>
      </c>
      <c r="J270" s="855">
        <f>+OtherInc!J20</f>
        <v>22</v>
      </c>
      <c r="K270" s="855">
        <f>+OtherInc!K20</f>
        <v>21</v>
      </c>
      <c r="L270" s="855">
        <f>+OtherInc!L20</f>
        <v>22</v>
      </c>
      <c r="M270" s="855">
        <f>+OtherInc!M20</f>
        <v>22</v>
      </c>
      <c r="N270" s="855">
        <f>+OtherInc!N20</f>
        <v>22</v>
      </c>
      <c r="O270" s="143">
        <f t="shared" si="100"/>
        <v>255</v>
      </c>
      <c r="P270" s="143"/>
      <c r="Q270" s="875"/>
      <c r="R270" s="877" t="s">
        <v>514</v>
      </c>
      <c r="S270" s="875"/>
      <c r="T270" s="143"/>
      <c r="U270" s="874">
        <f t="shared" si="101"/>
        <v>61</v>
      </c>
      <c r="V270" s="874">
        <f t="shared" si="102"/>
        <v>63</v>
      </c>
      <c r="W270" s="874">
        <f t="shared" si="103"/>
        <v>65</v>
      </c>
      <c r="X270" s="874">
        <f t="shared" si="104"/>
        <v>66</v>
      </c>
      <c r="Y270" s="873">
        <f t="shared" si="105"/>
        <v>255</v>
      </c>
    </row>
    <row r="271" spans="1:25" ht="12.75" customHeight="1" x14ac:dyDescent="0.2">
      <c r="A271" s="905" t="s">
        <v>624</v>
      </c>
      <c r="C271" s="160">
        <v>0</v>
      </c>
      <c r="D271" s="160">
        <v>0</v>
      </c>
      <c r="E271" s="160">
        <v>0</v>
      </c>
      <c r="F271" s="160">
        <v>0</v>
      </c>
      <c r="G271" s="160">
        <v>0</v>
      </c>
      <c r="H271" s="160">
        <v>0</v>
      </c>
      <c r="I271" s="160">
        <v>0</v>
      </c>
      <c r="J271" s="160">
        <v>0</v>
      </c>
      <c r="K271" s="160">
        <v>0</v>
      </c>
      <c r="L271" s="160">
        <v>0</v>
      </c>
      <c r="M271" s="160">
        <v>0</v>
      </c>
      <c r="N271" s="160">
        <v>0</v>
      </c>
      <c r="O271" s="143">
        <f t="shared" si="100"/>
        <v>0</v>
      </c>
      <c r="P271" s="143"/>
      <c r="Q271" s="875"/>
      <c r="R271" s="877" t="s">
        <v>514</v>
      </c>
      <c r="S271" s="875"/>
      <c r="T271" s="143"/>
      <c r="U271" s="874">
        <f t="shared" si="101"/>
        <v>0</v>
      </c>
      <c r="V271" s="874">
        <f t="shared" si="102"/>
        <v>0</v>
      </c>
      <c r="W271" s="874">
        <f t="shared" si="103"/>
        <v>0</v>
      </c>
      <c r="X271" s="874">
        <f t="shared" si="104"/>
        <v>0</v>
      </c>
      <c r="Y271" s="873">
        <f t="shared" si="105"/>
        <v>0</v>
      </c>
    </row>
    <row r="272" spans="1:25" ht="3.95" customHeight="1" x14ac:dyDescent="0.2">
      <c r="A272" s="905"/>
      <c r="C272" s="873"/>
      <c r="D272" s="873"/>
      <c r="E272" s="873"/>
      <c r="F272" s="873"/>
      <c r="G272" s="873"/>
      <c r="H272" s="873"/>
      <c r="I272" s="873"/>
      <c r="J272" s="873"/>
      <c r="K272" s="873"/>
      <c r="L272" s="873"/>
      <c r="M272" s="873"/>
      <c r="N272" s="873"/>
      <c r="O272" s="874"/>
      <c r="P272" s="874"/>
      <c r="Q272" s="875"/>
      <c r="R272" s="876"/>
      <c r="S272" s="875"/>
      <c r="T272" s="874"/>
      <c r="U272" s="874"/>
      <c r="V272" s="874"/>
      <c r="W272" s="874"/>
      <c r="X272" s="874"/>
      <c r="Y272" s="873"/>
    </row>
    <row r="273" spans="1:25" x14ac:dyDescent="0.2">
      <c r="A273" s="905" t="s">
        <v>223</v>
      </c>
      <c r="C273" s="160">
        <v>-39</v>
      </c>
      <c r="D273" s="160">
        <v>-38</v>
      </c>
      <c r="E273" s="160">
        <v>-39</v>
      </c>
      <c r="F273" s="160">
        <v>-38</v>
      </c>
      <c r="G273" s="160">
        <v>-39</v>
      </c>
      <c r="H273" s="160">
        <v>-38</v>
      </c>
      <c r="I273" s="160">
        <v>-39</v>
      </c>
      <c r="J273" s="160">
        <v>-38</v>
      </c>
      <c r="K273" s="160">
        <v>-39</v>
      </c>
      <c r="L273" s="160">
        <v>-33</v>
      </c>
      <c r="M273" s="160">
        <v>-28</v>
      </c>
      <c r="N273" s="160">
        <v>-28</v>
      </c>
      <c r="O273" s="157">
        <f>SUM(C273:N273)</f>
        <v>-436</v>
      </c>
      <c r="P273" s="157"/>
      <c r="Q273" s="875"/>
      <c r="R273" s="877" t="s">
        <v>507</v>
      </c>
      <c r="S273" s="875"/>
      <c r="T273" s="157"/>
      <c r="U273" s="874">
        <f t="shared" ref="U273:U278" si="106">C273+D273+E273</f>
        <v>-116</v>
      </c>
      <c r="V273" s="874">
        <f t="shared" ref="V273:V278" si="107">F273+G273+H273</f>
        <v>-115</v>
      </c>
      <c r="W273" s="874">
        <f t="shared" ref="W273:W278" si="108">I273+J273+K273</f>
        <v>-116</v>
      </c>
      <c r="X273" s="874">
        <f t="shared" ref="X273:X278" si="109">L273+M273+N273</f>
        <v>-89</v>
      </c>
      <c r="Y273" s="873">
        <f t="shared" ref="Y273:Y278" si="110">SUM(U273:X273)</f>
        <v>-436</v>
      </c>
    </row>
    <row r="274" spans="1:25" x14ac:dyDescent="0.2">
      <c r="A274" s="905" t="s">
        <v>513</v>
      </c>
      <c r="C274" s="160">
        <v>1</v>
      </c>
      <c r="D274" s="160">
        <v>0</v>
      </c>
      <c r="E274" s="160">
        <v>1</v>
      </c>
      <c r="F274" s="160">
        <v>0</v>
      </c>
      <c r="G274" s="160">
        <v>1</v>
      </c>
      <c r="H274" s="160">
        <v>1</v>
      </c>
      <c r="I274" s="160">
        <v>0</v>
      </c>
      <c r="J274" s="160">
        <v>1</v>
      </c>
      <c r="K274" s="160">
        <v>0</v>
      </c>
      <c r="L274" s="160">
        <v>1</v>
      </c>
      <c r="M274" s="160">
        <v>0</v>
      </c>
      <c r="N274" s="160">
        <v>1</v>
      </c>
      <c r="O274" s="157">
        <f>SUM(C274:N274)</f>
        <v>7</v>
      </c>
      <c r="P274" s="157"/>
      <c r="Q274" s="875"/>
      <c r="R274" s="877" t="s">
        <v>507</v>
      </c>
      <c r="S274" s="875"/>
      <c r="T274" s="157"/>
      <c r="U274" s="874">
        <f t="shared" si="106"/>
        <v>2</v>
      </c>
      <c r="V274" s="874">
        <f t="shared" si="107"/>
        <v>2</v>
      </c>
      <c r="W274" s="874">
        <f t="shared" si="108"/>
        <v>1</v>
      </c>
      <c r="X274" s="874">
        <f t="shared" si="109"/>
        <v>2</v>
      </c>
      <c r="Y274" s="873">
        <f t="shared" si="110"/>
        <v>7</v>
      </c>
    </row>
    <row r="275" spans="1:25" x14ac:dyDescent="0.2">
      <c r="A275" s="905" t="s">
        <v>224</v>
      </c>
      <c r="C275" s="160">
        <v>0</v>
      </c>
      <c r="D275" s="160">
        <v>0</v>
      </c>
      <c r="E275" s="160">
        <v>0</v>
      </c>
      <c r="F275" s="160">
        <v>0</v>
      </c>
      <c r="G275" s="160">
        <v>0</v>
      </c>
      <c r="H275" s="160">
        <v>0</v>
      </c>
      <c r="I275" s="160">
        <v>0</v>
      </c>
      <c r="J275" s="160">
        <v>0</v>
      </c>
      <c r="K275" s="160">
        <v>0</v>
      </c>
      <c r="L275" s="160">
        <v>0</v>
      </c>
      <c r="M275" s="160">
        <v>0</v>
      </c>
      <c r="N275" s="160">
        <v>0</v>
      </c>
      <c r="O275" s="157">
        <f>SUM(C275:N275)</f>
        <v>0</v>
      </c>
      <c r="P275" s="157"/>
      <c r="Q275" s="875"/>
      <c r="R275" s="877" t="s">
        <v>507</v>
      </c>
      <c r="S275" s="875"/>
      <c r="T275" s="157"/>
      <c r="U275" s="874">
        <f t="shared" si="106"/>
        <v>0</v>
      </c>
      <c r="V275" s="874">
        <f t="shared" si="107"/>
        <v>0</v>
      </c>
      <c r="W275" s="874">
        <f t="shared" si="108"/>
        <v>0</v>
      </c>
      <c r="X275" s="874">
        <f t="shared" si="109"/>
        <v>0</v>
      </c>
      <c r="Y275" s="873">
        <f t="shared" si="110"/>
        <v>0</v>
      </c>
    </row>
    <row r="276" spans="1:25" x14ac:dyDescent="0.2">
      <c r="A276" s="905" t="s">
        <v>353</v>
      </c>
      <c r="C276" s="878">
        <v>121</v>
      </c>
      <c r="D276" s="878">
        <v>182</v>
      </c>
      <c r="E276" s="878">
        <v>152</v>
      </c>
      <c r="F276" s="878">
        <v>111</v>
      </c>
      <c r="G276" s="878">
        <v>220</v>
      </c>
      <c r="H276" s="878">
        <v>129</v>
      </c>
      <c r="I276" s="878">
        <v>175</v>
      </c>
      <c r="J276" s="878">
        <v>176</v>
      </c>
      <c r="K276" s="878">
        <v>209</v>
      </c>
      <c r="L276" s="878">
        <v>151</v>
      </c>
      <c r="M276" s="878">
        <v>244</v>
      </c>
      <c r="N276" s="878">
        <v>138</v>
      </c>
      <c r="O276" s="874">
        <f>C276+D276+E276+F276+G276+H276+I276+J276+K276+L276+M276+N276</f>
        <v>2008</v>
      </c>
      <c r="P276" s="874"/>
      <c r="Q276" s="875"/>
      <c r="R276" s="877" t="s">
        <v>507</v>
      </c>
      <c r="S276" s="875"/>
      <c r="T276" s="874"/>
      <c r="U276" s="874">
        <f t="shared" si="106"/>
        <v>455</v>
      </c>
      <c r="V276" s="874">
        <f t="shared" si="107"/>
        <v>460</v>
      </c>
      <c r="W276" s="874">
        <f t="shared" si="108"/>
        <v>560</v>
      </c>
      <c r="X276" s="874">
        <f t="shared" si="109"/>
        <v>533</v>
      </c>
      <c r="Y276" s="873">
        <f t="shared" si="110"/>
        <v>2008</v>
      </c>
    </row>
    <row r="277" spans="1:25" x14ac:dyDescent="0.2">
      <c r="A277" s="905" t="s">
        <v>417</v>
      </c>
      <c r="C277" s="878">
        <v>0</v>
      </c>
      <c r="D277" s="878">
        <v>0</v>
      </c>
      <c r="E277" s="878">
        <v>0</v>
      </c>
      <c r="F277" s="160">
        <v>0</v>
      </c>
      <c r="G277" s="160">
        <v>0</v>
      </c>
      <c r="H277" s="160">
        <v>0</v>
      </c>
      <c r="I277" s="160">
        <v>0</v>
      </c>
      <c r="J277" s="160">
        <v>0</v>
      </c>
      <c r="K277" s="160">
        <v>0</v>
      </c>
      <c r="L277" s="160">
        <v>0</v>
      </c>
      <c r="M277" s="160">
        <v>0</v>
      </c>
      <c r="N277" s="160">
        <v>0</v>
      </c>
      <c r="O277" s="874">
        <f>C277+D277+E277+F277+G277+H277+I277+J277+K277+L277+M277+N277</f>
        <v>0</v>
      </c>
      <c r="P277" s="874"/>
      <c r="Q277" s="875"/>
      <c r="R277" s="877" t="s">
        <v>507</v>
      </c>
      <c r="S277" s="875"/>
      <c r="T277" s="874"/>
      <c r="U277" s="874">
        <f t="shared" si="106"/>
        <v>0</v>
      </c>
      <c r="V277" s="874">
        <f t="shared" si="107"/>
        <v>0</v>
      </c>
      <c r="W277" s="874">
        <f t="shared" si="108"/>
        <v>0</v>
      </c>
      <c r="X277" s="874">
        <f t="shared" si="109"/>
        <v>0</v>
      </c>
      <c r="Y277" s="873">
        <f t="shared" si="110"/>
        <v>0</v>
      </c>
    </row>
    <row r="278" spans="1:25" x14ac:dyDescent="0.2">
      <c r="A278" s="905" t="s">
        <v>435</v>
      </c>
      <c r="C278" s="878">
        <v>0</v>
      </c>
      <c r="D278" s="878">
        <v>0</v>
      </c>
      <c r="E278" s="878">
        <v>0</v>
      </c>
      <c r="F278" s="160">
        <v>0</v>
      </c>
      <c r="G278" s="160">
        <v>0</v>
      </c>
      <c r="H278" s="160">
        <v>0</v>
      </c>
      <c r="I278" s="160">
        <v>0</v>
      </c>
      <c r="J278" s="160">
        <v>0</v>
      </c>
      <c r="K278" s="160">
        <v>0</v>
      </c>
      <c r="L278" s="160">
        <v>0</v>
      </c>
      <c r="M278" s="160">
        <v>0</v>
      </c>
      <c r="N278" s="160">
        <v>0</v>
      </c>
      <c r="O278" s="874">
        <f>C278+D278+E278+F278+G278+H278+I278+J278+K278+L278+M278+N278</f>
        <v>0</v>
      </c>
      <c r="P278" s="874"/>
      <c r="Q278" s="875"/>
      <c r="R278" s="877" t="s">
        <v>507</v>
      </c>
      <c r="S278" s="875"/>
      <c r="T278" s="874"/>
      <c r="U278" s="874">
        <f t="shared" si="106"/>
        <v>0</v>
      </c>
      <c r="V278" s="874">
        <f t="shared" si="107"/>
        <v>0</v>
      </c>
      <c r="W278" s="874">
        <f t="shared" si="108"/>
        <v>0</v>
      </c>
      <c r="X278" s="874">
        <f t="shared" si="109"/>
        <v>0</v>
      </c>
      <c r="Y278" s="873">
        <f t="shared" si="110"/>
        <v>0</v>
      </c>
    </row>
    <row r="279" spans="1:25" x14ac:dyDescent="0.2">
      <c r="A279" s="905" t="s">
        <v>225</v>
      </c>
      <c r="C279" s="878">
        <v>0</v>
      </c>
      <c r="D279" s="878">
        <v>0</v>
      </c>
      <c r="E279" s="878">
        <v>0</v>
      </c>
      <c r="F279" s="160">
        <v>0</v>
      </c>
      <c r="G279" s="160">
        <v>0</v>
      </c>
      <c r="H279" s="160">
        <v>0</v>
      </c>
      <c r="I279" s="160">
        <v>0</v>
      </c>
      <c r="J279" s="160">
        <v>0</v>
      </c>
      <c r="K279" s="160">
        <v>0</v>
      </c>
      <c r="L279" s="160">
        <v>0</v>
      </c>
      <c r="M279" s="160">
        <v>0</v>
      </c>
      <c r="N279" s="160">
        <v>0</v>
      </c>
      <c r="O279" s="157">
        <f>SUM(C279:N279)</f>
        <v>0</v>
      </c>
      <c r="P279" s="157"/>
      <c r="Q279" s="875"/>
      <c r="R279" s="877" t="s">
        <v>507</v>
      </c>
      <c r="S279" s="875"/>
      <c r="T279" s="157"/>
      <c r="U279" s="874">
        <f>C279+D279+E279</f>
        <v>0</v>
      </c>
      <c r="V279" s="874">
        <f>F279+G279+H279</f>
        <v>0</v>
      </c>
      <c r="W279" s="874">
        <f>I279+J279+K279</f>
        <v>0</v>
      </c>
      <c r="X279" s="874">
        <f>L279+M279+N279</f>
        <v>0</v>
      </c>
      <c r="Y279" s="873">
        <f>SUM(U279:X279)</f>
        <v>0</v>
      </c>
    </row>
    <row r="280" spans="1:25" ht="3.95" customHeight="1" x14ac:dyDescent="0.2">
      <c r="A280" s="905"/>
      <c r="C280" s="880"/>
      <c r="D280" s="880"/>
      <c r="E280" s="880"/>
      <c r="F280" s="880"/>
      <c r="G280" s="880"/>
      <c r="H280" s="880"/>
      <c r="I280" s="880"/>
      <c r="J280" s="880"/>
      <c r="K280" s="880"/>
      <c r="L280" s="880"/>
      <c r="M280" s="880"/>
      <c r="N280" s="880"/>
      <c r="O280" s="874"/>
      <c r="P280" s="874"/>
      <c r="Q280" s="875"/>
      <c r="R280" s="877"/>
      <c r="S280" s="875"/>
      <c r="T280" s="874"/>
      <c r="U280" s="874"/>
      <c r="V280" s="874"/>
      <c r="W280" s="874"/>
      <c r="X280" s="874"/>
      <c r="Y280" s="873"/>
    </row>
    <row r="281" spans="1:25" ht="12.75" customHeight="1" x14ac:dyDescent="0.2">
      <c r="A281" s="905" t="s">
        <v>228</v>
      </c>
      <c r="C281" s="142">
        <v>0</v>
      </c>
      <c r="D281" s="142">
        <v>0</v>
      </c>
      <c r="E281" s="142">
        <v>0</v>
      </c>
      <c r="F281" s="142">
        <v>0</v>
      </c>
      <c r="G281" s="142">
        <v>0</v>
      </c>
      <c r="H281" s="142">
        <v>0</v>
      </c>
      <c r="I281" s="142">
        <v>0</v>
      </c>
      <c r="J281" s="142">
        <v>0</v>
      </c>
      <c r="K281" s="142">
        <v>0</v>
      </c>
      <c r="L281" s="142">
        <v>0</v>
      </c>
      <c r="M281" s="142">
        <v>0</v>
      </c>
      <c r="N281" s="142">
        <v>0</v>
      </c>
      <c r="O281" s="157">
        <f>SUM(C281:N281)</f>
        <v>0</v>
      </c>
      <c r="P281" s="874"/>
      <c r="Q281" s="875"/>
      <c r="R281" s="887" t="s">
        <v>495</v>
      </c>
      <c r="S281" s="875"/>
      <c r="T281" s="874"/>
      <c r="U281" s="874">
        <f>C281+D281+E281</f>
        <v>0</v>
      </c>
      <c r="V281" s="874">
        <f>F281+G281+H281</f>
        <v>0</v>
      </c>
      <c r="W281" s="874">
        <f>I281+J281+K281</f>
        <v>0</v>
      </c>
      <c r="X281" s="874">
        <f>L281+M281+N281</f>
        <v>0</v>
      </c>
      <c r="Y281" s="873">
        <f>SUM(U281:X281)</f>
        <v>0</v>
      </c>
    </row>
    <row r="282" spans="1:25" ht="12.75" customHeight="1" x14ac:dyDescent="0.2">
      <c r="A282" s="905" t="s">
        <v>311</v>
      </c>
      <c r="C282" s="160">
        <v>37</v>
      </c>
      <c r="D282" s="160">
        <v>15</v>
      </c>
      <c r="E282" s="160">
        <v>46</v>
      </c>
      <c r="F282" s="160">
        <v>106</v>
      </c>
      <c r="G282" s="160">
        <v>186</v>
      </c>
      <c r="H282" s="160">
        <v>254</v>
      </c>
      <c r="I282" s="160">
        <v>6</v>
      </c>
      <c r="J282" s="160">
        <v>97</v>
      </c>
      <c r="K282" s="160">
        <v>180</v>
      </c>
      <c r="L282" s="160">
        <v>257</v>
      </c>
      <c r="M282" s="160">
        <v>200</v>
      </c>
      <c r="N282" s="160">
        <v>192</v>
      </c>
      <c r="O282" s="157">
        <f>SUM(C282:N282)</f>
        <v>1576</v>
      </c>
      <c r="P282" s="874"/>
      <c r="Q282" s="875"/>
      <c r="R282" s="887" t="s">
        <v>495</v>
      </c>
      <c r="S282" s="875"/>
      <c r="T282" s="874"/>
      <c r="U282" s="874">
        <f>C282+D282+E282</f>
        <v>98</v>
      </c>
      <c r="V282" s="874">
        <f>F282+G282+H282</f>
        <v>546</v>
      </c>
      <c r="W282" s="874">
        <f>I282+J282+K282</f>
        <v>283</v>
      </c>
      <c r="X282" s="874">
        <f>L282+M282+N282</f>
        <v>649</v>
      </c>
      <c r="Y282" s="873">
        <f>SUM(U282:X282)</f>
        <v>1576</v>
      </c>
    </row>
    <row r="283" spans="1:25" ht="12.75" customHeight="1" x14ac:dyDescent="0.2">
      <c r="A283" s="905" t="s">
        <v>1007</v>
      </c>
      <c r="B283" s="1003" t="s">
        <v>1221</v>
      </c>
      <c r="C283" s="142">
        <v>22</v>
      </c>
      <c r="D283" s="142">
        <v>9</v>
      </c>
      <c r="E283" s="142">
        <v>28</v>
      </c>
      <c r="F283" s="142">
        <v>64</v>
      </c>
      <c r="G283" s="142">
        <v>113</v>
      </c>
      <c r="H283" s="142">
        <v>154</v>
      </c>
      <c r="I283" s="142">
        <v>4</v>
      </c>
      <c r="J283" s="142">
        <v>59</v>
      </c>
      <c r="K283" s="142">
        <v>109</v>
      </c>
      <c r="L283" s="142">
        <v>156</v>
      </c>
      <c r="M283" s="142">
        <v>121</v>
      </c>
      <c r="N283" s="142">
        <v>116</v>
      </c>
      <c r="O283" s="143">
        <f>SUM(C283:N283)</f>
        <v>955</v>
      </c>
      <c r="P283" s="143"/>
      <c r="Q283" s="875"/>
      <c r="R283" s="887" t="s">
        <v>495</v>
      </c>
      <c r="S283" s="875"/>
      <c r="T283" s="143"/>
      <c r="U283" s="874">
        <f>C283+D283+E283</f>
        <v>59</v>
      </c>
      <c r="V283" s="874">
        <f>F283+G283+H283</f>
        <v>331</v>
      </c>
      <c r="W283" s="874">
        <f>I283+J283+K283</f>
        <v>172</v>
      </c>
      <c r="X283" s="874">
        <f>L283+M283+N283</f>
        <v>393</v>
      </c>
      <c r="Y283" s="873">
        <f>SUM(U283:X283)</f>
        <v>955</v>
      </c>
    </row>
    <row r="284" spans="1:25" ht="12.75" customHeight="1" x14ac:dyDescent="0.2">
      <c r="A284" s="905" t="s">
        <v>1008</v>
      </c>
      <c r="B284" s="1003" t="s">
        <v>1221</v>
      </c>
      <c r="C284" s="142">
        <v>-7</v>
      </c>
      <c r="D284" s="142">
        <v>-6</v>
      </c>
      <c r="E284" s="142">
        <v>-7</v>
      </c>
      <c r="F284" s="142">
        <v>-6</v>
      </c>
      <c r="G284" s="142">
        <v>-7</v>
      </c>
      <c r="H284" s="142">
        <v>-6</v>
      </c>
      <c r="I284" s="142">
        <v>-7</v>
      </c>
      <c r="J284" s="142">
        <v>-6</v>
      </c>
      <c r="K284" s="142">
        <v>-7</v>
      </c>
      <c r="L284" s="142">
        <v>-6</v>
      </c>
      <c r="M284" s="142">
        <v>-7</v>
      </c>
      <c r="N284" s="142">
        <v>-6</v>
      </c>
      <c r="O284" s="143">
        <f>SUM(C284:N284)</f>
        <v>-78</v>
      </c>
      <c r="P284" s="143"/>
      <c r="Q284" s="875"/>
      <c r="R284" s="887" t="s">
        <v>495</v>
      </c>
      <c r="S284" s="875"/>
      <c r="T284" s="143"/>
      <c r="U284" s="874">
        <f>C284+D284+E284</f>
        <v>-20</v>
      </c>
      <c r="V284" s="874">
        <f>F284+G284+H284</f>
        <v>-19</v>
      </c>
      <c r="W284" s="874">
        <f>I284+J284+K284</f>
        <v>-20</v>
      </c>
      <c r="X284" s="874">
        <f>L284+M284+N284</f>
        <v>-19</v>
      </c>
      <c r="Y284" s="873">
        <f>SUM(U284:X284)</f>
        <v>-78</v>
      </c>
    </row>
    <row r="285" spans="1:25" x14ac:dyDescent="0.2">
      <c r="A285" s="905" t="s">
        <v>227</v>
      </c>
      <c r="C285" s="987">
        <f>+OtherInc!C46</f>
        <v>0</v>
      </c>
      <c r="D285" s="987">
        <f>+OtherInc!D46</f>
        <v>0</v>
      </c>
      <c r="E285" s="987">
        <f>+OtherInc!E46</f>
        <v>0</v>
      </c>
      <c r="F285" s="987">
        <f>+OtherInc!F46</f>
        <v>0</v>
      </c>
      <c r="G285" s="987">
        <f>+OtherInc!G46</f>
        <v>0</v>
      </c>
      <c r="H285" s="987">
        <f>+OtherInc!H46</f>
        <v>0</v>
      </c>
      <c r="I285" s="987">
        <f>+OtherInc!I46</f>
        <v>0</v>
      </c>
      <c r="J285" s="987">
        <f>+OtherInc!J46</f>
        <v>0</v>
      </c>
      <c r="K285" s="987">
        <f>+OtherInc!K46</f>
        <v>0</v>
      </c>
      <c r="L285" s="987">
        <f>+OtherInc!L46</f>
        <v>0</v>
      </c>
      <c r="M285" s="987">
        <f>+OtherInc!M46</f>
        <v>0</v>
      </c>
      <c r="N285" s="987">
        <f>+OtherInc!N46</f>
        <v>0</v>
      </c>
      <c r="O285" s="144">
        <f>SUM(C285:N285)</f>
        <v>0</v>
      </c>
      <c r="P285" s="144"/>
      <c r="Q285" s="875"/>
      <c r="R285" s="876" t="s">
        <v>495</v>
      </c>
      <c r="S285" s="875"/>
      <c r="T285" s="144"/>
      <c r="U285" s="919">
        <f>C285+D285+E285</f>
        <v>0</v>
      </c>
      <c r="V285" s="919">
        <f>F285+G285+H285</f>
        <v>0</v>
      </c>
      <c r="W285" s="919">
        <f>I285+J285+K285</f>
        <v>0</v>
      </c>
      <c r="X285" s="919">
        <f>L285+M285+N285</f>
        <v>0</v>
      </c>
      <c r="Y285" s="920">
        <f>SUM(U285:X285)</f>
        <v>0</v>
      </c>
    </row>
    <row r="286" spans="1:25" s="871" customFormat="1" ht="3.95" customHeight="1" x14ac:dyDescent="0.2">
      <c r="Q286" s="882"/>
      <c r="S286" s="882"/>
    </row>
    <row r="287" spans="1:25" s="871" customFormat="1" ht="12.75" customHeight="1" x14ac:dyDescent="0.2">
      <c r="A287" s="909" t="s">
        <v>458</v>
      </c>
      <c r="C287" s="938">
        <f>C239+C243+C256+C263+SUM(C265:C285)</f>
        <v>-9665</v>
      </c>
      <c r="D287" s="938">
        <f t="shared" ref="D287:O287" si="111">D239+D243+D256+D263+SUM(D265:D285)</f>
        <v>-9680</v>
      </c>
      <c r="E287" s="938">
        <f t="shared" si="111"/>
        <v>-9674</v>
      </c>
      <c r="F287" s="938">
        <f t="shared" si="111"/>
        <v>-9631</v>
      </c>
      <c r="G287" s="938">
        <f t="shared" si="111"/>
        <v>-9398</v>
      </c>
      <c r="H287" s="938">
        <f t="shared" si="111"/>
        <v>-9412</v>
      </c>
      <c r="I287" s="938">
        <f t="shared" si="111"/>
        <v>-9732</v>
      </c>
      <c r="J287" s="938">
        <f t="shared" si="111"/>
        <v>-9607</v>
      </c>
      <c r="K287" s="938">
        <f t="shared" si="111"/>
        <v>-9486</v>
      </c>
      <c r="L287" s="938">
        <f t="shared" si="111"/>
        <v>-9474</v>
      </c>
      <c r="M287" s="938">
        <f t="shared" si="111"/>
        <v>-9478</v>
      </c>
      <c r="N287" s="938">
        <f t="shared" si="111"/>
        <v>-9603</v>
      </c>
      <c r="O287" s="938">
        <f t="shared" si="111"/>
        <v>-114840</v>
      </c>
      <c r="P287" s="938"/>
      <c r="Q287" s="882"/>
      <c r="R287" s="879"/>
      <c r="S287" s="882"/>
      <c r="T287" s="938"/>
      <c r="U287" s="938">
        <f>U239+U243+U256+U263+SUM(U265:U285)</f>
        <v>-29019</v>
      </c>
      <c r="V287" s="938">
        <f>V239+V243+V256+V263+SUM(V265:V285)</f>
        <v>-28441</v>
      </c>
      <c r="W287" s="938">
        <f>W239+W243+W256+W263+SUM(W265:W285)</f>
        <v>-28825</v>
      </c>
      <c r="X287" s="938">
        <f>X239+X243+X256+X263+SUM(X265:X285)</f>
        <v>-28555</v>
      </c>
      <c r="Y287" s="938">
        <f>Y239+Y243+Y256+Y263+SUM(Y265:Y285)</f>
        <v>-114840</v>
      </c>
    </row>
    <row r="288" spans="1:25" s="871" customFormat="1" ht="6" customHeight="1" x14ac:dyDescent="0.2">
      <c r="A288" s="909"/>
      <c r="C288" s="938"/>
      <c r="D288" s="938"/>
      <c r="E288" s="938"/>
      <c r="F288" s="938"/>
      <c r="G288" s="938"/>
      <c r="H288" s="938"/>
      <c r="I288" s="938"/>
      <c r="J288" s="938"/>
      <c r="K288" s="938"/>
      <c r="L288" s="938"/>
      <c r="M288" s="938"/>
      <c r="N288" s="938"/>
      <c r="O288" s="938"/>
      <c r="P288" s="938"/>
      <c r="Q288" s="882"/>
      <c r="R288" s="879"/>
      <c r="S288" s="882"/>
      <c r="T288" s="938"/>
      <c r="U288" s="938"/>
      <c r="V288" s="938"/>
      <c r="W288" s="938"/>
      <c r="X288" s="938"/>
      <c r="Y288" s="938"/>
    </row>
    <row r="289" spans="1:25" s="871" customFormat="1" ht="12.75" customHeight="1" x14ac:dyDescent="0.2">
      <c r="A289" s="909" t="s">
        <v>1011</v>
      </c>
      <c r="B289" s="872"/>
      <c r="C289" s="958">
        <f t="shared" ref="C289:O289" si="112">SUM(C212:C213)+C287</f>
        <v>-9665</v>
      </c>
      <c r="D289" s="958">
        <f t="shared" si="112"/>
        <v>-9680</v>
      </c>
      <c r="E289" s="958">
        <f t="shared" si="112"/>
        <v>-9674</v>
      </c>
      <c r="F289" s="958">
        <f t="shared" si="112"/>
        <v>-9631</v>
      </c>
      <c r="G289" s="958">
        <f t="shared" si="112"/>
        <v>-9398</v>
      </c>
      <c r="H289" s="958">
        <f t="shared" si="112"/>
        <v>-9412</v>
      </c>
      <c r="I289" s="958">
        <f t="shared" si="112"/>
        <v>-9732</v>
      </c>
      <c r="J289" s="958">
        <f t="shared" si="112"/>
        <v>-9607</v>
      </c>
      <c r="K289" s="958">
        <f t="shared" si="112"/>
        <v>-9486</v>
      </c>
      <c r="L289" s="958">
        <f t="shared" si="112"/>
        <v>-9474</v>
      </c>
      <c r="M289" s="958">
        <f t="shared" si="112"/>
        <v>-9478</v>
      </c>
      <c r="N289" s="958">
        <f t="shared" si="112"/>
        <v>-9603</v>
      </c>
      <c r="O289" s="958">
        <f t="shared" si="112"/>
        <v>-114840</v>
      </c>
      <c r="P289" s="958"/>
      <c r="Q289" s="889"/>
      <c r="R289" s="879"/>
      <c r="S289" s="889"/>
      <c r="T289" s="958"/>
      <c r="U289" s="958">
        <f>SUM(U212:U213)+U287</f>
        <v>-29019</v>
      </c>
      <c r="V289" s="958">
        <f>SUM(V212:V213)+V287</f>
        <v>-28441</v>
      </c>
      <c r="W289" s="958">
        <f>SUM(W212:W213)+W287</f>
        <v>-28825</v>
      </c>
      <c r="X289" s="958">
        <f>SUM(X212:X213)+X287</f>
        <v>-28555</v>
      </c>
      <c r="Y289" s="958">
        <f>SUM(Y212:Y213)+Y287</f>
        <v>-114840</v>
      </c>
    </row>
    <row r="290" spans="1:25" s="871" customFormat="1" ht="12.75" customHeight="1" x14ac:dyDescent="0.2">
      <c r="A290" s="905" t="s">
        <v>1012</v>
      </c>
      <c r="C290" s="880">
        <f t="shared" ref="C290:N290" si="113">+C289-C212-C249</f>
        <v>-9637</v>
      </c>
      <c r="D290" s="880">
        <f t="shared" si="113"/>
        <v>-9652</v>
      </c>
      <c r="E290" s="880">
        <f t="shared" si="113"/>
        <v>-9646</v>
      </c>
      <c r="F290" s="880">
        <f t="shared" si="113"/>
        <v>-9603</v>
      </c>
      <c r="G290" s="880">
        <f t="shared" si="113"/>
        <v>-9370</v>
      </c>
      <c r="H290" s="880">
        <f t="shared" si="113"/>
        <v>-9384</v>
      </c>
      <c r="I290" s="880">
        <f t="shared" si="113"/>
        <v>-9704</v>
      </c>
      <c r="J290" s="880">
        <f t="shared" si="113"/>
        <v>-9579</v>
      </c>
      <c r="K290" s="880">
        <f t="shared" si="113"/>
        <v>-9458</v>
      </c>
      <c r="L290" s="880">
        <f t="shared" si="113"/>
        <v>-9446</v>
      </c>
      <c r="M290" s="880">
        <f t="shared" si="113"/>
        <v>-9450</v>
      </c>
      <c r="N290" s="880">
        <f t="shared" si="113"/>
        <v>-9575</v>
      </c>
      <c r="O290" s="143">
        <f>SUM(C290:N290)</f>
        <v>-114504</v>
      </c>
      <c r="P290" s="143"/>
      <c r="Q290" s="889"/>
      <c r="S290" s="882"/>
      <c r="T290" s="143"/>
      <c r="U290" s="874">
        <f>C290+D290+E290</f>
        <v>-28935</v>
      </c>
      <c r="V290" s="874">
        <f>F290+G290+H290</f>
        <v>-28357</v>
      </c>
      <c r="W290" s="874">
        <f>I290+J290+K290</f>
        <v>-28741</v>
      </c>
      <c r="X290" s="874">
        <f>L290+M290+N290</f>
        <v>-28471</v>
      </c>
      <c r="Y290" s="873">
        <f>SUM(U290:X290)</f>
        <v>-114504</v>
      </c>
    </row>
    <row r="291" spans="1:25" s="871" customFormat="1" ht="12.75" customHeight="1" x14ac:dyDescent="0.2">
      <c r="A291" s="905" t="s">
        <v>1013</v>
      </c>
      <c r="B291" s="872"/>
      <c r="C291" s="880">
        <f t="shared" ref="C291:N291" si="114">+C212+C249</f>
        <v>-28</v>
      </c>
      <c r="D291" s="880">
        <f t="shared" si="114"/>
        <v>-28</v>
      </c>
      <c r="E291" s="880">
        <f t="shared" si="114"/>
        <v>-28</v>
      </c>
      <c r="F291" s="880">
        <f t="shared" si="114"/>
        <v>-28</v>
      </c>
      <c r="G291" s="880">
        <f t="shared" si="114"/>
        <v>-28</v>
      </c>
      <c r="H291" s="880">
        <f t="shared" si="114"/>
        <v>-28</v>
      </c>
      <c r="I291" s="880">
        <f t="shared" si="114"/>
        <v>-28</v>
      </c>
      <c r="J291" s="880">
        <f t="shared" si="114"/>
        <v>-28</v>
      </c>
      <c r="K291" s="880">
        <f t="shared" si="114"/>
        <v>-28</v>
      </c>
      <c r="L291" s="880">
        <f t="shared" si="114"/>
        <v>-28</v>
      </c>
      <c r="M291" s="880">
        <f t="shared" si="114"/>
        <v>-28</v>
      </c>
      <c r="N291" s="880">
        <f t="shared" si="114"/>
        <v>-28</v>
      </c>
      <c r="O291" s="143">
        <f>SUM(C291:N291)</f>
        <v>-336</v>
      </c>
      <c r="P291" s="143"/>
      <c r="Q291" s="889"/>
      <c r="R291" s="879"/>
      <c r="S291" s="889"/>
      <c r="T291" s="143"/>
      <c r="U291" s="874">
        <f>C291+D291+E291</f>
        <v>-84</v>
      </c>
      <c r="V291" s="874">
        <f>F291+G291+H291</f>
        <v>-84</v>
      </c>
      <c r="W291" s="874">
        <f>I291+J291+K291</f>
        <v>-84</v>
      </c>
      <c r="X291" s="874">
        <f>L291+M291+N291</f>
        <v>-84</v>
      </c>
      <c r="Y291" s="873">
        <f>SUM(U291:X291)</f>
        <v>-336</v>
      </c>
    </row>
    <row r="292" spans="1:25" s="871" customFormat="1" ht="12.75" customHeight="1" x14ac:dyDescent="0.2">
      <c r="A292" s="905"/>
      <c r="B292" s="872"/>
      <c r="C292" s="888"/>
      <c r="D292" s="888"/>
      <c r="E292" s="888"/>
      <c r="F292" s="888"/>
      <c r="G292" s="888"/>
      <c r="H292" s="888"/>
      <c r="I292" s="888"/>
      <c r="J292" s="888"/>
      <c r="K292" s="888"/>
      <c r="L292" s="888"/>
      <c r="M292" s="888"/>
      <c r="N292" s="888"/>
      <c r="O292" s="897"/>
      <c r="P292" s="897"/>
      <c r="Q292" s="889"/>
      <c r="R292" s="879"/>
      <c r="S292" s="889"/>
      <c r="T292" s="897"/>
      <c r="U292" s="897"/>
      <c r="V292" s="897"/>
      <c r="W292" s="897"/>
      <c r="X292" s="897"/>
      <c r="Y292" s="888"/>
    </row>
    <row r="293" spans="1:25" x14ac:dyDescent="0.2">
      <c r="A293" s="903" t="s">
        <v>519</v>
      </c>
      <c r="Q293" s="875"/>
      <c r="R293" s="862"/>
      <c r="S293" s="875"/>
      <c r="T293" s="862"/>
    </row>
    <row r="294" spans="1:25" x14ac:dyDescent="0.2">
      <c r="A294" s="904" t="s">
        <v>621</v>
      </c>
      <c r="C294" s="944">
        <v>191</v>
      </c>
      <c r="D294" s="945">
        <v>192</v>
      </c>
      <c r="E294" s="945">
        <v>192</v>
      </c>
      <c r="F294" s="945">
        <v>191</v>
      </c>
      <c r="G294" s="945">
        <v>192</v>
      </c>
      <c r="H294" s="945">
        <v>192</v>
      </c>
      <c r="I294" s="945">
        <v>191</v>
      </c>
      <c r="J294" s="945">
        <v>192</v>
      </c>
      <c r="K294" s="945">
        <v>192</v>
      </c>
      <c r="L294" s="945">
        <v>191</v>
      </c>
      <c r="M294" s="945">
        <v>192</v>
      </c>
      <c r="N294" s="945">
        <v>192</v>
      </c>
      <c r="O294" s="946">
        <f>SUM(C294:N294)</f>
        <v>2300</v>
      </c>
      <c r="P294" s="968"/>
      <c r="Q294" s="886"/>
      <c r="R294" s="883" t="s">
        <v>422</v>
      </c>
      <c r="S294" s="886"/>
      <c r="T294" s="968"/>
      <c r="U294" s="933">
        <f>C294+D294+E294</f>
        <v>575</v>
      </c>
      <c r="V294" s="934">
        <f>F294+G294+H294</f>
        <v>575</v>
      </c>
      <c r="W294" s="934">
        <f>I294+J294+K294</f>
        <v>575</v>
      </c>
      <c r="X294" s="934">
        <f>L294+M294+N294</f>
        <v>575</v>
      </c>
      <c r="Y294" s="935">
        <f>SUM(U294:X294)</f>
        <v>2300</v>
      </c>
    </row>
    <row r="295" spans="1:25" ht="6" customHeight="1" x14ac:dyDescent="0.2">
      <c r="A295" s="904"/>
      <c r="C295" s="580"/>
      <c r="D295" s="580"/>
      <c r="E295" s="580"/>
      <c r="F295" s="580"/>
      <c r="G295" s="580"/>
      <c r="H295" s="580"/>
      <c r="I295" s="580"/>
      <c r="J295" s="580"/>
      <c r="K295" s="580"/>
      <c r="L295" s="580"/>
      <c r="M295" s="580"/>
      <c r="N295" s="580"/>
      <c r="O295" s="587"/>
      <c r="P295" s="587"/>
      <c r="Q295" s="886"/>
      <c r="R295" s="883"/>
      <c r="S295" s="886"/>
      <c r="T295" s="587"/>
      <c r="U295" s="874"/>
      <c r="V295" s="874"/>
      <c r="W295" s="874"/>
      <c r="X295" s="874"/>
      <c r="Y295" s="873"/>
    </row>
    <row r="296" spans="1:25" x14ac:dyDescent="0.2">
      <c r="A296" s="904" t="s">
        <v>452</v>
      </c>
      <c r="C296" s="947">
        <v>-96</v>
      </c>
      <c r="D296" s="948">
        <v>-96</v>
      </c>
      <c r="E296" s="948">
        <v>-96</v>
      </c>
      <c r="F296" s="948">
        <v>-96</v>
      </c>
      <c r="G296" s="948">
        <v>-96</v>
      </c>
      <c r="H296" s="948">
        <v>-95</v>
      </c>
      <c r="I296" s="948">
        <v>-96</v>
      </c>
      <c r="J296" s="948">
        <v>-96</v>
      </c>
      <c r="K296" s="948">
        <v>-96</v>
      </c>
      <c r="L296" s="948">
        <v>-96</v>
      </c>
      <c r="M296" s="948">
        <v>-96</v>
      </c>
      <c r="N296" s="948">
        <v>-95</v>
      </c>
      <c r="O296" s="949">
        <f>SUM(C296:N296)</f>
        <v>-1150</v>
      </c>
      <c r="P296" s="969"/>
      <c r="Q296" s="875"/>
      <c r="R296" s="877" t="s">
        <v>518</v>
      </c>
      <c r="S296" s="875"/>
      <c r="T296" s="969"/>
      <c r="U296" s="933">
        <f>C296+D296+E296</f>
        <v>-288</v>
      </c>
      <c r="V296" s="934">
        <f>F296+G296+H296</f>
        <v>-287</v>
      </c>
      <c r="W296" s="934">
        <f>I296+J296+K296</f>
        <v>-288</v>
      </c>
      <c r="X296" s="934">
        <f>L296+M296+N296</f>
        <v>-287</v>
      </c>
      <c r="Y296" s="935">
        <f>SUM(U296:X296)</f>
        <v>-1150</v>
      </c>
    </row>
    <row r="297" spans="1:25" ht="6" customHeight="1" x14ac:dyDescent="0.2">
      <c r="A297" s="904"/>
      <c r="C297" s="128"/>
      <c r="D297" s="128"/>
      <c r="E297" s="128"/>
      <c r="F297" s="128"/>
      <c r="G297" s="128"/>
      <c r="H297" s="128"/>
      <c r="I297" s="128"/>
      <c r="J297" s="128"/>
      <c r="K297" s="128"/>
      <c r="L297" s="128"/>
      <c r="M297" s="128"/>
      <c r="N297" s="128"/>
      <c r="O297" s="129"/>
      <c r="P297" s="129"/>
      <c r="Q297" s="875"/>
      <c r="R297" s="877"/>
      <c r="S297" s="875"/>
      <c r="T297" s="129"/>
      <c r="U297" s="874"/>
      <c r="V297" s="874"/>
      <c r="W297" s="874"/>
      <c r="X297" s="874"/>
      <c r="Y297" s="873"/>
    </row>
    <row r="298" spans="1:25" x14ac:dyDescent="0.2">
      <c r="A298" s="904" t="s">
        <v>570</v>
      </c>
      <c r="C298" s="873"/>
      <c r="D298" s="873"/>
      <c r="E298" s="873"/>
      <c r="F298" s="873"/>
      <c r="G298" s="873"/>
      <c r="H298" s="873"/>
      <c r="I298" s="873"/>
      <c r="J298" s="873"/>
      <c r="K298" s="873"/>
      <c r="L298" s="873"/>
      <c r="M298" s="873"/>
      <c r="N298" s="873"/>
      <c r="O298" s="874"/>
      <c r="P298" s="874"/>
      <c r="Q298" s="875"/>
      <c r="R298" s="873"/>
      <c r="S298" s="875"/>
      <c r="T298" s="874"/>
      <c r="U298" s="874"/>
      <c r="V298" s="874"/>
      <c r="W298" s="874"/>
      <c r="X298" s="874"/>
      <c r="Y298" s="873"/>
    </row>
    <row r="299" spans="1:25" x14ac:dyDescent="0.2">
      <c r="A299" s="905" t="s">
        <v>598</v>
      </c>
      <c r="C299" s="878">
        <v>-1156</v>
      </c>
      <c r="D299" s="878">
        <v>-1185</v>
      </c>
      <c r="E299" s="878">
        <v>-1188</v>
      </c>
      <c r="F299" s="878">
        <v>-1177</v>
      </c>
      <c r="G299" s="878">
        <v>-1203</v>
      </c>
      <c r="H299" s="878">
        <v>-1197</v>
      </c>
      <c r="I299" s="878">
        <v>-1182</v>
      </c>
      <c r="J299" s="878">
        <v>-1208</v>
      </c>
      <c r="K299" s="878">
        <v>-1193</v>
      </c>
      <c r="L299" s="878">
        <v>-1177</v>
      </c>
      <c r="M299" s="878">
        <v>-1179</v>
      </c>
      <c r="N299" s="878">
        <v>-1198</v>
      </c>
      <c r="O299" s="751">
        <f>SUM(C299:N299)</f>
        <v>-14243</v>
      </c>
      <c r="P299" s="751"/>
      <c r="Q299" s="875"/>
      <c r="R299" s="876" t="s">
        <v>503</v>
      </c>
      <c r="S299" s="875"/>
      <c r="T299" s="751"/>
      <c r="U299" s="874">
        <f t="shared" ref="U299:U313" si="115">C299+D299+E299</f>
        <v>-3529</v>
      </c>
      <c r="V299" s="874">
        <f t="shared" ref="V299:V313" si="116">F299+G299+H299</f>
        <v>-3577</v>
      </c>
      <c r="W299" s="874">
        <f t="shared" ref="W299:W313" si="117">I299+J299+K299</f>
        <v>-3583</v>
      </c>
      <c r="X299" s="874">
        <f t="shared" ref="X299:X313" si="118">L299+M299+N299</f>
        <v>-3554</v>
      </c>
      <c r="Y299" s="873">
        <f>SUM(U299:X299)</f>
        <v>-14243</v>
      </c>
    </row>
    <row r="300" spans="1:25" x14ac:dyDescent="0.2">
      <c r="A300" s="905" t="s">
        <v>465</v>
      </c>
      <c r="C300" s="878">
        <v>181</v>
      </c>
      <c r="D300" s="878">
        <v>215</v>
      </c>
      <c r="E300" s="878">
        <v>184</v>
      </c>
      <c r="F300" s="878">
        <v>184</v>
      </c>
      <c r="G300" s="878">
        <v>184</v>
      </c>
      <c r="H300" s="878">
        <v>184</v>
      </c>
      <c r="I300" s="878">
        <v>185</v>
      </c>
      <c r="J300" s="878">
        <v>175</v>
      </c>
      <c r="K300" s="878">
        <v>175</v>
      </c>
      <c r="L300" s="878">
        <v>175</v>
      </c>
      <c r="M300" s="878">
        <v>175</v>
      </c>
      <c r="N300" s="878">
        <v>174</v>
      </c>
      <c r="O300" s="751">
        <f t="shared" ref="O300:O308" si="119">SUM(C300:N300)</f>
        <v>2191</v>
      </c>
      <c r="P300" s="751"/>
      <c r="Q300" s="875"/>
      <c r="R300" s="876" t="s">
        <v>503</v>
      </c>
      <c r="S300" s="875"/>
      <c r="T300" s="751"/>
      <c r="U300" s="874">
        <f t="shared" si="115"/>
        <v>580</v>
      </c>
      <c r="V300" s="874">
        <f t="shared" si="116"/>
        <v>552</v>
      </c>
      <c r="W300" s="874">
        <f t="shared" si="117"/>
        <v>535</v>
      </c>
      <c r="X300" s="874">
        <f t="shared" si="118"/>
        <v>524</v>
      </c>
      <c r="Y300" s="873">
        <f t="shared" ref="Y300:Y313" si="120">SUM(U300:X300)</f>
        <v>2191</v>
      </c>
    </row>
    <row r="301" spans="1:25" x14ac:dyDescent="0.2">
      <c r="A301" s="905" t="s">
        <v>439</v>
      </c>
      <c r="C301" s="878">
        <v>0</v>
      </c>
      <c r="D301" s="878">
        <v>0</v>
      </c>
      <c r="E301" s="878">
        <v>0</v>
      </c>
      <c r="F301" s="878">
        <v>0</v>
      </c>
      <c r="G301" s="878">
        <v>0</v>
      </c>
      <c r="H301" s="878">
        <v>0</v>
      </c>
      <c r="I301" s="878">
        <v>0</v>
      </c>
      <c r="J301" s="878">
        <v>0</v>
      </c>
      <c r="K301" s="878">
        <v>0</v>
      </c>
      <c r="L301" s="878">
        <v>0</v>
      </c>
      <c r="M301" s="878">
        <v>0</v>
      </c>
      <c r="N301" s="878">
        <v>0</v>
      </c>
      <c r="O301" s="751">
        <f t="shared" si="119"/>
        <v>0</v>
      </c>
      <c r="P301" s="751"/>
      <c r="Q301" s="875"/>
      <c r="R301" s="876" t="s">
        <v>503</v>
      </c>
      <c r="S301" s="875"/>
      <c r="T301" s="751"/>
      <c r="U301" s="874">
        <f t="shared" si="115"/>
        <v>0</v>
      </c>
      <c r="V301" s="874">
        <f t="shared" si="116"/>
        <v>0</v>
      </c>
      <c r="W301" s="874">
        <f t="shared" si="117"/>
        <v>0</v>
      </c>
      <c r="X301" s="874">
        <f t="shared" si="118"/>
        <v>0</v>
      </c>
      <c r="Y301" s="873">
        <f t="shared" si="120"/>
        <v>0</v>
      </c>
    </row>
    <row r="302" spans="1:25" x14ac:dyDescent="0.2">
      <c r="A302" s="905" t="s">
        <v>466</v>
      </c>
      <c r="C302" s="878">
        <v>0</v>
      </c>
      <c r="D302" s="878">
        <v>0</v>
      </c>
      <c r="E302" s="878">
        <v>0</v>
      </c>
      <c r="F302" s="878">
        <v>0</v>
      </c>
      <c r="G302" s="878">
        <v>0</v>
      </c>
      <c r="H302" s="878">
        <v>0</v>
      </c>
      <c r="I302" s="878">
        <v>0</v>
      </c>
      <c r="J302" s="878">
        <v>0</v>
      </c>
      <c r="K302" s="878">
        <v>0</v>
      </c>
      <c r="L302" s="878">
        <v>0</v>
      </c>
      <c r="M302" s="878">
        <v>0</v>
      </c>
      <c r="N302" s="878">
        <v>0</v>
      </c>
      <c r="O302" s="751">
        <f t="shared" si="119"/>
        <v>0</v>
      </c>
      <c r="P302" s="751"/>
      <c r="Q302" s="875"/>
      <c r="R302" s="876" t="s">
        <v>503</v>
      </c>
      <c r="S302" s="875"/>
      <c r="T302" s="751"/>
      <c r="U302" s="874">
        <f t="shared" si="115"/>
        <v>0</v>
      </c>
      <c r="V302" s="874">
        <f t="shared" si="116"/>
        <v>0</v>
      </c>
      <c r="W302" s="874">
        <f t="shared" si="117"/>
        <v>0</v>
      </c>
      <c r="X302" s="874">
        <f t="shared" si="118"/>
        <v>0</v>
      </c>
      <c r="Y302" s="873">
        <f t="shared" si="120"/>
        <v>0</v>
      </c>
    </row>
    <row r="303" spans="1:25" x14ac:dyDescent="0.2">
      <c r="A303" s="905" t="s">
        <v>467</v>
      </c>
      <c r="C303" s="878">
        <v>0</v>
      </c>
      <c r="D303" s="878">
        <v>0</v>
      </c>
      <c r="E303" s="878">
        <v>0</v>
      </c>
      <c r="F303" s="878">
        <v>0</v>
      </c>
      <c r="G303" s="878">
        <v>0</v>
      </c>
      <c r="H303" s="878">
        <v>0</v>
      </c>
      <c r="I303" s="878">
        <v>0</v>
      </c>
      <c r="J303" s="878">
        <v>0</v>
      </c>
      <c r="K303" s="878">
        <v>0</v>
      </c>
      <c r="L303" s="878">
        <v>0</v>
      </c>
      <c r="M303" s="878">
        <v>0</v>
      </c>
      <c r="N303" s="878">
        <v>0</v>
      </c>
      <c r="O303" s="751">
        <f t="shared" si="119"/>
        <v>0</v>
      </c>
      <c r="P303" s="751"/>
      <c r="Q303" s="875"/>
      <c r="R303" s="876" t="s">
        <v>503</v>
      </c>
      <c r="S303" s="875"/>
      <c r="T303" s="751"/>
      <c r="U303" s="874">
        <f t="shared" si="115"/>
        <v>0</v>
      </c>
      <c r="V303" s="874">
        <f t="shared" si="116"/>
        <v>0</v>
      </c>
      <c r="W303" s="874">
        <f t="shared" si="117"/>
        <v>0</v>
      </c>
      <c r="X303" s="874">
        <f t="shared" si="118"/>
        <v>0</v>
      </c>
      <c r="Y303" s="873">
        <f t="shared" si="120"/>
        <v>0</v>
      </c>
    </row>
    <row r="304" spans="1:25" x14ac:dyDescent="0.2">
      <c r="A304" s="905" t="s">
        <v>468</v>
      </c>
      <c r="C304" s="878">
        <v>-259</v>
      </c>
      <c r="D304" s="878">
        <v>-272</v>
      </c>
      <c r="E304" s="878">
        <v>-262</v>
      </c>
      <c r="F304" s="878">
        <v>-262</v>
      </c>
      <c r="G304" s="878">
        <v>-317</v>
      </c>
      <c r="H304" s="878">
        <v>-262</v>
      </c>
      <c r="I304" s="878">
        <v>-262</v>
      </c>
      <c r="J304" s="878">
        <v>-262</v>
      </c>
      <c r="K304" s="878">
        <v>-262</v>
      </c>
      <c r="L304" s="878">
        <v>-262</v>
      </c>
      <c r="M304" s="878">
        <v>-262</v>
      </c>
      <c r="N304" s="878">
        <v>-262</v>
      </c>
      <c r="O304" s="751">
        <f t="shared" si="119"/>
        <v>-3206</v>
      </c>
      <c r="P304" s="751"/>
      <c r="Q304" s="875"/>
      <c r="R304" s="876" t="s">
        <v>503</v>
      </c>
      <c r="S304" s="875"/>
      <c r="T304" s="751"/>
      <c r="U304" s="874">
        <f t="shared" si="115"/>
        <v>-793</v>
      </c>
      <c r="V304" s="874">
        <f t="shared" si="116"/>
        <v>-841</v>
      </c>
      <c r="W304" s="874">
        <f t="shared" si="117"/>
        <v>-786</v>
      </c>
      <c r="X304" s="874">
        <f t="shared" si="118"/>
        <v>-786</v>
      </c>
      <c r="Y304" s="873">
        <f t="shared" si="120"/>
        <v>-3206</v>
      </c>
    </row>
    <row r="305" spans="1:25" x14ac:dyDescent="0.2">
      <c r="A305" s="905" t="s">
        <v>444</v>
      </c>
      <c r="C305" s="878">
        <v>56</v>
      </c>
      <c r="D305" s="878">
        <v>56</v>
      </c>
      <c r="E305" s="878">
        <v>56</v>
      </c>
      <c r="F305" s="878">
        <v>56</v>
      </c>
      <c r="G305" s="878">
        <v>56</v>
      </c>
      <c r="H305" s="878">
        <v>56</v>
      </c>
      <c r="I305" s="878">
        <v>56</v>
      </c>
      <c r="J305" s="878">
        <v>56</v>
      </c>
      <c r="K305" s="878">
        <v>56</v>
      </c>
      <c r="L305" s="878">
        <v>56</v>
      </c>
      <c r="M305" s="878">
        <v>56</v>
      </c>
      <c r="N305" s="878">
        <v>55</v>
      </c>
      <c r="O305" s="751">
        <f t="shared" si="119"/>
        <v>671</v>
      </c>
      <c r="P305" s="751"/>
      <c r="Q305" s="875"/>
      <c r="R305" s="876" t="s">
        <v>503</v>
      </c>
      <c r="S305" s="875"/>
      <c r="T305" s="751"/>
      <c r="U305" s="874">
        <f t="shared" si="115"/>
        <v>168</v>
      </c>
      <c r="V305" s="874">
        <f t="shared" si="116"/>
        <v>168</v>
      </c>
      <c r="W305" s="874">
        <f t="shared" si="117"/>
        <v>168</v>
      </c>
      <c r="X305" s="874">
        <f t="shared" si="118"/>
        <v>167</v>
      </c>
      <c r="Y305" s="873">
        <f t="shared" si="120"/>
        <v>671</v>
      </c>
    </row>
    <row r="306" spans="1:25" x14ac:dyDescent="0.2">
      <c r="A306" s="905" t="s">
        <v>469</v>
      </c>
      <c r="C306" s="878">
        <f>0</f>
        <v>0</v>
      </c>
      <c r="D306" s="878">
        <f>0</f>
        <v>0</v>
      </c>
      <c r="E306" s="878">
        <f>0</f>
        <v>0</v>
      </c>
      <c r="F306" s="878">
        <f>0</f>
        <v>0</v>
      </c>
      <c r="G306" s="878">
        <f>0</f>
        <v>0</v>
      </c>
      <c r="H306" s="878">
        <f>0</f>
        <v>0</v>
      </c>
      <c r="I306" s="878">
        <f>0</f>
        <v>0</v>
      </c>
      <c r="J306" s="878">
        <f>0</f>
        <v>0</v>
      </c>
      <c r="K306" s="878">
        <f>0</f>
        <v>0</v>
      </c>
      <c r="L306" s="878">
        <f>0</f>
        <v>0</v>
      </c>
      <c r="M306" s="878">
        <f>0</f>
        <v>0</v>
      </c>
      <c r="N306" s="878">
        <f>0</f>
        <v>0</v>
      </c>
      <c r="O306" s="751">
        <f t="shared" si="119"/>
        <v>0</v>
      </c>
      <c r="P306" s="751"/>
      <c r="Q306" s="875"/>
      <c r="R306" s="876" t="s">
        <v>503</v>
      </c>
      <c r="S306" s="875"/>
      <c r="T306" s="751"/>
      <c r="U306" s="874">
        <f t="shared" si="115"/>
        <v>0</v>
      </c>
      <c r="V306" s="874">
        <f t="shared" si="116"/>
        <v>0</v>
      </c>
      <c r="W306" s="874">
        <f t="shared" si="117"/>
        <v>0</v>
      </c>
      <c r="X306" s="874">
        <f t="shared" si="118"/>
        <v>0</v>
      </c>
      <c r="Y306" s="873">
        <f t="shared" si="120"/>
        <v>0</v>
      </c>
    </row>
    <row r="307" spans="1:25" x14ac:dyDescent="0.2">
      <c r="A307" s="905" t="s">
        <v>470</v>
      </c>
      <c r="C307" s="878">
        <v>0</v>
      </c>
      <c r="D307" s="878">
        <v>0</v>
      </c>
      <c r="E307" s="878">
        <v>0</v>
      </c>
      <c r="F307" s="878">
        <v>0</v>
      </c>
      <c r="G307" s="878">
        <v>0</v>
      </c>
      <c r="H307" s="878">
        <v>0</v>
      </c>
      <c r="I307" s="878">
        <v>0</v>
      </c>
      <c r="J307" s="878">
        <v>0</v>
      </c>
      <c r="K307" s="878">
        <v>0</v>
      </c>
      <c r="L307" s="878">
        <v>0</v>
      </c>
      <c r="M307" s="878">
        <v>0</v>
      </c>
      <c r="N307" s="878">
        <v>0</v>
      </c>
      <c r="O307" s="751">
        <f t="shared" si="119"/>
        <v>0</v>
      </c>
      <c r="P307" s="751"/>
      <c r="Q307" s="875"/>
      <c r="R307" s="876" t="s">
        <v>503</v>
      </c>
      <c r="S307" s="875"/>
      <c r="T307" s="751"/>
      <c r="U307" s="874">
        <f>C307+D307+E307</f>
        <v>0</v>
      </c>
      <c r="V307" s="874">
        <f>F307+G307+H307</f>
        <v>0</v>
      </c>
      <c r="W307" s="874">
        <f>I307+J307+K307</f>
        <v>0</v>
      </c>
      <c r="X307" s="874">
        <f>L307+M307+N307</f>
        <v>0</v>
      </c>
      <c r="Y307" s="873">
        <f t="shared" si="120"/>
        <v>0</v>
      </c>
    </row>
    <row r="308" spans="1:25" s="871" customFormat="1" ht="12.75" customHeight="1" x14ac:dyDescent="0.2">
      <c r="A308" s="907" t="s">
        <v>471</v>
      </c>
      <c r="C308" s="835">
        <v>-203</v>
      </c>
      <c r="D308" s="835">
        <v>-203</v>
      </c>
      <c r="E308" s="835">
        <v>-204</v>
      </c>
      <c r="F308" s="835">
        <v>-203</v>
      </c>
      <c r="G308" s="835">
        <v>-204</v>
      </c>
      <c r="H308" s="835">
        <v>-204</v>
      </c>
      <c r="I308" s="835">
        <v>-204</v>
      </c>
      <c r="J308" s="835">
        <v>-203</v>
      </c>
      <c r="K308" s="835">
        <v>-204</v>
      </c>
      <c r="L308" s="835">
        <v>-203</v>
      </c>
      <c r="M308" s="835">
        <v>-204</v>
      </c>
      <c r="N308" s="835">
        <v>-203</v>
      </c>
      <c r="O308" s="756">
        <f t="shared" si="119"/>
        <v>-2442</v>
      </c>
      <c r="P308" s="751"/>
      <c r="Q308" s="882"/>
      <c r="R308" s="876" t="s">
        <v>503</v>
      </c>
      <c r="S308" s="882"/>
      <c r="T308" s="751"/>
      <c r="U308" s="939">
        <f>C308+D308+E308</f>
        <v>-610</v>
      </c>
      <c r="V308" s="939">
        <f>F308+G308+H308</f>
        <v>-611</v>
      </c>
      <c r="W308" s="939">
        <f>I308+J308+K308</f>
        <v>-611</v>
      </c>
      <c r="X308" s="939">
        <f>L308+M308+N308</f>
        <v>-610</v>
      </c>
      <c r="Y308" s="920">
        <f t="shared" si="120"/>
        <v>-2442</v>
      </c>
    </row>
    <row r="309" spans="1:25" s="871" customFormat="1" ht="12.75" customHeight="1" x14ac:dyDescent="0.2">
      <c r="A309" s="905" t="s">
        <v>449</v>
      </c>
      <c r="C309" s="880">
        <f>SUM(C299:C308)</f>
        <v>-1381</v>
      </c>
      <c r="D309" s="880">
        <f t="shared" ref="D309:O309" si="121">SUM(D299:D308)</f>
        <v>-1389</v>
      </c>
      <c r="E309" s="880">
        <f t="shared" si="121"/>
        <v>-1414</v>
      </c>
      <c r="F309" s="880">
        <f t="shared" si="121"/>
        <v>-1402</v>
      </c>
      <c r="G309" s="880">
        <f t="shared" si="121"/>
        <v>-1484</v>
      </c>
      <c r="H309" s="880">
        <f t="shared" si="121"/>
        <v>-1423</v>
      </c>
      <c r="I309" s="880">
        <f t="shared" si="121"/>
        <v>-1407</v>
      </c>
      <c r="J309" s="880">
        <f t="shared" si="121"/>
        <v>-1442</v>
      </c>
      <c r="K309" s="880">
        <f t="shared" si="121"/>
        <v>-1428</v>
      </c>
      <c r="L309" s="880">
        <f t="shared" si="121"/>
        <v>-1411</v>
      </c>
      <c r="M309" s="880">
        <f t="shared" si="121"/>
        <v>-1414</v>
      </c>
      <c r="N309" s="880">
        <f t="shared" si="121"/>
        <v>-1434</v>
      </c>
      <c r="O309" s="880">
        <f t="shared" si="121"/>
        <v>-17029</v>
      </c>
      <c r="P309" s="751"/>
      <c r="Q309" s="882"/>
      <c r="R309" s="876"/>
      <c r="S309" s="882"/>
      <c r="T309" s="751"/>
      <c r="U309" s="880">
        <f>SUM(U299:U308)</f>
        <v>-4184</v>
      </c>
      <c r="V309" s="880">
        <f>SUM(V299:V308)</f>
        <v>-4309</v>
      </c>
      <c r="W309" s="880">
        <f>SUM(W299:W308)</f>
        <v>-4277</v>
      </c>
      <c r="X309" s="880">
        <f>SUM(X299:X308)</f>
        <v>-4259</v>
      </c>
      <c r="Y309" s="880">
        <f>SUM(Y299:Y308)</f>
        <v>-17029</v>
      </c>
    </row>
    <row r="310" spans="1:25" s="871" customFormat="1" ht="3.95" customHeight="1" x14ac:dyDescent="0.2">
      <c r="A310" s="907"/>
      <c r="C310" s="950"/>
      <c r="D310" s="950"/>
      <c r="E310" s="950"/>
      <c r="F310" s="950"/>
      <c r="G310" s="950"/>
      <c r="H310" s="950"/>
      <c r="I310" s="950"/>
      <c r="J310" s="950"/>
      <c r="K310" s="950"/>
      <c r="L310" s="950"/>
      <c r="M310" s="950"/>
      <c r="N310" s="950"/>
      <c r="O310" s="751"/>
      <c r="P310" s="751"/>
      <c r="Q310" s="882"/>
      <c r="R310" s="876"/>
      <c r="S310" s="882"/>
      <c r="T310" s="751"/>
      <c r="U310" s="896"/>
      <c r="V310" s="896"/>
      <c r="W310" s="896"/>
      <c r="X310" s="896"/>
      <c r="Y310" s="873"/>
    </row>
    <row r="311" spans="1:25" s="871" customFormat="1" ht="12.75" customHeight="1" x14ac:dyDescent="0.2">
      <c r="A311" s="905" t="s">
        <v>1150</v>
      </c>
      <c r="B311" s="862"/>
      <c r="C311" s="683">
        <f>-90+90</f>
        <v>0</v>
      </c>
      <c r="D311" s="683">
        <f>-90+90</f>
        <v>0</v>
      </c>
      <c r="E311" s="683">
        <f>-91+91</f>
        <v>0</v>
      </c>
      <c r="F311" s="683">
        <f>-90+90</f>
        <v>0</v>
      </c>
      <c r="G311" s="683">
        <f>-90+90</f>
        <v>0</v>
      </c>
      <c r="H311" s="683">
        <f>-91+91</f>
        <v>0</v>
      </c>
      <c r="I311" s="683">
        <f>-90+90</f>
        <v>0</v>
      </c>
      <c r="J311" s="683">
        <f>-90+90</f>
        <v>0</v>
      </c>
      <c r="K311" s="683">
        <f>-91+91</f>
        <v>0</v>
      </c>
      <c r="L311" s="683">
        <f>-90+90</f>
        <v>0</v>
      </c>
      <c r="M311" s="683">
        <f>-90+90</f>
        <v>0</v>
      </c>
      <c r="N311" s="683">
        <f>-91+91</f>
        <v>0</v>
      </c>
      <c r="O311" s="129">
        <f>SUM(C311:N311)</f>
        <v>0</v>
      </c>
      <c r="P311" s="129"/>
      <c r="Q311" s="875"/>
      <c r="R311" s="877" t="s">
        <v>518</v>
      </c>
      <c r="S311" s="875"/>
      <c r="T311" s="129"/>
      <c r="U311" s="874">
        <f>C311+D311+E311</f>
        <v>0</v>
      </c>
      <c r="V311" s="874">
        <f>F311+G311+H311</f>
        <v>0</v>
      </c>
      <c r="W311" s="874">
        <f>I311+J311+K311</f>
        <v>0</v>
      </c>
      <c r="X311" s="874">
        <f>L311+M311+N311</f>
        <v>0</v>
      </c>
      <c r="Y311" s="873">
        <f>SUM(U311:X311)</f>
        <v>0</v>
      </c>
    </row>
    <row r="312" spans="1:25" s="871" customFormat="1" ht="3.95" customHeight="1" x14ac:dyDescent="0.2">
      <c r="A312" s="907"/>
      <c r="C312" s="950"/>
      <c r="D312" s="950"/>
      <c r="E312" s="950"/>
      <c r="F312" s="950"/>
      <c r="G312" s="950"/>
      <c r="H312" s="950"/>
      <c r="I312" s="950"/>
      <c r="J312" s="950"/>
      <c r="K312" s="950"/>
      <c r="L312" s="950"/>
      <c r="M312" s="950"/>
      <c r="N312" s="950"/>
      <c r="O312" s="751"/>
      <c r="P312" s="751"/>
      <c r="Q312" s="882"/>
      <c r="R312" s="876"/>
      <c r="S312" s="882"/>
      <c r="T312" s="751"/>
      <c r="U312" s="896"/>
      <c r="V312" s="896"/>
      <c r="W312" s="896"/>
      <c r="X312" s="896"/>
      <c r="Y312" s="873"/>
    </row>
    <row r="313" spans="1:25" x14ac:dyDescent="0.2">
      <c r="A313" s="905" t="s">
        <v>604</v>
      </c>
      <c r="C313" s="128">
        <v>-53</v>
      </c>
      <c r="D313" s="128">
        <v>-127</v>
      </c>
      <c r="E313" s="128">
        <v>-53</v>
      </c>
      <c r="F313" s="128">
        <v>-53</v>
      </c>
      <c r="G313" s="128">
        <v>-53</v>
      </c>
      <c r="H313" s="128">
        <v>-54</v>
      </c>
      <c r="I313" s="128">
        <v>-53</v>
      </c>
      <c r="J313" s="128">
        <v>-53</v>
      </c>
      <c r="K313" s="128">
        <v>-53</v>
      </c>
      <c r="L313" s="128">
        <v>-53</v>
      </c>
      <c r="M313" s="128">
        <v>-53</v>
      </c>
      <c r="N313" s="128">
        <v>-54</v>
      </c>
      <c r="O313" s="129">
        <f>SUM(C313:N313)</f>
        <v>-712</v>
      </c>
      <c r="P313" s="129"/>
      <c r="Q313" s="875"/>
      <c r="R313" s="877" t="s">
        <v>504</v>
      </c>
      <c r="S313" s="875"/>
      <c r="T313" s="129"/>
      <c r="U313" s="874">
        <f t="shared" si="115"/>
        <v>-233</v>
      </c>
      <c r="V313" s="874">
        <f t="shared" si="116"/>
        <v>-160</v>
      </c>
      <c r="W313" s="874">
        <f t="shared" si="117"/>
        <v>-159</v>
      </c>
      <c r="X313" s="874">
        <f t="shared" si="118"/>
        <v>-160</v>
      </c>
      <c r="Y313" s="873">
        <f t="shared" si="120"/>
        <v>-712</v>
      </c>
    </row>
    <row r="314" spans="1:25" ht="3.95" customHeight="1" x14ac:dyDescent="0.2">
      <c r="A314" s="905"/>
      <c r="C314" s="128"/>
      <c r="D314" s="128"/>
      <c r="E314" s="128"/>
      <c r="F314" s="128"/>
      <c r="G314" s="128"/>
      <c r="H314" s="128"/>
      <c r="I314" s="128"/>
      <c r="J314" s="128"/>
      <c r="K314" s="128"/>
      <c r="L314" s="128"/>
      <c r="M314" s="128"/>
      <c r="N314" s="128"/>
      <c r="O314" s="129"/>
      <c r="P314" s="129"/>
      <c r="Q314" s="875"/>
      <c r="R314" s="877"/>
      <c r="S314" s="875"/>
      <c r="T314" s="129"/>
      <c r="U314" s="874"/>
      <c r="V314" s="874"/>
      <c r="W314" s="874"/>
      <c r="X314" s="874"/>
      <c r="Y314" s="873"/>
    </row>
    <row r="315" spans="1:25" s="871" customFormat="1" ht="12.75" customHeight="1" x14ac:dyDescent="0.2">
      <c r="A315" s="925" t="s">
        <v>606</v>
      </c>
      <c r="C315" s="922">
        <f>SUM(C309:C313)</f>
        <v>-1434</v>
      </c>
      <c r="D315" s="923">
        <f>SUM(D309:D313)</f>
        <v>-1516</v>
      </c>
      <c r="E315" s="923">
        <f t="shared" ref="E315:O315" si="122">SUM(E309:E313)</f>
        <v>-1467</v>
      </c>
      <c r="F315" s="923">
        <f t="shared" si="122"/>
        <v>-1455</v>
      </c>
      <c r="G315" s="923">
        <f t="shared" si="122"/>
        <v>-1537</v>
      </c>
      <c r="H315" s="923">
        <f t="shared" si="122"/>
        <v>-1477</v>
      </c>
      <c r="I315" s="923">
        <f t="shared" si="122"/>
        <v>-1460</v>
      </c>
      <c r="J315" s="923">
        <f t="shared" si="122"/>
        <v>-1495</v>
      </c>
      <c r="K315" s="923">
        <f t="shared" si="122"/>
        <v>-1481</v>
      </c>
      <c r="L315" s="923">
        <f t="shared" si="122"/>
        <v>-1464</v>
      </c>
      <c r="M315" s="923">
        <f t="shared" si="122"/>
        <v>-1467</v>
      </c>
      <c r="N315" s="923">
        <f t="shared" si="122"/>
        <v>-1488</v>
      </c>
      <c r="O315" s="924">
        <f t="shared" si="122"/>
        <v>-17741</v>
      </c>
      <c r="P315" s="896"/>
      <c r="Q315" s="886"/>
      <c r="R315" s="880"/>
      <c r="S315" s="886"/>
      <c r="T315" s="896"/>
      <c r="U315" s="922">
        <f>SUM(U309:U313)</f>
        <v>-4417</v>
      </c>
      <c r="V315" s="923">
        <f>SUM(V309:V313)</f>
        <v>-4469</v>
      </c>
      <c r="W315" s="923">
        <f>SUM(W309:W313)</f>
        <v>-4436</v>
      </c>
      <c r="X315" s="923">
        <f>SUM(X309:X313)</f>
        <v>-4419</v>
      </c>
      <c r="Y315" s="924">
        <f>SUM(Y309:Y313)</f>
        <v>-17741</v>
      </c>
    </row>
    <row r="316" spans="1:25" s="871" customFormat="1" ht="12.75" customHeight="1" x14ac:dyDescent="0.2">
      <c r="A316" s="925"/>
      <c r="C316" s="879"/>
      <c r="D316" s="879"/>
      <c r="E316" s="879"/>
      <c r="F316" s="879"/>
      <c r="G316" s="879"/>
      <c r="H316" s="879"/>
      <c r="I316" s="879"/>
      <c r="J316" s="879"/>
      <c r="K316" s="879"/>
      <c r="L316" s="879"/>
      <c r="M316" s="879"/>
      <c r="N316" s="879"/>
      <c r="O316" s="881"/>
      <c r="P316" s="881"/>
      <c r="Q316" s="882"/>
      <c r="R316" s="879"/>
      <c r="S316" s="882"/>
      <c r="T316" s="881"/>
      <c r="U316" s="881"/>
      <c r="V316" s="881"/>
      <c r="W316" s="881"/>
      <c r="X316" s="881"/>
      <c r="Y316" s="879"/>
    </row>
    <row r="317" spans="1:25" s="871" customFormat="1" ht="12.75" customHeight="1" x14ac:dyDescent="0.2">
      <c r="A317" s="912" t="s">
        <v>520</v>
      </c>
      <c r="B317" s="872"/>
      <c r="C317" s="929">
        <f t="shared" ref="C317:O317" si="123">+C294+C296+C315</f>
        <v>-1339</v>
      </c>
      <c r="D317" s="930">
        <f t="shared" si="123"/>
        <v>-1420</v>
      </c>
      <c r="E317" s="930">
        <f t="shared" si="123"/>
        <v>-1371</v>
      </c>
      <c r="F317" s="930">
        <f t="shared" si="123"/>
        <v>-1360</v>
      </c>
      <c r="G317" s="930">
        <f t="shared" si="123"/>
        <v>-1441</v>
      </c>
      <c r="H317" s="930">
        <f t="shared" si="123"/>
        <v>-1380</v>
      </c>
      <c r="I317" s="930">
        <f t="shared" si="123"/>
        <v>-1365</v>
      </c>
      <c r="J317" s="930">
        <f t="shared" si="123"/>
        <v>-1399</v>
      </c>
      <c r="K317" s="930">
        <f t="shared" si="123"/>
        <v>-1385</v>
      </c>
      <c r="L317" s="930">
        <f t="shared" si="123"/>
        <v>-1369</v>
      </c>
      <c r="M317" s="930">
        <f t="shared" si="123"/>
        <v>-1371</v>
      </c>
      <c r="N317" s="930">
        <f t="shared" si="123"/>
        <v>-1391</v>
      </c>
      <c r="O317" s="931">
        <f t="shared" si="123"/>
        <v>-16591</v>
      </c>
      <c r="P317" s="898"/>
      <c r="Q317" s="889"/>
      <c r="R317" s="879"/>
      <c r="S317" s="889"/>
      <c r="T317" s="898"/>
      <c r="U317" s="929">
        <f>+U294+U296+U315</f>
        <v>-4130</v>
      </c>
      <c r="V317" s="930">
        <f>+V294+V296+V315</f>
        <v>-4181</v>
      </c>
      <c r="W317" s="930">
        <f>+W294+W296+W315</f>
        <v>-4149</v>
      </c>
      <c r="X317" s="930">
        <f>+X294+X296+X315</f>
        <v>-4131</v>
      </c>
      <c r="Y317" s="931">
        <f>+Y294+Y296+Y315</f>
        <v>-16591</v>
      </c>
    </row>
    <row r="318" spans="1:25" x14ac:dyDescent="0.2">
      <c r="A318" s="906"/>
      <c r="C318" s="873"/>
      <c r="D318" s="873"/>
      <c r="E318" s="873"/>
      <c r="F318" s="873"/>
      <c r="G318" s="873"/>
      <c r="H318" s="873"/>
      <c r="I318" s="873"/>
      <c r="J318" s="873"/>
      <c r="K318" s="873"/>
      <c r="L318" s="873"/>
      <c r="M318" s="873"/>
      <c r="N318" s="873"/>
      <c r="O318" s="874"/>
      <c r="P318" s="874"/>
      <c r="Q318" s="875"/>
      <c r="R318" s="873"/>
      <c r="S318" s="875"/>
      <c r="T318" s="874"/>
      <c r="U318" s="874"/>
      <c r="V318" s="874"/>
      <c r="W318" s="874"/>
      <c r="X318" s="874"/>
      <c r="Y318" s="873"/>
    </row>
    <row r="319" spans="1:25" x14ac:dyDescent="0.2">
      <c r="A319" s="903" t="s">
        <v>521</v>
      </c>
      <c r="C319" s="873"/>
      <c r="D319" s="873"/>
      <c r="E319" s="873"/>
      <c r="F319" s="873"/>
      <c r="G319" s="873"/>
      <c r="H319" s="873"/>
      <c r="I319" s="873"/>
      <c r="J319" s="873"/>
      <c r="K319" s="873"/>
      <c r="L319" s="873"/>
      <c r="M319" s="873"/>
      <c r="N319" s="873"/>
      <c r="O319" s="874"/>
      <c r="P319" s="874"/>
      <c r="Q319" s="875"/>
      <c r="R319" s="873"/>
      <c r="S319" s="875"/>
      <c r="T319" s="874"/>
      <c r="U319" s="874"/>
      <c r="V319" s="874"/>
      <c r="W319" s="874"/>
      <c r="X319" s="874"/>
      <c r="Y319" s="873"/>
    </row>
    <row r="320" spans="1:25" x14ac:dyDescent="0.2">
      <c r="A320" s="904" t="s">
        <v>570</v>
      </c>
      <c r="C320" s="873"/>
      <c r="D320" s="873"/>
      <c r="E320" s="873"/>
      <c r="F320" s="873"/>
      <c r="G320" s="873"/>
      <c r="H320" s="873"/>
      <c r="I320" s="873"/>
      <c r="J320" s="873"/>
      <c r="K320" s="873"/>
      <c r="L320" s="873"/>
      <c r="M320" s="873"/>
      <c r="N320" s="873"/>
      <c r="O320" s="874"/>
      <c r="P320" s="874"/>
      <c r="Q320" s="875"/>
      <c r="R320" s="873"/>
      <c r="S320" s="875"/>
      <c r="T320" s="874"/>
      <c r="U320" s="874"/>
      <c r="V320" s="874"/>
      <c r="W320" s="874"/>
      <c r="X320" s="874"/>
      <c r="Y320" s="873"/>
    </row>
    <row r="321" spans="1:25" x14ac:dyDescent="0.2">
      <c r="A321" s="905" t="s">
        <v>472</v>
      </c>
      <c r="C321" s="754">
        <v>-169</v>
      </c>
      <c r="D321" s="754">
        <v>-197</v>
      </c>
      <c r="E321" s="754">
        <v>-173</v>
      </c>
      <c r="F321" s="754">
        <v>-172</v>
      </c>
      <c r="G321" s="754">
        <v>-173</v>
      </c>
      <c r="H321" s="754">
        <v>-172</v>
      </c>
      <c r="I321" s="754">
        <v>-173</v>
      </c>
      <c r="J321" s="754">
        <v>-172</v>
      </c>
      <c r="K321" s="754">
        <v>-173</v>
      </c>
      <c r="L321" s="754">
        <v>-172</v>
      </c>
      <c r="M321" s="754">
        <v>-173</v>
      </c>
      <c r="N321" s="754">
        <v>-172</v>
      </c>
      <c r="O321" s="751">
        <f>SUM(C321:N321)</f>
        <v>-2091</v>
      </c>
      <c r="P321" s="751"/>
      <c r="Q321" s="875"/>
      <c r="R321" s="876" t="s">
        <v>503</v>
      </c>
      <c r="S321" s="875"/>
      <c r="T321" s="751"/>
      <c r="U321" s="874">
        <f>C321+D321+E321</f>
        <v>-539</v>
      </c>
      <c r="V321" s="874">
        <f>F321+G321+H321</f>
        <v>-517</v>
      </c>
      <c r="W321" s="874">
        <f>I321+J321+K321</f>
        <v>-518</v>
      </c>
      <c r="X321" s="874">
        <f>L321+M321+N321</f>
        <v>-517</v>
      </c>
      <c r="Y321" s="873">
        <f>SUM(U321:X321)</f>
        <v>-2091</v>
      </c>
    </row>
    <row r="322" spans="1:25" x14ac:dyDescent="0.2">
      <c r="A322" s="905" t="s">
        <v>473</v>
      </c>
      <c r="C322" s="878">
        <v>0</v>
      </c>
      <c r="D322" s="878">
        <v>0</v>
      </c>
      <c r="E322" s="878">
        <v>0</v>
      </c>
      <c r="F322" s="878">
        <v>0</v>
      </c>
      <c r="G322" s="878">
        <v>0</v>
      </c>
      <c r="H322" s="878">
        <v>0</v>
      </c>
      <c r="I322" s="878">
        <v>0</v>
      </c>
      <c r="J322" s="878">
        <v>0</v>
      </c>
      <c r="K322" s="878">
        <v>0</v>
      </c>
      <c r="L322" s="878">
        <v>0</v>
      </c>
      <c r="M322" s="878">
        <v>0</v>
      </c>
      <c r="N322" s="878">
        <v>0</v>
      </c>
      <c r="O322" s="751">
        <f>SUM(C322:N322)</f>
        <v>0</v>
      </c>
      <c r="P322" s="751"/>
      <c r="Q322" s="875"/>
      <c r="R322" s="876" t="s">
        <v>503</v>
      </c>
      <c r="S322" s="875"/>
      <c r="T322" s="751"/>
      <c r="U322" s="874">
        <f>C322+D322+E322</f>
        <v>0</v>
      </c>
      <c r="V322" s="874">
        <f>F322+G322+H322</f>
        <v>0</v>
      </c>
      <c r="W322" s="874">
        <f>I322+J322+K322</f>
        <v>0</v>
      </c>
      <c r="X322" s="874">
        <f>L322+M322+N322</f>
        <v>0</v>
      </c>
      <c r="Y322" s="873">
        <f>SUM(U322:X322)</f>
        <v>0</v>
      </c>
    </row>
    <row r="323" spans="1:25" ht="12.75" customHeight="1" x14ac:dyDescent="0.2">
      <c r="A323" s="905" t="s">
        <v>474</v>
      </c>
      <c r="C323" s="835">
        <v>0</v>
      </c>
      <c r="D323" s="835">
        <v>0</v>
      </c>
      <c r="E323" s="835">
        <v>0</v>
      </c>
      <c r="F323" s="835">
        <v>0</v>
      </c>
      <c r="G323" s="835">
        <v>0</v>
      </c>
      <c r="H323" s="835">
        <v>0</v>
      </c>
      <c r="I323" s="835">
        <v>0</v>
      </c>
      <c r="J323" s="835">
        <v>0</v>
      </c>
      <c r="K323" s="835">
        <v>0</v>
      </c>
      <c r="L323" s="835">
        <v>0</v>
      </c>
      <c r="M323" s="835">
        <v>0</v>
      </c>
      <c r="N323" s="835">
        <v>0</v>
      </c>
      <c r="O323" s="756">
        <f>SUM(C323:N323)</f>
        <v>0</v>
      </c>
      <c r="P323" s="751"/>
      <c r="Q323" s="882"/>
      <c r="R323" s="876" t="s">
        <v>503</v>
      </c>
      <c r="S323" s="882"/>
      <c r="T323" s="751"/>
      <c r="U323" s="939">
        <f>C323+D323+E323</f>
        <v>0</v>
      </c>
      <c r="V323" s="939">
        <f>F323+G323+H323</f>
        <v>0</v>
      </c>
      <c r="W323" s="939">
        <f>I323+J323+K323</f>
        <v>0</v>
      </c>
      <c r="X323" s="939">
        <f>L323+M323+N323</f>
        <v>0</v>
      </c>
      <c r="Y323" s="920">
        <f>SUM(U323:X323)</f>
        <v>0</v>
      </c>
    </row>
    <row r="324" spans="1:25" ht="12.75" customHeight="1" x14ac:dyDescent="0.2">
      <c r="A324" s="905" t="s">
        <v>449</v>
      </c>
      <c r="C324" s="880">
        <f>SUM(C321:C323)</f>
        <v>-169</v>
      </c>
      <c r="D324" s="880">
        <f t="shared" ref="D324:O324" si="124">SUM(D321:D323)</f>
        <v>-197</v>
      </c>
      <c r="E324" s="880">
        <f t="shared" si="124"/>
        <v>-173</v>
      </c>
      <c r="F324" s="880">
        <f t="shared" si="124"/>
        <v>-172</v>
      </c>
      <c r="G324" s="880">
        <f t="shared" si="124"/>
        <v>-173</v>
      </c>
      <c r="H324" s="880">
        <f t="shared" si="124"/>
        <v>-172</v>
      </c>
      <c r="I324" s="880">
        <f t="shared" si="124"/>
        <v>-173</v>
      </c>
      <c r="J324" s="880">
        <f t="shared" si="124"/>
        <v>-172</v>
      </c>
      <c r="K324" s="880">
        <f t="shared" si="124"/>
        <v>-173</v>
      </c>
      <c r="L324" s="880">
        <f t="shared" si="124"/>
        <v>-172</v>
      </c>
      <c r="M324" s="880">
        <f t="shared" si="124"/>
        <v>-173</v>
      </c>
      <c r="N324" s="880">
        <f t="shared" si="124"/>
        <v>-172</v>
      </c>
      <c r="O324" s="880">
        <f t="shared" si="124"/>
        <v>-2091</v>
      </c>
      <c r="P324" s="751"/>
      <c r="Q324" s="882"/>
      <c r="R324" s="876"/>
      <c r="S324" s="882"/>
      <c r="T324" s="751"/>
      <c r="U324" s="880">
        <f>SUM(U321:U323)</f>
        <v>-539</v>
      </c>
      <c r="V324" s="880">
        <f>SUM(V321:V323)</f>
        <v>-517</v>
      </c>
      <c r="W324" s="880">
        <f>SUM(W321:W323)</f>
        <v>-518</v>
      </c>
      <c r="X324" s="880">
        <f>SUM(X321:X323)</f>
        <v>-517</v>
      </c>
      <c r="Y324" s="880">
        <f>SUM(Y321:Y323)</f>
        <v>-2091</v>
      </c>
    </row>
    <row r="325" spans="1:25" ht="3.95" customHeight="1" x14ac:dyDescent="0.2">
      <c r="A325" s="905"/>
      <c r="C325" s="950"/>
      <c r="D325" s="950"/>
      <c r="E325" s="950"/>
      <c r="F325" s="950"/>
      <c r="G325" s="950"/>
      <c r="H325" s="950"/>
      <c r="I325" s="950"/>
      <c r="J325" s="950"/>
      <c r="K325" s="950"/>
      <c r="L325" s="950"/>
      <c r="M325" s="950"/>
      <c r="N325" s="950"/>
      <c r="O325" s="751"/>
      <c r="P325" s="751"/>
      <c r="Q325" s="882"/>
      <c r="R325" s="876"/>
      <c r="S325" s="882"/>
      <c r="T325" s="751"/>
      <c r="U325" s="896"/>
      <c r="V325" s="896"/>
      <c r="W325" s="896"/>
      <c r="X325" s="896"/>
      <c r="Y325" s="873"/>
    </row>
    <row r="326" spans="1:25" ht="12.75" customHeight="1" x14ac:dyDescent="0.2">
      <c r="A326" s="905" t="s">
        <v>1150</v>
      </c>
      <c r="C326" s="128">
        <v>0</v>
      </c>
      <c r="D326" s="128">
        <v>0</v>
      </c>
      <c r="E326" s="128">
        <v>0</v>
      </c>
      <c r="F326" s="128">
        <v>0</v>
      </c>
      <c r="G326" s="128">
        <v>0</v>
      </c>
      <c r="H326" s="128">
        <v>0</v>
      </c>
      <c r="I326" s="128">
        <v>0</v>
      </c>
      <c r="J326" s="128">
        <v>0</v>
      </c>
      <c r="K326" s="128">
        <v>0</v>
      </c>
      <c r="L326" s="128">
        <v>0</v>
      </c>
      <c r="M326" s="128">
        <v>0</v>
      </c>
      <c r="N326" s="128">
        <v>0</v>
      </c>
      <c r="O326" s="129">
        <f>SUM(C326:N326)</f>
        <v>0</v>
      </c>
      <c r="P326" s="129"/>
      <c r="Q326" s="875"/>
      <c r="R326" s="877" t="s">
        <v>518</v>
      </c>
      <c r="S326" s="875"/>
      <c r="T326" s="129"/>
      <c r="U326" s="874">
        <f>C326+D326+E326</f>
        <v>0</v>
      </c>
      <c r="V326" s="874">
        <f>F326+G326+H326</f>
        <v>0</v>
      </c>
      <c r="W326" s="874">
        <f>I326+J326+K326</f>
        <v>0</v>
      </c>
      <c r="X326" s="874">
        <f>L326+M326+N326</f>
        <v>0</v>
      </c>
      <c r="Y326" s="873">
        <f>SUM(U326:X326)</f>
        <v>0</v>
      </c>
    </row>
    <row r="327" spans="1:25" ht="3.95" customHeight="1" x14ac:dyDescent="0.2">
      <c r="A327" s="905"/>
      <c r="C327" s="950"/>
      <c r="D327" s="950"/>
      <c r="E327" s="950"/>
      <c r="F327" s="950"/>
      <c r="G327" s="950"/>
      <c r="H327" s="950"/>
      <c r="I327" s="950"/>
      <c r="J327" s="950"/>
      <c r="K327" s="950"/>
      <c r="L327" s="950"/>
      <c r="M327" s="950"/>
      <c r="N327" s="950"/>
      <c r="O327" s="751"/>
      <c r="P327" s="751"/>
      <c r="Q327" s="882"/>
      <c r="R327" s="876"/>
      <c r="S327" s="882"/>
      <c r="T327" s="751"/>
      <c r="U327" s="896"/>
      <c r="V327" s="896"/>
      <c r="W327" s="896"/>
      <c r="X327" s="896"/>
      <c r="Y327" s="873"/>
    </row>
    <row r="328" spans="1:25" s="937" customFormat="1" ht="12.75" customHeight="1" x14ac:dyDescent="0.2">
      <c r="A328" s="905" t="s">
        <v>604</v>
      </c>
      <c r="C328" s="128">
        <v>0</v>
      </c>
      <c r="D328" s="128">
        <v>0</v>
      </c>
      <c r="E328" s="128">
        <v>0</v>
      </c>
      <c r="F328" s="128">
        <v>0</v>
      </c>
      <c r="G328" s="128">
        <v>0</v>
      </c>
      <c r="H328" s="128">
        <v>0</v>
      </c>
      <c r="I328" s="128">
        <v>0</v>
      </c>
      <c r="J328" s="128">
        <v>0</v>
      </c>
      <c r="K328" s="128">
        <v>0</v>
      </c>
      <c r="L328" s="128">
        <v>0</v>
      </c>
      <c r="M328" s="128">
        <v>0</v>
      </c>
      <c r="N328" s="128">
        <v>0</v>
      </c>
      <c r="O328" s="129">
        <f>SUM(C328:N328)</f>
        <v>0</v>
      </c>
      <c r="P328" s="129"/>
      <c r="Q328" s="875"/>
      <c r="R328" s="877" t="s">
        <v>504</v>
      </c>
      <c r="S328" s="875"/>
      <c r="T328" s="129"/>
      <c r="U328" s="874">
        <f>C328+D328+E328</f>
        <v>0</v>
      </c>
      <c r="V328" s="874">
        <f>F328+G328+H328</f>
        <v>0</v>
      </c>
      <c r="W328" s="874">
        <f>I328+J328+K328</f>
        <v>0</v>
      </c>
      <c r="X328" s="874">
        <f>L328+M328+N328</f>
        <v>0</v>
      </c>
      <c r="Y328" s="873">
        <f>SUM(U328:X328)</f>
        <v>0</v>
      </c>
    </row>
    <row r="329" spans="1:25" s="937" customFormat="1" ht="3.95" customHeight="1" x14ac:dyDescent="0.2">
      <c r="A329" s="905"/>
      <c r="C329" s="128"/>
      <c r="D329" s="128"/>
      <c r="E329" s="128"/>
      <c r="F329" s="128"/>
      <c r="G329" s="128"/>
      <c r="H329" s="128"/>
      <c r="I329" s="128"/>
      <c r="J329" s="128"/>
      <c r="K329" s="128"/>
      <c r="L329" s="128"/>
      <c r="M329" s="128"/>
      <c r="N329" s="128"/>
      <c r="O329" s="129"/>
      <c r="P329" s="129"/>
      <c r="Q329" s="875"/>
      <c r="R329" s="877"/>
      <c r="S329" s="875"/>
      <c r="T329" s="129"/>
      <c r="U329" s="874"/>
      <c r="V329" s="874"/>
      <c r="W329" s="874"/>
      <c r="X329" s="874"/>
      <c r="Y329" s="873"/>
    </row>
    <row r="330" spans="1:25" s="937" customFormat="1" ht="12.75" customHeight="1" x14ac:dyDescent="0.2">
      <c r="A330" s="909" t="s">
        <v>606</v>
      </c>
      <c r="C330" s="922">
        <f>SUM(C324:C328)</f>
        <v>-169</v>
      </c>
      <c r="D330" s="923">
        <f>SUM(D324:D328)</f>
        <v>-197</v>
      </c>
      <c r="E330" s="923">
        <f t="shared" ref="E330:O330" si="125">SUM(E324:E328)</f>
        <v>-173</v>
      </c>
      <c r="F330" s="923">
        <f t="shared" si="125"/>
        <v>-172</v>
      </c>
      <c r="G330" s="923">
        <f t="shared" si="125"/>
        <v>-173</v>
      </c>
      <c r="H330" s="923">
        <f t="shared" si="125"/>
        <v>-172</v>
      </c>
      <c r="I330" s="923">
        <f t="shared" si="125"/>
        <v>-173</v>
      </c>
      <c r="J330" s="923">
        <f t="shared" si="125"/>
        <v>-172</v>
      </c>
      <c r="K330" s="923">
        <f t="shared" si="125"/>
        <v>-173</v>
      </c>
      <c r="L330" s="923">
        <f t="shared" si="125"/>
        <v>-172</v>
      </c>
      <c r="M330" s="923">
        <f t="shared" si="125"/>
        <v>-173</v>
      </c>
      <c r="N330" s="923">
        <f t="shared" si="125"/>
        <v>-172</v>
      </c>
      <c r="O330" s="924">
        <f t="shared" si="125"/>
        <v>-2091</v>
      </c>
      <c r="P330" s="896"/>
      <c r="Q330" s="886"/>
      <c r="R330" s="880"/>
      <c r="S330" s="886"/>
      <c r="T330" s="896"/>
      <c r="U330" s="922">
        <f>SUM(U324:U328)</f>
        <v>-539</v>
      </c>
      <c r="V330" s="923">
        <f>SUM(V324:V328)</f>
        <v>-517</v>
      </c>
      <c r="W330" s="923">
        <f>SUM(W324:W328)</f>
        <v>-518</v>
      </c>
      <c r="X330" s="923">
        <f>SUM(X324:X328)</f>
        <v>-517</v>
      </c>
      <c r="Y330" s="924">
        <f>SUM(Y324:Y328)</f>
        <v>-2091</v>
      </c>
    </row>
    <row r="331" spans="1:25" x14ac:dyDescent="0.2">
      <c r="A331" s="906"/>
      <c r="C331" s="873"/>
      <c r="D331" s="873"/>
      <c r="E331" s="873"/>
      <c r="F331" s="873"/>
      <c r="G331" s="873"/>
      <c r="H331" s="873"/>
      <c r="I331" s="873"/>
      <c r="J331" s="873"/>
      <c r="K331" s="873"/>
      <c r="L331" s="873"/>
      <c r="M331" s="873"/>
      <c r="N331" s="873"/>
      <c r="O331" s="874"/>
      <c r="P331" s="874"/>
      <c r="Q331" s="875"/>
      <c r="R331" s="873"/>
      <c r="S331" s="875"/>
      <c r="T331" s="874"/>
      <c r="U331" s="874"/>
      <c r="V331" s="874"/>
      <c r="W331" s="874"/>
      <c r="X331" s="874"/>
      <c r="Y331" s="873"/>
    </row>
    <row r="332" spans="1:25" x14ac:dyDescent="0.2">
      <c r="C332" s="873"/>
      <c r="D332" s="873"/>
      <c r="E332" s="873"/>
      <c r="F332" s="873"/>
      <c r="G332" s="873"/>
      <c r="H332" s="873"/>
      <c r="I332" s="873"/>
      <c r="J332" s="873"/>
      <c r="K332" s="873"/>
      <c r="L332" s="873"/>
      <c r="M332" s="873"/>
      <c r="N332" s="873"/>
      <c r="O332" s="874"/>
      <c r="P332" s="874"/>
      <c r="Q332" s="875"/>
      <c r="R332" s="873"/>
      <c r="S332" s="875"/>
      <c r="T332" s="874"/>
      <c r="U332" s="874"/>
      <c r="V332" s="874"/>
      <c r="W332" s="874"/>
      <c r="X332" s="874"/>
      <c r="Y332" s="873"/>
    </row>
    <row r="333" spans="1:25" x14ac:dyDescent="0.2">
      <c r="A333" s="903" t="s">
        <v>522</v>
      </c>
      <c r="C333" s="873"/>
      <c r="D333" s="873"/>
      <c r="E333" s="873"/>
      <c r="F333" s="873"/>
      <c r="G333" s="873"/>
      <c r="H333" s="873"/>
      <c r="I333" s="873"/>
      <c r="J333" s="873"/>
      <c r="K333" s="873"/>
      <c r="L333" s="873"/>
      <c r="M333" s="873"/>
      <c r="N333" s="873"/>
      <c r="O333" s="874"/>
      <c r="P333" s="874"/>
      <c r="Q333" s="875"/>
      <c r="R333" s="873"/>
      <c r="S333" s="875"/>
      <c r="T333" s="874"/>
      <c r="U333" s="874"/>
      <c r="V333" s="874"/>
      <c r="W333" s="874"/>
      <c r="X333" s="874"/>
      <c r="Y333" s="873"/>
    </row>
    <row r="334" spans="1:25" x14ac:dyDescent="0.2">
      <c r="A334" s="904" t="s">
        <v>570</v>
      </c>
      <c r="C334" s="873"/>
      <c r="D334" s="873"/>
      <c r="E334" s="873"/>
      <c r="F334" s="873"/>
      <c r="G334" s="873"/>
      <c r="H334" s="873"/>
      <c r="I334" s="873"/>
      <c r="J334" s="873"/>
      <c r="K334" s="873"/>
      <c r="L334" s="873"/>
      <c r="M334" s="873"/>
      <c r="N334" s="873"/>
      <c r="O334" s="874"/>
      <c r="P334" s="874"/>
      <c r="Q334" s="875"/>
      <c r="R334" s="873"/>
      <c r="S334" s="875"/>
      <c r="T334" s="874"/>
      <c r="U334" s="874"/>
      <c r="V334" s="874"/>
      <c r="W334" s="874"/>
      <c r="X334" s="874"/>
      <c r="Y334" s="873"/>
    </row>
    <row r="335" spans="1:25" x14ac:dyDescent="0.2">
      <c r="A335" s="905" t="s">
        <v>475</v>
      </c>
      <c r="C335" s="754">
        <v>-121</v>
      </c>
      <c r="D335" s="754">
        <v>-134</v>
      </c>
      <c r="E335" s="754">
        <v>-124</v>
      </c>
      <c r="F335" s="754">
        <v>-125</v>
      </c>
      <c r="G335" s="754">
        <v>-124</v>
      </c>
      <c r="H335" s="754">
        <v>-125</v>
      </c>
      <c r="I335" s="754">
        <v>-125</v>
      </c>
      <c r="J335" s="754">
        <v>-125</v>
      </c>
      <c r="K335" s="754">
        <v>-125</v>
      </c>
      <c r="L335" s="754">
        <v>-124</v>
      </c>
      <c r="M335" s="754">
        <v>-124</v>
      </c>
      <c r="N335" s="754">
        <v>-125</v>
      </c>
      <c r="O335" s="751">
        <f>SUM(C335:N335)</f>
        <v>-1501</v>
      </c>
      <c r="P335" s="751"/>
      <c r="Q335" s="875"/>
      <c r="R335" s="876" t="s">
        <v>503</v>
      </c>
      <c r="S335" s="875"/>
      <c r="T335" s="751"/>
      <c r="U335" s="874">
        <f>C335+D335+E335</f>
        <v>-379</v>
      </c>
      <c r="V335" s="874">
        <f>F335+G335+H335</f>
        <v>-374</v>
      </c>
      <c r="W335" s="874">
        <f>I335+J335+K335</f>
        <v>-375</v>
      </c>
      <c r="X335" s="874">
        <f>L335+M335+N335</f>
        <v>-373</v>
      </c>
      <c r="Y335" s="873">
        <f>SUM(U335:X335)</f>
        <v>-1501</v>
      </c>
    </row>
    <row r="336" spans="1:25" x14ac:dyDescent="0.2">
      <c r="A336" s="905" t="s">
        <v>599</v>
      </c>
      <c r="C336" s="878">
        <v>0</v>
      </c>
      <c r="D336" s="878">
        <v>0</v>
      </c>
      <c r="E336" s="878">
        <v>0</v>
      </c>
      <c r="F336" s="878">
        <v>0</v>
      </c>
      <c r="G336" s="878">
        <v>0</v>
      </c>
      <c r="H336" s="878">
        <v>0</v>
      </c>
      <c r="I336" s="878">
        <v>0</v>
      </c>
      <c r="J336" s="878">
        <v>0</v>
      </c>
      <c r="K336" s="878">
        <v>0</v>
      </c>
      <c r="L336" s="878">
        <v>0</v>
      </c>
      <c r="M336" s="878">
        <v>0</v>
      </c>
      <c r="N336" s="878">
        <v>0</v>
      </c>
      <c r="O336" s="874">
        <f>C336+D336+E336+F336+G336+H336+I336+J336+K336+L336+M336+N336</f>
        <v>0</v>
      </c>
      <c r="P336" s="874"/>
      <c r="Q336" s="875"/>
      <c r="R336" s="876" t="s">
        <v>503</v>
      </c>
      <c r="S336" s="875"/>
      <c r="T336" s="874"/>
      <c r="U336" s="874">
        <f>C336+D336+E336</f>
        <v>0</v>
      </c>
      <c r="V336" s="874">
        <f>F336+G336+H336</f>
        <v>0</v>
      </c>
      <c r="W336" s="874">
        <f>I336+J336+K336</f>
        <v>0</v>
      </c>
      <c r="X336" s="874">
        <f>L336+M336+N336</f>
        <v>0</v>
      </c>
      <c r="Y336" s="873">
        <f>SUM(U336:X336)</f>
        <v>0</v>
      </c>
    </row>
    <row r="337" spans="1:25" s="871" customFormat="1" ht="12.75" customHeight="1" x14ac:dyDescent="0.2">
      <c r="A337" s="907" t="s">
        <v>476</v>
      </c>
      <c r="C337" s="835">
        <v>0</v>
      </c>
      <c r="D337" s="835">
        <v>0</v>
      </c>
      <c r="E337" s="835">
        <v>0</v>
      </c>
      <c r="F337" s="835">
        <v>0</v>
      </c>
      <c r="G337" s="835">
        <v>0</v>
      </c>
      <c r="H337" s="835">
        <v>0</v>
      </c>
      <c r="I337" s="835">
        <v>0</v>
      </c>
      <c r="J337" s="835">
        <v>0</v>
      </c>
      <c r="K337" s="835">
        <v>0</v>
      </c>
      <c r="L337" s="835">
        <v>0</v>
      </c>
      <c r="M337" s="835">
        <v>0</v>
      </c>
      <c r="N337" s="835">
        <v>0</v>
      </c>
      <c r="O337" s="756">
        <f>SUM(C337:N337)</f>
        <v>0</v>
      </c>
      <c r="P337" s="751"/>
      <c r="Q337" s="882"/>
      <c r="R337" s="876" t="s">
        <v>503</v>
      </c>
      <c r="S337" s="882"/>
      <c r="T337" s="751"/>
      <c r="U337" s="939">
        <f>C337+D337+E337</f>
        <v>0</v>
      </c>
      <c r="V337" s="939">
        <f>F337+G337+H337</f>
        <v>0</v>
      </c>
      <c r="W337" s="939">
        <f>I337+J337+K337</f>
        <v>0</v>
      </c>
      <c r="X337" s="939">
        <f>L337+M337+N337</f>
        <v>0</v>
      </c>
      <c r="Y337" s="920">
        <f>SUM(U337:X337)</f>
        <v>0</v>
      </c>
    </row>
    <row r="338" spans="1:25" s="871" customFormat="1" ht="12.75" customHeight="1" x14ac:dyDescent="0.2">
      <c r="A338" s="905" t="s">
        <v>449</v>
      </c>
      <c r="C338" s="880">
        <f t="shared" ref="C338:O338" si="126">SUM(C335:C337)</f>
        <v>-121</v>
      </c>
      <c r="D338" s="880">
        <f t="shared" si="126"/>
        <v>-134</v>
      </c>
      <c r="E338" s="880">
        <f t="shared" si="126"/>
        <v>-124</v>
      </c>
      <c r="F338" s="880">
        <f t="shared" si="126"/>
        <v>-125</v>
      </c>
      <c r="G338" s="880">
        <f t="shared" si="126"/>
        <v>-124</v>
      </c>
      <c r="H338" s="880">
        <f t="shared" si="126"/>
        <v>-125</v>
      </c>
      <c r="I338" s="880">
        <f t="shared" si="126"/>
        <v>-125</v>
      </c>
      <c r="J338" s="880">
        <f t="shared" si="126"/>
        <v>-125</v>
      </c>
      <c r="K338" s="880">
        <f t="shared" si="126"/>
        <v>-125</v>
      </c>
      <c r="L338" s="880">
        <f t="shared" si="126"/>
        <v>-124</v>
      </c>
      <c r="M338" s="880">
        <f t="shared" si="126"/>
        <v>-124</v>
      </c>
      <c r="N338" s="880">
        <f t="shared" si="126"/>
        <v>-125</v>
      </c>
      <c r="O338" s="880">
        <f t="shared" si="126"/>
        <v>-1501</v>
      </c>
      <c r="P338" s="751"/>
      <c r="Q338" s="882"/>
      <c r="R338" s="876"/>
      <c r="S338" s="882"/>
      <c r="T338" s="751"/>
      <c r="U338" s="880">
        <f>SUM(U335:U337)</f>
        <v>-379</v>
      </c>
      <c r="V338" s="880">
        <f>SUM(V335:V337)</f>
        <v>-374</v>
      </c>
      <c r="W338" s="880">
        <f>SUM(W335:W337)</f>
        <v>-375</v>
      </c>
      <c r="X338" s="880">
        <f>SUM(X335:X337)</f>
        <v>-373</v>
      </c>
      <c r="Y338" s="880">
        <f>SUM(Y335:Y337)</f>
        <v>-1501</v>
      </c>
    </row>
    <row r="339" spans="1:25" s="871" customFormat="1" ht="3.95" customHeight="1" x14ac:dyDescent="0.2">
      <c r="A339" s="907"/>
      <c r="C339" s="950"/>
      <c r="D339" s="950"/>
      <c r="E339" s="950"/>
      <c r="F339" s="950"/>
      <c r="G339" s="950"/>
      <c r="H339" s="950"/>
      <c r="I339" s="950"/>
      <c r="J339" s="950"/>
      <c r="K339" s="950"/>
      <c r="L339" s="950"/>
      <c r="M339" s="950"/>
      <c r="N339" s="950"/>
      <c r="O339" s="751"/>
      <c r="P339" s="751"/>
      <c r="Q339" s="882"/>
      <c r="R339" s="876"/>
      <c r="S339" s="882"/>
      <c r="T339" s="751"/>
      <c r="U339" s="896"/>
      <c r="V339" s="896"/>
      <c r="W339" s="896"/>
      <c r="X339" s="896"/>
      <c r="Y339" s="873"/>
    </row>
    <row r="340" spans="1:25" s="871" customFormat="1" ht="12.75" customHeight="1" x14ac:dyDescent="0.2">
      <c r="A340" s="905" t="s">
        <v>1150</v>
      </c>
      <c r="B340" s="862"/>
      <c r="C340" s="128">
        <v>0</v>
      </c>
      <c r="D340" s="128">
        <v>0</v>
      </c>
      <c r="E340" s="128">
        <v>0</v>
      </c>
      <c r="F340" s="128">
        <v>0</v>
      </c>
      <c r="G340" s="128">
        <v>0</v>
      </c>
      <c r="H340" s="128">
        <v>0</v>
      </c>
      <c r="I340" s="128">
        <v>0</v>
      </c>
      <c r="J340" s="128">
        <v>0</v>
      </c>
      <c r="K340" s="128">
        <v>0</v>
      </c>
      <c r="L340" s="128">
        <v>0</v>
      </c>
      <c r="M340" s="128">
        <v>0</v>
      </c>
      <c r="N340" s="128">
        <v>0</v>
      </c>
      <c r="O340" s="129">
        <f>SUM(C340:N340)</f>
        <v>0</v>
      </c>
      <c r="P340" s="129"/>
      <c r="Q340" s="875"/>
      <c r="R340" s="877" t="s">
        <v>518</v>
      </c>
      <c r="S340" s="875"/>
      <c r="T340" s="129"/>
      <c r="U340" s="874">
        <f>C340+D340+E340</f>
        <v>0</v>
      </c>
      <c r="V340" s="874">
        <f>F340+G340+H340</f>
        <v>0</v>
      </c>
      <c r="W340" s="874">
        <f>I340+J340+K340</f>
        <v>0</v>
      </c>
      <c r="X340" s="874">
        <f>L340+M340+N340</f>
        <v>0</v>
      </c>
      <c r="Y340" s="873">
        <f>SUM(U340:X340)</f>
        <v>0</v>
      </c>
    </row>
    <row r="341" spans="1:25" s="871" customFormat="1" ht="3.95" customHeight="1" x14ac:dyDescent="0.2">
      <c r="A341" s="907"/>
      <c r="C341" s="950"/>
      <c r="D341" s="950"/>
      <c r="E341" s="950"/>
      <c r="F341" s="950"/>
      <c r="G341" s="950"/>
      <c r="H341" s="950"/>
      <c r="I341" s="950"/>
      <c r="J341" s="950"/>
      <c r="K341" s="950"/>
      <c r="L341" s="950"/>
      <c r="M341" s="950"/>
      <c r="N341" s="950"/>
      <c r="O341" s="751"/>
      <c r="P341" s="751"/>
      <c r="Q341" s="882"/>
      <c r="R341" s="876"/>
      <c r="S341" s="882"/>
      <c r="T341" s="751"/>
      <c r="U341" s="896"/>
      <c r="V341" s="896"/>
      <c r="W341" s="896"/>
      <c r="X341" s="896"/>
      <c r="Y341" s="873"/>
    </row>
    <row r="342" spans="1:25" s="871" customFormat="1" ht="12.75" customHeight="1" x14ac:dyDescent="0.2">
      <c r="A342" s="905" t="s">
        <v>604</v>
      </c>
      <c r="B342" s="937"/>
      <c r="C342" s="128">
        <v>0</v>
      </c>
      <c r="D342" s="128">
        <v>0</v>
      </c>
      <c r="E342" s="128">
        <v>0</v>
      </c>
      <c r="F342" s="128">
        <v>0</v>
      </c>
      <c r="G342" s="128">
        <v>0</v>
      </c>
      <c r="H342" s="128">
        <v>0</v>
      </c>
      <c r="I342" s="128">
        <v>0</v>
      </c>
      <c r="J342" s="128">
        <v>0</v>
      </c>
      <c r="K342" s="128">
        <v>0</v>
      </c>
      <c r="L342" s="128">
        <v>0</v>
      </c>
      <c r="M342" s="128">
        <v>0</v>
      </c>
      <c r="N342" s="128">
        <v>0</v>
      </c>
      <c r="O342" s="129">
        <f>SUM(C342:N342)</f>
        <v>0</v>
      </c>
      <c r="P342" s="129"/>
      <c r="Q342" s="875"/>
      <c r="R342" s="877" t="s">
        <v>504</v>
      </c>
      <c r="S342" s="875"/>
      <c r="T342" s="129"/>
      <c r="U342" s="874">
        <f>C342+D342+E342</f>
        <v>0</v>
      </c>
      <c r="V342" s="874">
        <f>F342+G342+H342</f>
        <v>0</v>
      </c>
      <c r="W342" s="874">
        <f>I342+J342+K342</f>
        <v>0</v>
      </c>
      <c r="X342" s="874">
        <f>L342+M342+N342</f>
        <v>0</v>
      </c>
      <c r="Y342" s="873">
        <f>SUM(U342:X342)</f>
        <v>0</v>
      </c>
    </row>
    <row r="343" spans="1:25" s="871" customFormat="1" ht="3.95" customHeight="1" x14ac:dyDescent="0.2">
      <c r="A343" s="905"/>
      <c r="B343" s="937"/>
      <c r="C343" s="128"/>
      <c r="D343" s="128"/>
      <c r="E343" s="128"/>
      <c r="F343" s="128"/>
      <c r="G343" s="128"/>
      <c r="H343" s="128"/>
      <c r="I343" s="128"/>
      <c r="J343" s="128"/>
      <c r="K343" s="128"/>
      <c r="L343" s="128"/>
      <c r="M343" s="128"/>
      <c r="N343" s="128"/>
      <c r="O343" s="129"/>
      <c r="P343" s="129"/>
      <c r="Q343" s="875"/>
      <c r="R343" s="877"/>
      <c r="S343" s="875"/>
      <c r="T343" s="129"/>
      <c r="U343" s="874"/>
      <c r="V343" s="874"/>
      <c r="W343" s="874"/>
      <c r="X343" s="874"/>
      <c r="Y343" s="873"/>
    </row>
    <row r="344" spans="1:25" s="871" customFormat="1" ht="12.75" customHeight="1" x14ac:dyDescent="0.2">
      <c r="A344" s="909" t="s">
        <v>606</v>
      </c>
      <c r="B344" s="937"/>
      <c r="C344" s="922">
        <f>SUM(C338:C342)</f>
        <v>-121</v>
      </c>
      <c r="D344" s="923">
        <f>SUM(D338:D342)</f>
        <v>-134</v>
      </c>
      <c r="E344" s="923">
        <f t="shared" ref="E344:O344" si="127">SUM(E338:E342)</f>
        <v>-124</v>
      </c>
      <c r="F344" s="923">
        <f t="shared" si="127"/>
        <v>-125</v>
      </c>
      <c r="G344" s="923">
        <f t="shared" si="127"/>
        <v>-124</v>
      </c>
      <c r="H344" s="923">
        <f t="shared" si="127"/>
        <v>-125</v>
      </c>
      <c r="I344" s="923">
        <f t="shared" si="127"/>
        <v>-125</v>
      </c>
      <c r="J344" s="923">
        <f t="shared" si="127"/>
        <v>-125</v>
      </c>
      <c r="K344" s="923">
        <f t="shared" si="127"/>
        <v>-125</v>
      </c>
      <c r="L344" s="923">
        <f t="shared" si="127"/>
        <v>-124</v>
      </c>
      <c r="M344" s="923">
        <f t="shared" si="127"/>
        <v>-124</v>
      </c>
      <c r="N344" s="923">
        <f t="shared" si="127"/>
        <v>-125</v>
      </c>
      <c r="O344" s="924">
        <f t="shared" si="127"/>
        <v>-1501</v>
      </c>
      <c r="P344" s="896"/>
      <c r="Q344" s="886"/>
      <c r="R344" s="880"/>
      <c r="S344" s="886"/>
      <c r="T344" s="896"/>
      <c r="U344" s="922">
        <f>SUM(U338:U342)</f>
        <v>-379</v>
      </c>
      <c r="V344" s="923">
        <f>SUM(V338:V342)</f>
        <v>-374</v>
      </c>
      <c r="W344" s="923">
        <f>SUM(W338:W342)</f>
        <v>-375</v>
      </c>
      <c r="X344" s="923">
        <f>SUM(X338:X342)</f>
        <v>-373</v>
      </c>
      <c r="Y344" s="924">
        <f>SUM(Y338:Y342)</f>
        <v>-1501</v>
      </c>
    </row>
    <row r="345" spans="1:25" s="871" customFormat="1" ht="12.75" customHeight="1" x14ac:dyDescent="0.2">
      <c r="A345" s="911"/>
      <c r="C345" s="880"/>
      <c r="D345" s="880"/>
      <c r="E345" s="880"/>
      <c r="F345" s="880"/>
      <c r="G345" s="880"/>
      <c r="H345" s="880"/>
      <c r="I345" s="880"/>
      <c r="J345" s="880"/>
      <c r="K345" s="880"/>
      <c r="L345" s="880"/>
      <c r="M345" s="880"/>
      <c r="N345" s="880"/>
      <c r="O345" s="896"/>
      <c r="P345" s="896"/>
      <c r="Q345" s="886"/>
      <c r="R345" s="880"/>
      <c r="S345" s="886"/>
      <c r="T345" s="896"/>
      <c r="U345" s="896"/>
      <c r="V345" s="896"/>
      <c r="W345" s="896"/>
      <c r="X345" s="896"/>
      <c r="Y345" s="880"/>
    </row>
    <row r="346" spans="1:25" x14ac:dyDescent="0.2">
      <c r="A346" s="921" t="s">
        <v>512</v>
      </c>
      <c r="C346" s="873"/>
      <c r="D346" s="873"/>
      <c r="E346" s="873"/>
      <c r="F346" s="873"/>
      <c r="G346" s="873"/>
      <c r="H346" s="873"/>
      <c r="I346" s="873"/>
      <c r="J346" s="873"/>
      <c r="K346" s="873"/>
      <c r="L346" s="873"/>
      <c r="M346" s="873"/>
      <c r="N346" s="873"/>
      <c r="O346" s="874"/>
      <c r="P346" s="874"/>
      <c r="Q346" s="875"/>
      <c r="R346" s="873"/>
      <c r="S346" s="875"/>
      <c r="T346" s="874"/>
      <c r="U346" s="874"/>
      <c r="V346" s="874"/>
      <c r="W346" s="874"/>
      <c r="X346" s="874"/>
      <c r="Y346" s="873"/>
    </row>
    <row r="347" spans="1:25" x14ac:dyDescent="0.2">
      <c r="A347" s="904" t="s">
        <v>570</v>
      </c>
      <c r="C347" s="873"/>
      <c r="D347" s="873"/>
      <c r="E347" s="873"/>
      <c r="F347" s="873"/>
      <c r="G347" s="873"/>
      <c r="H347" s="873"/>
      <c r="I347" s="873"/>
      <c r="J347" s="873"/>
      <c r="K347" s="873"/>
      <c r="L347" s="873"/>
      <c r="M347" s="873"/>
      <c r="N347" s="873"/>
      <c r="O347" s="874"/>
      <c r="P347" s="874"/>
      <c r="Q347" s="875"/>
      <c r="R347" s="873"/>
      <c r="S347" s="875"/>
      <c r="T347" s="874"/>
      <c r="U347" s="874"/>
      <c r="V347" s="874"/>
      <c r="W347" s="874"/>
      <c r="X347" s="874"/>
      <c r="Y347" s="873"/>
    </row>
    <row r="348" spans="1:25" x14ac:dyDescent="0.2">
      <c r="A348" s="905" t="s">
        <v>598</v>
      </c>
      <c r="C348" s="878">
        <v>-18</v>
      </c>
      <c r="D348" s="878">
        <v>-21</v>
      </c>
      <c r="E348" s="878">
        <v>-19</v>
      </c>
      <c r="F348" s="878">
        <v>-18</v>
      </c>
      <c r="G348" s="878">
        <v>-18</v>
      </c>
      <c r="H348" s="878">
        <v>-19</v>
      </c>
      <c r="I348" s="878">
        <v>-18</v>
      </c>
      <c r="J348" s="878">
        <v>-18</v>
      </c>
      <c r="K348" s="878">
        <v>-19</v>
      </c>
      <c r="L348" s="878">
        <v>-18</v>
      </c>
      <c r="M348" s="878">
        <v>-18</v>
      </c>
      <c r="N348" s="878">
        <v>-19</v>
      </c>
      <c r="O348" s="751">
        <f>SUM(C348:N348)</f>
        <v>-223</v>
      </c>
      <c r="P348" s="751"/>
      <c r="Q348" s="875"/>
      <c r="R348" s="883" t="s">
        <v>503</v>
      </c>
      <c r="S348" s="875"/>
      <c r="T348" s="751"/>
      <c r="U348" s="874">
        <f t="shared" ref="U348:U353" si="128">C348+D348+E348</f>
        <v>-58</v>
      </c>
      <c r="V348" s="874">
        <f t="shared" ref="V348:V353" si="129">F348+G348+H348</f>
        <v>-55</v>
      </c>
      <c r="W348" s="874">
        <f t="shared" ref="W348:W353" si="130">I348+J348+K348</f>
        <v>-55</v>
      </c>
      <c r="X348" s="874">
        <f t="shared" ref="X348:X353" si="131">L348+M348+N348</f>
        <v>-55</v>
      </c>
      <c r="Y348" s="873">
        <f t="shared" ref="Y348:Y359" si="132">SUM(U348:X348)</f>
        <v>-223</v>
      </c>
    </row>
    <row r="349" spans="1:25" x14ac:dyDescent="0.2">
      <c r="A349" s="905" t="s">
        <v>477</v>
      </c>
      <c r="C349" s="878"/>
      <c r="D349" s="878"/>
      <c r="E349" s="878"/>
      <c r="F349" s="878"/>
      <c r="G349" s="878"/>
      <c r="H349" s="878"/>
      <c r="I349" s="878"/>
      <c r="J349" s="878"/>
      <c r="K349" s="878"/>
      <c r="L349" s="878"/>
      <c r="M349" s="878"/>
      <c r="N349" s="878"/>
      <c r="O349" s="751">
        <f t="shared" ref="O349:O354" si="133">SUM(C349:N349)</f>
        <v>0</v>
      </c>
      <c r="P349" s="751"/>
      <c r="Q349" s="875"/>
      <c r="R349" s="883" t="s">
        <v>503</v>
      </c>
      <c r="S349" s="875"/>
      <c r="T349" s="751"/>
      <c r="U349" s="874">
        <f t="shared" si="128"/>
        <v>0</v>
      </c>
      <c r="V349" s="874">
        <f t="shared" si="129"/>
        <v>0</v>
      </c>
      <c r="W349" s="874">
        <f t="shared" si="130"/>
        <v>0</v>
      </c>
      <c r="X349" s="874">
        <f t="shared" si="131"/>
        <v>0</v>
      </c>
      <c r="Y349" s="873">
        <f t="shared" si="132"/>
        <v>0</v>
      </c>
    </row>
    <row r="350" spans="1:25" x14ac:dyDescent="0.2">
      <c r="A350" s="905" t="s">
        <v>478</v>
      </c>
      <c r="C350" s="878">
        <v>-10</v>
      </c>
      <c r="D350" s="878">
        <v>-10</v>
      </c>
      <c r="E350" s="878">
        <v>-10</v>
      </c>
      <c r="F350" s="878">
        <v>-10</v>
      </c>
      <c r="G350" s="878">
        <v>-11</v>
      </c>
      <c r="H350" s="878">
        <v>-10</v>
      </c>
      <c r="I350" s="878">
        <v>-10</v>
      </c>
      <c r="J350" s="878">
        <v>-10</v>
      </c>
      <c r="K350" s="878">
        <v>-10</v>
      </c>
      <c r="L350" s="878">
        <v>-11</v>
      </c>
      <c r="M350" s="878">
        <v>-10</v>
      </c>
      <c r="N350" s="878">
        <v>-10</v>
      </c>
      <c r="O350" s="751">
        <f t="shared" si="133"/>
        <v>-122</v>
      </c>
      <c r="P350" s="751"/>
      <c r="Q350" s="875"/>
      <c r="R350" s="883" t="s">
        <v>503</v>
      </c>
      <c r="S350" s="875"/>
      <c r="T350" s="751"/>
      <c r="U350" s="874">
        <f t="shared" si="128"/>
        <v>-30</v>
      </c>
      <c r="V350" s="874">
        <f t="shared" si="129"/>
        <v>-31</v>
      </c>
      <c r="W350" s="874">
        <f t="shared" si="130"/>
        <v>-30</v>
      </c>
      <c r="X350" s="874">
        <f t="shared" si="131"/>
        <v>-31</v>
      </c>
      <c r="Y350" s="873">
        <f t="shared" si="132"/>
        <v>-122</v>
      </c>
    </row>
    <row r="351" spans="1:25" x14ac:dyDescent="0.2">
      <c r="A351" s="905" t="s">
        <v>479</v>
      </c>
      <c r="C351" s="878"/>
      <c r="D351" s="878"/>
      <c r="E351" s="878"/>
      <c r="F351" s="878"/>
      <c r="G351" s="878"/>
      <c r="H351" s="878"/>
      <c r="I351" s="878"/>
      <c r="J351" s="878"/>
      <c r="K351" s="878"/>
      <c r="L351" s="878"/>
      <c r="M351" s="878"/>
      <c r="N351" s="878"/>
      <c r="O351" s="751">
        <f t="shared" si="133"/>
        <v>0</v>
      </c>
      <c r="P351" s="751"/>
      <c r="Q351" s="875"/>
      <c r="R351" s="883" t="s">
        <v>503</v>
      </c>
      <c r="S351" s="875"/>
      <c r="T351" s="751"/>
      <c r="U351" s="874">
        <f t="shared" si="128"/>
        <v>0</v>
      </c>
      <c r="V351" s="874">
        <f t="shared" si="129"/>
        <v>0</v>
      </c>
      <c r="W351" s="874">
        <f t="shared" si="130"/>
        <v>0</v>
      </c>
      <c r="X351" s="874">
        <f t="shared" si="131"/>
        <v>0</v>
      </c>
      <c r="Y351" s="873">
        <f t="shared" si="132"/>
        <v>0</v>
      </c>
    </row>
    <row r="352" spans="1:25" x14ac:dyDescent="0.2">
      <c r="A352" s="905" t="s">
        <v>480</v>
      </c>
      <c r="C352" s="878"/>
      <c r="D352" s="878"/>
      <c r="E352" s="878"/>
      <c r="F352" s="878"/>
      <c r="G352" s="878"/>
      <c r="H352" s="878"/>
      <c r="I352" s="878"/>
      <c r="J352" s="878">
        <v>0</v>
      </c>
      <c r="K352" s="878">
        <v>0</v>
      </c>
      <c r="L352" s="878">
        <v>0</v>
      </c>
      <c r="M352" s="878">
        <v>0</v>
      </c>
      <c r="N352" s="878">
        <v>0</v>
      </c>
      <c r="O352" s="751">
        <f t="shared" si="133"/>
        <v>0</v>
      </c>
      <c r="P352" s="751"/>
      <c r="Q352" s="875"/>
      <c r="R352" s="883" t="s">
        <v>503</v>
      </c>
      <c r="S352" s="875"/>
      <c r="T352" s="751"/>
      <c r="U352" s="874">
        <f t="shared" si="128"/>
        <v>0</v>
      </c>
      <c r="V352" s="874">
        <f t="shared" si="129"/>
        <v>0</v>
      </c>
      <c r="W352" s="874">
        <f t="shared" si="130"/>
        <v>0</v>
      </c>
      <c r="X352" s="874">
        <f t="shared" si="131"/>
        <v>0</v>
      </c>
      <c r="Y352" s="873">
        <f t="shared" si="132"/>
        <v>0</v>
      </c>
    </row>
    <row r="353" spans="1:25" x14ac:dyDescent="0.2">
      <c r="A353" s="905" t="s">
        <v>481</v>
      </c>
      <c r="C353" s="878">
        <v>-28</v>
      </c>
      <c r="D353" s="878">
        <v>-31</v>
      </c>
      <c r="E353" s="878">
        <v>-29</v>
      </c>
      <c r="F353" s="878">
        <v>-28</v>
      </c>
      <c r="G353" s="878">
        <v>-28</v>
      </c>
      <c r="H353" s="878">
        <v>-29</v>
      </c>
      <c r="I353" s="878">
        <v>-28</v>
      </c>
      <c r="J353" s="878">
        <v>-28</v>
      </c>
      <c r="K353" s="878">
        <v>-29</v>
      </c>
      <c r="L353" s="878">
        <v>-28</v>
      </c>
      <c r="M353" s="878">
        <v>-28</v>
      </c>
      <c r="N353" s="878">
        <v>-29</v>
      </c>
      <c r="O353" s="751">
        <f t="shared" si="133"/>
        <v>-343</v>
      </c>
      <c r="P353" s="751"/>
      <c r="Q353" s="875"/>
      <c r="R353" s="883" t="s">
        <v>503</v>
      </c>
      <c r="S353" s="875"/>
      <c r="T353" s="751"/>
      <c r="U353" s="874">
        <f t="shared" si="128"/>
        <v>-88</v>
      </c>
      <c r="V353" s="874">
        <f t="shared" si="129"/>
        <v>-85</v>
      </c>
      <c r="W353" s="874">
        <f t="shared" si="130"/>
        <v>-85</v>
      </c>
      <c r="X353" s="874">
        <f t="shared" si="131"/>
        <v>-85</v>
      </c>
      <c r="Y353" s="873">
        <f t="shared" si="132"/>
        <v>-343</v>
      </c>
    </row>
    <row r="354" spans="1:25" ht="12.75" customHeight="1" x14ac:dyDescent="0.2">
      <c r="A354" s="907" t="s">
        <v>482</v>
      </c>
      <c r="B354" s="871"/>
      <c r="C354" s="835">
        <v>0</v>
      </c>
      <c r="D354" s="835">
        <v>0</v>
      </c>
      <c r="E354" s="835">
        <v>0</v>
      </c>
      <c r="F354" s="835">
        <v>0</v>
      </c>
      <c r="G354" s="835">
        <v>0</v>
      </c>
      <c r="H354" s="835">
        <v>0</v>
      </c>
      <c r="I354" s="835">
        <v>0</v>
      </c>
      <c r="J354" s="835">
        <v>0</v>
      </c>
      <c r="K354" s="835">
        <v>0</v>
      </c>
      <c r="L354" s="835">
        <v>0</v>
      </c>
      <c r="M354" s="835">
        <v>0</v>
      </c>
      <c r="N354" s="835">
        <v>0</v>
      </c>
      <c r="O354" s="756">
        <f t="shared" si="133"/>
        <v>0</v>
      </c>
      <c r="P354" s="751"/>
      <c r="Q354" s="882"/>
      <c r="R354" s="876" t="s">
        <v>503</v>
      </c>
      <c r="S354" s="882"/>
      <c r="T354" s="751"/>
      <c r="U354" s="939">
        <f>C354+D354+E354</f>
        <v>0</v>
      </c>
      <c r="V354" s="939">
        <f>F354+G354+H354</f>
        <v>0</v>
      </c>
      <c r="W354" s="939">
        <f>I354+J354+K354</f>
        <v>0</v>
      </c>
      <c r="X354" s="939">
        <f>L354+M354+N354</f>
        <v>0</v>
      </c>
      <c r="Y354" s="920">
        <f t="shared" si="132"/>
        <v>0</v>
      </c>
    </row>
    <row r="355" spans="1:25" ht="12.75" customHeight="1" x14ac:dyDescent="0.2">
      <c r="A355" s="905" t="s">
        <v>449</v>
      </c>
      <c r="B355" s="871"/>
      <c r="C355" s="880">
        <f>SUM(C348:C354)</f>
        <v>-56</v>
      </c>
      <c r="D355" s="880">
        <f t="shared" ref="D355:O355" si="134">SUM(D348:D354)</f>
        <v>-62</v>
      </c>
      <c r="E355" s="880">
        <f t="shared" si="134"/>
        <v>-58</v>
      </c>
      <c r="F355" s="880">
        <f t="shared" si="134"/>
        <v>-56</v>
      </c>
      <c r="G355" s="880">
        <f t="shared" si="134"/>
        <v>-57</v>
      </c>
      <c r="H355" s="880">
        <f t="shared" si="134"/>
        <v>-58</v>
      </c>
      <c r="I355" s="880">
        <f t="shared" si="134"/>
        <v>-56</v>
      </c>
      <c r="J355" s="880">
        <f t="shared" si="134"/>
        <v>-56</v>
      </c>
      <c r="K355" s="880">
        <f t="shared" si="134"/>
        <v>-58</v>
      </c>
      <c r="L355" s="880">
        <f t="shared" si="134"/>
        <v>-57</v>
      </c>
      <c r="M355" s="880">
        <f t="shared" si="134"/>
        <v>-56</v>
      </c>
      <c r="N355" s="880">
        <f t="shared" si="134"/>
        <v>-58</v>
      </c>
      <c r="O355" s="880">
        <f t="shared" si="134"/>
        <v>-688</v>
      </c>
      <c r="P355" s="751"/>
      <c r="Q355" s="882"/>
      <c r="R355" s="876"/>
      <c r="S355" s="882"/>
      <c r="T355" s="751"/>
      <c r="U355" s="880">
        <f>SUM(U348:U354)</f>
        <v>-176</v>
      </c>
      <c r="V355" s="880">
        <f>SUM(V348:V354)</f>
        <v>-171</v>
      </c>
      <c r="W355" s="880">
        <f>SUM(W348:W354)</f>
        <v>-170</v>
      </c>
      <c r="X355" s="880">
        <f>SUM(X348:X354)</f>
        <v>-171</v>
      </c>
      <c r="Y355" s="880">
        <f>SUM(Y348:Y354)</f>
        <v>-688</v>
      </c>
    </row>
    <row r="356" spans="1:25" ht="3.95" customHeight="1" x14ac:dyDescent="0.2">
      <c r="A356" s="907"/>
      <c r="C356" s="950"/>
      <c r="D356" s="950"/>
      <c r="E356" s="950"/>
      <c r="F356" s="950"/>
      <c r="G356" s="950"/>
      <c r="H356" s="950"/>
      <c r="I356" s="950"/>
      <c r="J356" s="950"/>
      <c r="K356" s="950"/>
      <c r="L356" s="950"/>
      <c r="M356" s="950"/>
      <c r="N356" s="950"/>
      <c r="O356" s="751"/>
      <c r="P356" s="751"/>
      <c r="Q356" s="886"/>
      <c r="R356" s="883"/>
      <c r="S356" s="886"/>
      <c r="T356" s="751"/>
      <c r="U356" s="874"/>
      <c r="V356" s="874"/>
      <c r="W356" s="874"/>
      <c r="X356" s="874"/>
      <c r="Y356" s="873"/>
    </row>
    <row r="357" spans="1:25" ht="12.75" customHeight="1" x14ac:dyDescent="0.2">
      <c r="A357" s="905" t="s">
        <v>1150</v>
      </c>
      <c r="C357" s="128">
        <v>0</v>
      </c>
      <c r="D357" s="128">
        <v>0</v>
      </c>
      <c r="E357" s="128">
        <v>0</v>
      </c>
      <c r="F357" s="128">
        <v>0</v>
      </c>
      <c r="G357" s="128">
        <v>0</v>
      </c>
      <c r="H357" s="128">
        <v>0</v>
      </c>
      <c r="I357" s="128">
        <v>0</v>
      </c>
      <c r="J357" s="128">
        <v>0</v>
      </c>
      <c r="K357" s="128">
        <v>0</v>
      </c>
      <c r="L357" s="128">
        <v>0</v>
      </c>
      <c r="M357" s="128">
        <v>0</v>
      </c>
      <c r="N357" s="128">
        <v>0</v>
      </c>
      <c r="O357" s="129">
        <f>SUM(C357:N357)</f>
        <v>0</v>
      </c>
      <c r="P357" s="129"/>
      <c r="Q357" s="875"/>
      <c r="R357" s="877" t="s">
        <v>518</v>
      </c>
      <c r="S357" s="875"/>
      <c r="T357" s="129"/>
      <c r="U357" s="874">
        <f>C357+D357+E357</f>
        <v>0</v>
      </c>
      <c r="V357" s="874">
        <f>F357+G357+H357</f>
        <v>0</v>
      </c>
      <c r="W357" s="874">
        <f>I357+J357+K357</f>
        <v>0</v>
      </c>
      <c r="X357" s="874">
        <f>L357+M357+N357</f>
        <v>0</v>
      </c>
      <c r="Y357" s="873">
        <f>SUM(U357:X357)</f>
        <v>0</v>
      </c>
    </row>
    <row r="358" spans="1:25" ht="3.95" customHeight="1" x14ac:dyDescent="0.2">
      <c r="A358" s="907"/>
      <c r="C358" s="950"/>
      <c r="D358" s="950"/>
      <c r="E358" s="950"/>
      <c r="F358" s="950"/>
      <c r="G358" s="950"/>
      <c r="H358" s="950"/>
      <c r="I358" s="950"/>
      <c r="J358" s="950"/>
      <c r="K358" s="950"/>
      <c r="L358" s="950"/>
      <c r="M358" s="950"/>
      <c r="N358" s="950"/>
      <c r="O358" s="751"/>
      <c r="P358" s="751"/>
      <c r="Q358" s="886"/>
      <c r="R358" s="883"/>
      <c r="S358" s="886"/>
      <c r="T358" s="751"/>
      <c r="U358" s="874"/>
      <c r="V358" s="874"/>
      <c r="W358" s="874"/>
      <c r="X358" s="874"/>
      <c r="Y358" s="873"/>
    </row>
    <row r="359" spans="1:25" x14ac:dyDescent="0.2">
      <c r="A359" s="905" t="s">
        <v>604</v>
      </c>
      <c r="B359" s="937"/>
      <c r="C359" s="128">
        <v>0</v>
      </c>
      <c r="D359" s="128">
        <v>0</v>
      </c>
      <c r="E359" s="128">
        <v>0</v>
      </c>
      <c r="F359" s="128">
        <v>0</v>
      </c>
      <c r="G359" s="128">
        <v>0</v>
      </c>
      <c r="H359" s="128">
        <v>0</v>
      </c>
      <c r="I359" s="128">
        <v>0</v>
      </c>
      <c r="J359" s="128">
        <v>0</v>
      </c>
      <c r="K359" s="128">
        <v>0</v>
      </c>
      <c r="L359" s="128">
        <v>0</v>
      </c>
      <c r="M359" s="128">
        <v>0</v>
      </c>
      <c r="N359" s="128">
        <v>0</v>
      </c>
      <c r="O359" s="129">
        <f>SUM(C359:N359)</f>
        <v>0</v>
      </c>
      <c r="P359" s="129"/>
      <c r="Q359" s="886"/>
      <c r="R359" s="877" t="s">
        <v>504</v>
      </c>
      <c r="S359" s="886"/>
      <c r="T359" s="129"/>
      <c r="U359" s="896">
        <f>C359+D359+E359</f>
        <v>0</v>
      </c>
      <c r="V359" s="896">
        <f>F359+G359+H359</f>
        <v>0</v>
      </c>
      <c r="W359" s="896">
        <f>I359+J359+K359</f>
        <v>0</v>
      </c>
      <c r="X359" s="896">
        <f>L359+M359+N359</f>
        <v>0</v>
      </c>
      <c r="Y359" s="873">
        <f t="shared" si="132"/>
        <v>0</v>
      </c>
    </row>
    <row r="360" spans="1:25" ht="3.95" customHeight="1" x14ac:dyDescent="0.2">
      <c r="A360" s="905"/>
      <c r="B360" s="937"/>
      <c r="C360" s="128"/>
      <c r="D360" s="128"/>
      <c r="E360" s="128"/>
      <c r="F360" s="128"/>
      <c r="G360" s="128"/>
      <c r="H360" s="128"/>
      <c r="I360" s="128"/>
      <c r="J360" s="128"/>
      <c r="K360" s="128"/>
      <c r="L360" s="128"/>
      <c r="M360" s="128"/>
      <c r="N360" s="128"/>
      <c r="O360" s="129"/>
      <c r="P360" s="129"/>
      <c r="Q360" s="886"/>
      <c r="R360" s="877"/>
      <c r="S360" s="886"/>
      <c r="T360" s="129"/>
      <c r="U360" s="896"/>
      <c r="V360" s="896"/>
      <c r="W360" s="896"/>
      <c r="X360" s="896"/>
      <c r="Y360" s="873"/>
    </row>
    <row r="361" spans="1:25" ht="12.75" customHeight="1" x14ac:dyDescent="0.2">
      <c r="A361" s="909" t="s">
        <v>606</v>
      </c>
      <c r="B361" s="937"/>
      <c r="C361" s="922">
        <f>SUM(C355:C359)</f>
        <v>-56</v>
      </c>
      <c r="D361" s="923">
        <f>SUM(D355:D359)</f>
        <v>-62</v>
      </c>
      <c r="E361" s="923">
        <f t="shared" ref="E361:O361" si="135">SUM(E355:E359)</f>
        <v>-58</v>
      </c>
      <c r="F361" s="923">
        <f t="shared" si="135"/>
        <v>-56</v>
      </c>
      <c r="G361" s="923">
        <f t="shared" si="135"/>
        <v>-57</v>
      </c>
      <c r="H361" s="923">
        <f t="shared" si="135"/>
        <v>-58</v>
      </c>
      <c r="I361" s="923">
        <f t="shared" si="135"/>
        <v>-56</v>
      </c>
      <c r="J361" s="923">
        <f t="shared" si="135"/>
        <v>-56</v>
      </c>
      <c r="K361" s="923">
        <f t="shared" si="135"/>
        <v>-58</v>
      </c>
      <c r="L361" s="923">
        <f t="shared" si="135"/>
        <v>-57</v>
      </c>
      <c r="M361" s="923">
        <f t="shared" si="135"/>
        <v>-56</v>
      </c>
      <c r="N361" s="923">
        <f t="shared" si="135"/>
        <v>-58</v>
      </c>
      <c r="O361" s="924">
        <f t="shared" si="135"/>
        <v>-688</v>
      </c>
      <c r="P361" s="896"/>
      <c r="Q361" s="886"/>
      <c r="R361" s="880"/>
      <c r="S361" s="886"/>
      <c r="T361" s="896"/>
      <c r="U361" s="922">
        <f>SUM(U355:U359)</f>
        <v>-176</v>
      </c>
      <c r="V361" s="923">
        <f>SUM(V355:V359)</f>
        <v>-171</v>
      </c>
      <c r="W361" s="923">
        <f>SUM(W355:W359)</f>
        <v>-170</v>
      </c>
      <c r="X361" s="923">
        <f>SUM(X355:X359)</f>
        <v>-171</v>
      </c>
      <c r="Y361" s="924">
        <f>SUM(Y355:Y359)</f>
        <v>-688</v>
      </c>
    </row>
    <row r="362" spans="1:25" x14ac:dyDescent="0.2">
      <c r="A362" s="906"/>
      <c r="C362" s="873"/>
      <c r="D362" s="873"/>
      <c r="E362" s="873"/>
      <c r="F362" s="873"/>
      <c r="G362" s="873"/>
      <c r="H362" s="873"/>
      <c r="I362" s="873"/>
      <c r="J362" s="873"/>
      <c r="K362" s="873"/>
      <c r="L362" s="873"/>
      <c r="M362" s="873"/>
      <c r="N362" s="873"/>
      <c r="O362" s="874"/>
      <c r="P362" s="874"/>
      <c r="Q362" s="875"/>
      <c r="R362" s="873"/>
      <c r="S362" s="875"/>
      <c r="T362" s="874"/>
      <c r="U362" s="874"/>
      <c r="V362" s="874"/>
      <c r="W362" s="874"/>
      <c r="X362" s="874"/>
      <c r="Y362" s="873"/>
    </row>
    <row r="363" spans="1:25" s="937" customFormat="1" ht="12.75" customHeight="1" x14ac:dyDescent="0.2">
      <c r="A363" s="951" t="s">
        <v>523</v>
      </c>
      <c r="C363" s="929">
        <f t="shared" ref="C363:O363" si="136">C158+C180+C208+C289+C317+C330+C344+C361</f>
        <v>32499</v>
      </c>
      <c r="D363" s="930">
        <f t="shared" si="136"/>
        <v>31315</v>
      </c>
      <c r="E363" s="930">
        <f t="shared" si="136"/>
        <v>35621</v>
      </c>
      <c r="F363" s="930">
        <f t="shared" si="136"/>
        <v>289</v>
      </c>
      <c r="G363" s="930">
        <f t="shared" si="136"/>
        <v>145</v>
      </c>
      <c r="H363" s="930">
        <f t="shared" si="136"/>
        <v>14811</v>
      </c>
      <c r="I363" s="930">
        <f t="shared" si="136"/>
        <v>1254</v>
      </c>
      <c r="J363" s="930">
        <f t="shared" si="136"/>
        <v>2182</v>
      </c>
      <c r="K363" s="930">
        <f t="shared" si="136"/>
        <v>2146</v>
      </c>
      <c r="L363" s="930">
        <f t="shared" si="136"/>
        <v>840</v>
      </c>
      <c r="M363" s="930">
        <f t="shared" si="136"/>
        <v>30742</v>
      </c>
      <c r="N363" s="930">
        <f t="shared" si="136"/>
        <v>37306</v>
      </c>
      <c r="O363" s="931">
        <f t="shared" si="136"/>
        <v>189150</v>
      </c>
      <c r="P363" s="898"/>
      <c r="Q363" s="928"/>
      <c r="R363" s="880"/>
      <c r="S363" s="928"/>
      <c r="T363" s="898"/>
      <c r="U363" s="929">
        <f>U158+U180+U208+U289+U317+U330+U344+U361</f>
        <v>99435</v>
      </c>
      <c r="V363" s="930">
        <f>V158+V180+V208+V289+V317+V330+V344+V361</f>
        <v>15245</v>
      </c>
      <c r="W363" s="930">
        <f>W158+W180+W208+W289+W317+W330+W344+W361</f>
        <v>5582</v>
      </c>
      <c r="X363" s="930">
        <f>X158+X180+X208+X289+X317+X330+X344+X361</f>
        <v>68888</v>
      </c>
      <c r="Y363" s="931">
        <f>Y158+Y180+Y208+Y289+Y317+Y330+Y344+Y361</f>
        <v>189150</v>
      </c>
    </row>
    <row r="364" spans="1:25" s="937" customFormat="1" ht="6" customHeight="1" x14ac:dyDescent="0.2">
      <c r="A364" s="951"/>
      <c r="C364" s="898"/>
      <c r="D364" s="898"/>
      <c r="E364" s="898"/>
      <c r="F364" s="898"/>
      <c r="G364" s="898"/>
      <c r="H364" s="898"/>
      <c r="I364" s="898"/>
      <c r="J364" s="898"/>
      <c r="K364" s="898"/>
      <c r="L364" s="898"/>
      <c r="M364" s="898"/>
      <c r="N364" s="898"/>
      <c r="O364" s="898"/>
      <c r="P364" s="898"/>
      <c r="Q364" s="928"/>
      <c r="R364" s="880"/>
      <c r="S364" s="928"/>
      <c r="T364" s="898"/>
      <c r="U364" s="898"/>
      <c r="V364" s="898"/>
      <c r="W364" s="898"/>
      <c r="X364" s="898"/>
      <c r="Y364" s="898"/>
    </row>
    <row r="365" spans="1:25" x14ac:dyDescent="0.2">
      <c r="A365" s="904" t="s">
        <v>483</v>
      </c>
      <c r="C365" s="873"/>
      <c r="D365" s="873"/>
      <c r="E365" s="873"/>
      <c r="F365" s="873"/>
      <c r="G365" s="873"/>
      <c r="H365" s="873"/>
      <c r="I365" s="873"/>
      <c r="J365" s="873"/>
      <c r="K365" s="873"/>
      <c r="L365" s="873"/>
      <c r="M365" s="873"/>
      <c r="N365" s="873"/>
      <c r="O365" s="874"/>
      <c r="P365" s="874"/>
      <c r="Q365" s="875"/>
      <c r="R365" s="873"/>
      <c r="S365" s="875"/>
      <c r="T365" s="874"/>
      <c r="U365" s="874"/>
      <c r="V365" s="874"/>
      <c r="W365" s="874"/>
      <c r="X365" s="874"/>
      <c r="Y365" s="873"/>
    </row>
    <row r="366" spans="1:25" x14ac:dyDescent="0.2">
      <c r="A366" s="905" t="s">
        <v>484</v>
      </c>
      <c r="C366" s="878"/>
      <c r="D366" s="878"/>
      <c r="E366" s="878"/>
      <c r="F366" s="878"/>
      <c r="G366" s="878"/>
      <c r="H366" s="878"/>
      <c r="I366" s="878"/>
      <c r="J366" s="878"/>
      <c r="K366" s="878"/>
      <c r="L366" s="878"/>
      <c r="M366" s="878"/>
      <c r="N366" s="878"/>
      <c r="O366" s="143">
        <f t="shared" ref="O366:O372" si="137">SUM(C366:N366)</f>
        <v>0</v>
      </c>
      <c r="P366" s="143"/>
      <c r="Q366" s="875"/>
      <c r="R366" s="873"/>
      <c r="S366" s="875"/>
      <c r="T366" s="143"/>
      <c r="U366" s="874">
        <f t="shared" ref="U366:U372" si="138">C366+D366+E366</f>
        <v>0</v>
      </c>
      <c r="V366" s="874">
        <f t="shared" ref="V366:V372" si="139">F366+G366+H366</f>
        <v>0</v>
      </c>
      <c r="W366" s="874">
        <f t="shared" ref="W366:W372" si="140">I366+J366+K366</f>
        <v>0</v>
      </c>
      <c r="X366" s="874">
        <f t="shared" ref="X366:X372" si="141">L366+M366+N366</f>
        <v>0</v>
      </c>
      <c r="Y366" s="873">
        <f>SUM(U366:X366)</f>
        <v>0</v>
      </c>
    </row>
    <row r="367" spans="1:25" x14ac:dyDescent="0.2">
      <c r="A367" s="905" t="s">
        <v>485</v>
      </c>
      <c r="C367" s="878"/>
      <c r="D367" s="878"/>
      <c r="E367" s="878"/>
      <c r="F367" s="878"/>
      <c r="G367" s="878"/>
      <c r="H367" s="878"/>
      <c r="I367" s="878"/>
      <c r="J367" s="878"/>
      <c r="K367" s="878"/>
      <c r="L367" s="878"/>
      <c r="M367" s="878"/>
      <c r="N367" s="878"/>
      <c r="O367" s="143">
        <f t="shared" si="137"/>
        <v>0</v>
      </c>
      <c r="P367" s="143"/>
      <c r="Q367" s="875"/>
      <c r="R367" s="873"/>
      <c r="S367" s="875"/>
      <c r="T367" s="143"/>
      <c r="U367" s="874">
        <f t="shared" si="138"/>
        <v>0</v>
      </c>
      <c r="V367" s="874">
        <f t="shared" si="139"/>
        <v>0</v>
      </c>
      <c r="W367" s="874">
        <f t="shared" si="140"/>
        <v>0</v>
      </c>
      <c r="X367" s="874">
        <f t="shared" si="141"/>
        <v>0</v>
      </c>
      <c r="Y367" s="873">
        <f t="shared" ref="Y367:Y372" si="142">SUM(U367:X367)</f>
        <v>0</v>
      </c>
    </row>
    <row r="368" spans="1:25" x14ac:dyDescent="0.2">
      <c r="A368" s="905" t="s">
        <v>486</v>
      </c>
      <c r="C368" s="878"/>
      <c r="D368" s="878"/>
      <c r="E368" s="878"/>
      <c r="F368" s="878"/>
      <c r="G368" s="878"/>
      <c r="H368" s="878"/>
      <c r="I368" s="878"/>
      <c r="J368" s="878"/>
      <c r="K368" s="878"/>
      <c r="L368" s="878"/>
      <c r="M368" s="878"/>
      <c r="N368" s="878"/>
      <c r="O368" s="143">
        <f t="shared" si="137"/>
        <v>0</v>
      </c>
      <c r="P368" s="143"/>
      <c r="Q368" s="875"/>
      <c r="R368" s="873"/>
      <c r="S368" s="875"/>
      <c r="T368" s="143"/>
      <c r="U368" s="874">
        <f t="shared" si="138"/>
        <v>0</v>
      </c>
      <c r="V368" s="874">
        <f t="shared" si="139"/>
        <v>0</v>
      </c>
      <c r="W368" s="874">
        <f t="shared" si="140"/>
        <v>0</v>
      </c>
      <c r="X368" s="874">
        <f t="shared" si="141"/>
        <v>0</v>
      </c>
      <c r="Y368" s="873">
        <f t="shared" si="142"/>
        <v>0</v>
      </c>
    </row>
    <row r="369" spans="1:25" x14ac:dyDescent="0.2">
      <c r="A369" s="905" t="s">
        <v>487</v>
      </c>
      <c r="C369" s="878"/>
      <c r="D369" s="878"/>
      <c r="E369" s="878"/>
      <c r="F369" s="878"/>
      <c r="G369" s="878"/>
      <c r="H369" s="878"/>
      <c r="I369" s="878"/>
      <c r="J369" s="878"/>
      <c r="K369" s="878"/>
      <c r="L369" s="878"/>
      <c r="M369" s="878"/>
      <c r="N369" s="878"/>
      <c r="O369" s="143">
        <f t="shared" si="137"/>
        <v>0</v>
      </c>
      <c r="P369" s="143"/>
      <c r="Q369" s="875"/>
      <c r="R369" s="873"/>
      <c r="S369" s="875"/>
      <c r="T369" s="143"/>
      <c r="U369" s="874">
        <f t="shared" si="138"/>
        <v>0</v>
      </c>
      <c r="V369" s="874">
        <f t="shared" si="139"/>
        <v>0</v>
      </c>
      <c r="W369" s="874">
        <f t="shared" si="140"/>
        <v>0</v>
      </c>
      <c r="X369" s="874">
        <f t="shared" si="141"/>
        <v>0</v>
      </c>
      <c r="Y369" s="873">
        <f t="shared" si="142"/>
        <v>0</v>
      </c>
    </row>
    <row r="370" spans="1:25" x14ac:dyDescent="0.2">
      <c r="A370" s="905" t="s">
        <v>488</v>
      </c>
      <c r="C370" s="878"/>
      <c r="D370" s="878"/>
      <c r="E370" s="878"/>
      <c r="F370" s="878"/>
      <c r="G370" s="878"/>
      <c r="H370" s="878"/>
      <c r="I370" s="878"/>
      <c r="J370" s="878"/>
      <c r="K370" s="878"/>
      <c r="L370" s="878"/>
      <c r="M370" s="878"/>
      <c r="N370" s="878"/>
      <c r="O370" s="143">
        <f t="shared" si="137"/>
        <v>0</v>
      </c>
      <c r="P370" s="143"/>
      <c r="Q370" s="875"/>
      <c r="R370" s="873"/>
      <c r="S370" s="875"/>
      <c r="T370" s="143"/>
      <c r="U370" s="874">
        <f t="shared" si="138"/>
        <v>0</v>
      </c>
      <c r="V370" s="874">
        <f t="shared" si="139"/>
        <v>0</v>
      </c>
      <c r="W370" s="874">
        <f t="shared" si="140"/>
        <v>0</v>
      </c>
      <c r="X370" s="874">
        <f t="shared" si="141"/>
        <v>0</v>
      </c>
      <c r="Y370" s="873">
        <f t="shared" si="142"/>
        <v>0</v>
      </c>
    </row>
    <row r="371" spans="1:25" x14ac:dyDescent="0.2">
      <c r="A371" s="905" t="s">
        <v>489</v>
      </c>
      <c r="C371" s="878"/>
      <c r="D371" s="878"/>
      <c r="E371" s="878"/>
      <c r="F371" s="878"/>
      <c r="G371" s="878"/>
      <c r="H371" s="878"/>
      <c r="I371" s="878"/>
      <c r="J371" s="878"/>
      <c r="K371" s="878"/>
      <c r="L371" s="878"/>
      <c r="M371" s="878"/>
      <c r="N371" s="878"/>
      <c r="O371" s="143">
        <f t="shared" si="137"/>
        <v>0</v>
      </c>
      <c r="P371" s="143"/>
      <c r="Q371" s="875"/>
      <c r="R371" s="873"/>
      <c r="S371" s="875"/>
      <c r="T371" s="143"/>
      <c r="U371" s="874">
        <f t="shared" si="138"/>
        <v>0</v>
      </c>
      <c r="V371" s="874">
        <f t="shared" si="139"/>
        <v>0</v>
      </c>
      <c r="W371" s="874">
        <f t="shared" si="140"/>
        <v>0</v>
      </c>
      <c r="X371" s="874">
        <f t="shared" si="141"/>
        <v>0</v>
      </c>
      <c r="Y371" s="873">
        <f t="shared" si="142"/>
        <v>0</v>
      </c>
    </row>
    <row r="372" spans="1:25" s="871" customFormat="1" ht="12.75" customHeight="1" x14ac:dyDescent="0.2">
      <c r="A372" s="932" t="s">
        <v>490</v>
      </c>
      <c r="C372" s="950"/>
      <c r="D372" s="950"/>
      <c r="E372" s="950"/>
      <c r="F372" s="950"/>
      <c r="G372" s="950"/>
      <c r="H372" s="950"/>
      <c r="I372" s="950"/>
      <c r="J372" s="950"/>
      <c r="K372" s="950"/>
      <c r="L372" s="950"/>
      <c r="M372" s="950"/>
      <c r="N372" s="950"/>
      <c r="O372" s="143">
        <f t="shared" si="137"/>
        <v>0</v>
      </c>
      <c r="P372" s="143"/>
      <c r="Q372" s="928"/>
      <c r="R372" s="887"/>
      <c r="S372" s="928"/>
      <c r="T372" s="143"/>
      <c r="U372" s="896">
        <f t="shared" si="138"/>
        <v>0</v>
      </c>
      <c r="V372" s="896">
        <f t="shared" si="139"/>
        <v>0</v>
      </c>
      <c r="W372" s="896">
        <f t="shared" si="140"/>
        <v>0</v>
      </c>
      <c r="X372" s="896">
        <f t="shared" si="141"/>
        <v>0</v>
      </c>
      <c r="Y372" s="873">
        <f t="shared" si="142"/>
        <v>0</v>
      </c>
    </row>
    <row r="373" spans="1:25" s="871" customFormat="1" ht="6" customHeight="1" thickBot="1" x14ac:dyDescent="0.25">
      <c r="A373" s="911"/>
      <c r="C373" s="880"/>
      <c r="D373" s="880"/>
      <c r="E373" s="880"/>
      <c r="F373" s="880"/>
      <c r="G373" s="880"/>
      <c r="H373" s="880"/>
      <c r="I373" s="880"/>
      <c r="J373" s="880"/>
      <c r="K373" s="880"/>
      <c r="L373" s="880"/>
      <c r="M373" s="880"/>
      <c r="N373" s="880"/>
      <c r="O373" s="896"/>
      <c r="P373" s="896"/>
      <c r="Q373" s="886"/>
      <c r="R373" s="880"/>
      <c r="S373" s="886"/>
      <c r="T373" s="896"/>
      <c r="U373" s="896"/>
      <c r="V373" s="896"/>
      <c r="W373" s="896"/>
      <c r="X373" s="896"/>
      <c r="Y373" s="880"/>
    </row>
    <row r="374" spans="1:25" s="871" customFormat="1" ht="12.75" customHeight="1" thickBot="1" x14ac:dyDescent="0.25">
      <c r="A374" s="912" t="s">
        <v>524</v>
      </c>
      <c r="C374" s="953">
        <f t="shared" ref="C374:N374" si="143">SUM(C363:C372)</f>
        <v>32499</v>
      </c>
      <c r="D374" s="955">
        <f t="shared" si="143"/>
        <v>31315</v>
      </c>
      <c r="E374" s="955">
        <f t="shared" si="143"/>
        <v>35621</v>
      </c>
      <c r="F374" s="955">
        <f t="shared" si="143"/>
        <v>289</v>
      </c>
      <c r="G374" s="955">
        <f t="shared" si="143"/>
        <v>145</v>
      </c>
      <c r="H374" s="955">
        <f t="shared" si="143"/>
        <v>14811</v>
      </c>
      <c r="I374" s="955">
        <f t="shared" si="143"/>
        <v>1254</v>
      </c>
      <c r="J374" s="955">
        <f t="shared" si="143"/>
        <v>2182</v>
      </c>
      <c r="K374" s="955">
        <f t="shared" si="143"/>
        <v>2146</v>
      </c>
      <c r="L374" s="955">
        <f t="shared" si="143"/>
        <v>840</v>
      </c>
      <c r="M374" s="955">
        <f t="shared" si="143"/>
        <v>30742</v>
      </c>
      <c r="N374" s="955">
        <f t="shared" si="143"/>
        <v>37306</v>
      </c>
      <c r="O374" s="954">
        <f>SUM(O363:O372)</f>
        <v>189150</v>
      </c>
      <c r="P374" s="898"/>
      <c r="Q374" s="956"/>
      <c r="R374" s="896"/>
      <c r="S374" s="956"/>
      <c r="T374" s="898"/>
      <c r="U374" s="953">
        <f>SUM(U363:U372)</f>
        <v>99435</v>
      </c>
      <c r="V374" s="955">
        <f>SUM(V363:V372)</f>
        <v>15245</v>
      </c>
      <c r="W374" s="955">
        <f>SUM(W363:W372)</f>
        <v>5582</v>
      </c>
      <c r="X374" s="955">
        <f>SUM(X363:X372)</f>
        <v>68888</v>
      </c>
      <c r="Y374" s="954">
        <f>SUM(Y363:Y372)</f>
        <v>189150</v>
      </c>
    </row>
    <row r="375" spans="1:25" s="871" customFormat="1" ht="6" customHeight="1" x14ac:dyDescent="0.2">
      <c r="A375" s="912"/>
      <c r="C375" s="898"/>
      <c r="D375" s="898"/>
      <c r="E375" s="898"/>
      <c r="F375" s="898"/>
      <c r="G375" s="898"/>
      <c r="H375" s="898"/>
      <c r="I375" s="898"/>
      <c r="J375" s="898"/>
      <c r="K375" s="898"/>
      <c r="L375" s="898"/>
      <c r="M375" s="898"/>
      <c r="N375" s="898"/>
      <c r="O375" s="898"/>
      <c r="P375" s="898"/>
      <c r="Q375" s="956"/>
      <c r="R375" s="896"/>
      <c r="S375" s="956"/>
      <c r="T375" s="898"/>
      <c r="U375" s="898"/>
      <c r="V375" s="898"/>
      <c r="W375" s="898"/>
      <c r="X375" s="898"/>
      <c r="Y375" s="898"/>
    </row>
    <row r="376" spans="1:25" x14ac:dyDescent="0.2">
      <c r="A376" s="905" t="s">
        <v>1002</v>
      </c>
      <c r="C376" s="874">
        <f>-IntDeduct!C7</f>
        <v>0</v>
      </c>
      <c r="D376" s="874">
        <f>-IntDeduct!D7</f>
        <v>0</v>
      </c>
      <c r="E376" s="874">
        <f>-IntDeduct!E7</f>
        <v>0</v>
      </c>
      <c r="F376" s="874">
        <f>-IntDeduct!F7</f>
        <v>0</v>
      </c>
      <c r="G376" s="874">
        <f>-IntDeduct!G7</f>
        <v>0</v>
      </c>
      <c r="H376" s="874">
        <f>-IntDeduct!H7</f>
        <v>0</v>
      </c>
      <c r="I376" s="874">
        <f>-IntDeduct!I7</f>
        <v>0</v>
      </c>
      <c r="J376" s="874">
        <f>-IntDeduct!J7</f>
        <v>0</v>
      </c>
      <c r="K376" s="874">
        <f>-IntDeduct!K7</f>
        <v>0</v>
      </c>
      <c r="L376" s="874">
        <f>-IntDeduct!L7</f>
        <v>0</v>
      </c>
      <c r="M376" s="874">
        <f>-IntDeduct!M7</f>
        <v>0</v>
      </c>
      <c r="N376" s="874">
        <f>-IntDeduct!N7</f>
        <v>0</v>
      </c>
      <c r="O376" s="143">
        <f t="shared" ref="O376:O387" si="144">SUM(C376:N376)</f>
        <v>0</v>
      </c>
      <c r="P376" s="143"/>
      <c r="Q376" s="894"/>
      <c r="R376" s="887" t="s">
        <v>525</v>
      </c>
      <c r="S376" s="894"/>
      <c r="T376" s="143"/>
      <c r="U376" s="896">
        <f t="shared" ref="U376:U387" si="145">C376+D376+E376</f>
        <v>0</v>
      </c>
      <c r="V376" s="896">
        <f t="shared" ref="V376:V387" si="146">F376+G376+H376</f>
        <v>0</v>
      </c>
      <c r="W376" s="896">
        <f t="shared" ref="W376:W387" si="147">I376+J376+K376</f>
        <v>0</v>
      </c>
      <c r="X376" s="896">
        <f t="shared" ref="X376:X387" si="148">L376+M376+N376</f>
        <v>0</v>
      </c>
      <c r="Y376" s="873">
        <f t="shared" ref="Y376:Y387" si="149">SUM(U376:X376)</f>
        <v>0</v>
      </c>
    </row>
    <row r="377" spans="1:25" x14ac:dyDescent="0.2">
      <c r="A377" s="905" t="s">
        <v>1003</v>
      </c>
      <c r="C377" s="874">
        <f>-IntDeduct!C8</f>
        <v>-12</v>
      </c>
      <c r="D377" s="874">
        <f>-IntDeduct!D8</f>
        <v>-10</v>
      </c>
      <c r="E377" s="874">
        <f>-IntDeduct!E8</f>
        <v>-12</v>
      </c>
      <c r="F377" s="874">
        <f>-IntDeduct!F8</f>
        <v>-11</v>
      </c>
      <c r="G377" s="874">
        <f>-IntDeduct!G8</f>
        <v>-12</v>
      </c>
      <c r="H377" s="874">
        <f>-IntDeduct!H8</f>
        <v>-12</v>
      </c>
      <c r="I377" s="874">
        <f>-IntDeduct!I8</f>
        <v>-12</v>
      </c>
      <c r="J377" s="874">
        <f>-IntDeduct!J8</f>
        <v>-12</v>
      </c>
      <c r="K377" s="874">
        <f>-IntDeduct!K8</f>
        <v>-12</v>
      </c>
      <c r="L377" s="874">
        <f>-IntDeduct!L8</f>
        <v>-6</v>
      </c>
      <c r="M377" s="874">
        <f>-IntDeduct!M8</f>
        <v>-6</v>
      </c>
      <c r="N377" s="874">
        <f>-IntDeduct!N8</f>
        <v>-6</v>
      </c>
      <c r="O377" s="143">
        <f t="shared" si="144"/>
        <v>-123</v>
      </c>
      <c r="P377" s="143"/>
      <c r="Q377" s="894"/>
      <c r="R377" s="887" t="s">
        <v>525</v>
      </c>
      <c r="S377" s="894"/>
      <c r="T377" s="143"/>
      <c r="U377" s="896">
        <f>C377+D377+E377</f>
        <v>-34</v>
      </c>
      <c r="V377" s="896">
        <f>F377+G377+H377</f>
        <v>-35</v>
      </c>
      <c r="W377" s="896">
        <f>I377+J377+K377</f>
        <v>-36</v>
      </c>
      <c r="X377" s="896">
        <f>L377+M377+N377</f>
        <v>-18</v>
      </c>
      <c r="Y377" s="873">
        <f>SUM(U377:X377)</f>
        <v>-123</v>
      </c>
    </row>
    <row r="378" spans="1:25" x14ac:dyDescent="0.2">
      <c r="A378" s="905" t="s">
        <v>1004</v>
      </c>
      <c r="C378" s="874">
        <f>-IntDeduct!C9</f>
        <v>0</v>
      </c>
      <c r="D378" s="874">
        <f>-IntDeduct!D9</f>
        <v>0</v>
      </c>
      <c r="E378" s="874">
        <f>-IntDeduct!E9</f>
        <v>0</v>
      </c>
      <c r="F378" s="874">
        <f>-IntDeduct!F9</f>
        <v>0</v>
      </c>
      <c r="G378" s="874">
        <f>-IntDeduct!G9</f>
        <v>0</v>
      </c>
      <c r="H378" s="874">
        <f>-IntDeduct!H9</f>
        <v>0</v>
      </c>
      <c r="I378" s="874">
        <f>-IntDeduct!I9</f>
        <v>0</v>
      </c>
      <c r="J378" s="874">
        <f>-IntDeduct!J9</f>
        <v>0</v>
      </c>
      <c r="K378" s="874">
        <f>-IntDeduct!K9</f>
        <v>0</v>
      </c>
      <c r="L378" s="874">
        <f>-IntDeduct!L9</f>
        <v>0</v>
      </c>
      <c r="M378" s="874">
        <f>-IntDeduct!M9</f>
        <v>0</v>
      </c>
      <c r="N378" s="874">
        <f>-IntDeduct!N9</f>
        <v>0</v>
      </c>
      <c r="O378" s="143">
        <f t="shared" si="144"/>
        <v>0</v>
      </c>
      <c r="P378" s="143"/>
      <c r="Q378" s="894"/>
      <c r="R378" s="887" t="s">
        <v>525</v>
      </c>
      <c r="S378" s="894"/>
      <c r="T378" s="143"/>
      <c r="U378" s="896">
        <f>C378+D378+E378</f>
        <v>0</v>
      </c>
      <c r="V378" s="896">
        <f>F378+G378+H378</f>
        <v>0</v>
      </c>
      <c r="W378" s="896">
        <f>I378+J378+K378</f>
        <v>0</v>
      </c>
      <c r="X378" s="896">
        <f>L378+M378+N378</f>
        <v>0</v>
      </c>
      <c r="Y378" s="873">
        <f>SUM(U378:X378)</f>
        <v>0</v>
      </c>
    </row>
    <row r="379" spans="1:25" x14ac:dyDescent="0.2">
      <c r="A379" s="905" t="s">
        <v>1005</v>
      </c>
      <c r="C379" s="874">
        <f>-IntDeduct!C10</f>
        <v>0</v>
      </c>
      <c r="D379" s="874">
        <f>-IntDeduct!D10</f>
        <v>0</v>
      </c>
      <c r="E379" s="874">
        <f>-IntDeduct!E10</f>
        <v>0</v>
      </c>
      <c r="F379" s="874">
        <f>-IntDeduct!F10</f>
        <v>0</v>
      </c>
      <c r="G379" s="874">
        <f>-IntDeduct!G10</f>
        <v>0</v>
      </c>
      <c r="H379" s="874">
        <f>-IntDeduct!H10</f>
        <v>0</v>
      </c>
      <c r="I379" s="874">
        <f>-IntDeduct!I10</f>
        <v>0</v>
      </c>
      <c r="J379" s="874">
        <f>-IntDeduct!J10</f>
        <v>0</v>
      </c>
      <c r="K379" s="874">
        <f>-IntDeduct!K10</f>
        <v>0</v>
      </c>
      <c r="L379" s="874">
        <f>-IntDeduct!L10</f>
        <v>0</v>
      </c>
      <c r="M379" s="874">
        <f>-IntDeduct!M10</f>
        <v>0</v>
      </c>
      <c r="N379" s="874">
        <f>-IntDeduct!N10</f>
        <v>0</v>
      </c>
      <c r="O379" s="143">
        <f t="shared" si="144"/>
        <v>0</v>
      </c>
      <c r="P379" s="143"/>
      <c r="Q379" s="894"/>
      <c r="R379" s="887" t="s">
        <v>525</v>
      </c>
      <c r="S379" s="894"/>
      <c r="T379" s="143"/>
      <c r="U379" s="896">
        <f>C379+D379+E379</f>
        <v>0</v>
      </c>
      <c r="V379" s="896">
        <f>F379+G379+H379</f>
        <v>0</v>
      </c>
      <c r="W379" s="896">
        <f>I379+J379+K379</f>
        <v>0</v>
      </c>
      <c r="X379" s="896">
        <f>L379+M379+N379</f>
        <v>0</v>
      </c>
      <c r="Y379" s="873">
        <f>SUM(U379:X379)</f>
        <v>0</v>
      </c>
    </row>
    <row r="380" spans="1:25" x14ac:dyDescent="0.2">
      <c r="A380" s="905" t="s">
        <v>526</v>
      </c>
      <c r="C380" s="874">
        <f>-IntDeduct!C11</f>
        <v>0</v>
      </c>
      <c r="D380" s="874">
        <f>-IntDeduct!D11</f>
        <v>-1</v>
      </c>
      <c r="E380" s="874">
        <f>-IntDeduct!E11</f>
        <v>0</v>
      </c>
      <c r="F380" s="874">
        <f>-IntDeduct!F11</f>
        <v>-1</v>
      </c>
      <c r="G380" s="874">
        <f>-IntDeduct!G11</f>
        <v>0</v>
      </c>
      <c r="H380" s="874">
        <f>-IntDeduct!H11</f>
        <v>-1</v>
      </c>
      <c r="I380" s="874">
        <f>-IntDeduct!I11</f>
        <v>0</v>
      </c>
      <c r="J380" s="874">
        <f>-IntDeduct!J11</f>
        <v>-1</v>
      </c>
      <c r="K380" s="874">
        <f>-IntDeduct!K11</f>
        <v>0</v>
      </c>
      <c r="L380" s="874">
        <f>-IntDeduct!L11</f>
        <v>-1</v>
      </c>
      <c r="M380" s="874">
        <f>-IntDeduct!M11</f>
        <v>0</v>
      </c>
      <c r="N380" s="874">
        <f>-IntDeduct!N11</f>
        <v>-1</v>
      </c>
      <c r="O380" s="143">
        <f t="shared" si="144"/>
        <v>-6</v>
      </c>
      <c r="P380" s="143"/>
      <c r="Q380" s="894"/>
      <c r="R380" s="887" t="s">
        <v>525</v>
      </c>
      <c r="S380" s="894"/>
      <c r="T380" s="143"/>
      <c r="U380" s="896">
        <f>C380+D380+E380</f>
        <v>-1</v>
      </c>
      <c r="V380" s="896">
        <f>F380+G380+H380</f>
        <v>-2</v>
      </c>
      <c r="W380" s="896">
        <f>I380+J380+K380</f>
        <v>-1</v>
      </c>
      <c r="X380" s="896">
        <f>L380+M380+N380</f>
        <v>-2</v>
      </c>
      <c r="Y380" s="873">
        <f>SUM(U380:X380)</f>
        <v>-6</v>
      </c>
    </row>
    <row r="381" spans="1:25" x14ac:dyDescent="0.2">
      <c r="A381" s="905" t="s">
        <v>529</v>
      </c>
      <c r="C381" s="874">
        <f>-IntDeduct!C12</f>
        <v>0</v>
      </c>
      <c r="D381" s="874">
        <f>-IntDeduct!D12</f>
        <v>0</v>
      </c>
      <c r="E381" s="874">
        <f>-IntDeduct!E12</f>
        <v>0</v>
      </c>
      <c r="F381" s="874">
        <f>-IntDeduct!F12</f>
        <v>0</v>
      </c>
      <c r="G381" s="874">
        <f>-IntDeduct!G12</f>
        <v>0</v>
      </c>
      <c r="H381" s="874">
        <f>-IntDeduct!H12</f>
        <v>0</v>
      </c>
      <c r="I381" s="874">
        <f>-IntDeduct!I12</f>
        <v>0</v>
      </c>
      <c r="J381" s="874">
        <f>-IntDeduct!J12</f>
        <v>0</v>
      </c>
      <c r="K381" s="874">
        <f>-IntDeduct!K12</f>
        <v>0</v>
      </c>
      <c r="L381" s="874">
        <f>-IntDeduct!L12</f>
        <v>0</v>
      </c>
      <c r="M381" s="874">
        <f>-IntDeduct!M12</f>
        <v>0</v>
      </c>
      <c r="N381" s="874">
        <f>-IntDeduct!N12</f>
        <v>0</v>
      </c>
      <c r="O381" s="143">
        <f t="shared" si="144"/>
        <v>0</v>
      </c>
      <c r="P381" s="143"/>
      <c r="Q381" s="894"/>
      <c r="R381" s="887" t="s">
        <v>525</v>
      </c>
      <c r="S381" s="894"/>
      <c r="T381" s="143"/>
      <c r="U381" s="896">
        <f>C381+D381+E381</f>
        <v>0</v>
      </c>
      <c r="V381" s="896">
        <f>F381+G381+H381</f>
        <v>0</v>
      </c>
      <c r="W381" s="896">
        <f>I381+J381+K381</f>
        <v>0</v>
      </c>
      <c r="X381" s="896">
        <f>L381+M381+N381</f>
        <v>0</v>
      </c>
      <c r="Y381" s="873">
        <f>SUM(U381:X381)</f>
        <v>0</v>
      </c>
    </row>
    <row r="382" spans="1:25" x14ac:dyDescent="0.2">
      <c r="A382" s="905" t="s">
        <v>527</v>
      </c>
      <c r="C382" s="874">
        <f>-IntDeduct!C13</f>
        <v>-8</v>
      </c>
      <c r="D382" s="874">
        <f>-IntDeduct!D13</f>
        <v>-8</v>
      </c>
      <c r="E382" s="874">
        <f>-IntDeduct!E13</f>
        <v>-11</v>
      </c>
      <c r="F382" s="874">
        <f>-IntDeduct!F13</f>
        <v>-12</v>
      </c>
      <c r="G382" s="874">
        <f>-IntDeduct!G13</f>
        <v>-12</v>
      </c>
      <c r="H382" s="874">
        <f>-IntDeduct!H13</f>
        <v>0</v>
      </c>
      <c r="I382" s="874">
        <f>-IntDeduct!I13</f>
        <v>0</v>
      </c>
      <c r="J382" s="874">
        <f>-IntDeduct!J13</f>
        <v>0</v>
      </c>
      <c r="K382" s="874">
        <f>-IntDeduct!K13</f>
        <v>0</v>
      </c>
      <c r="L382" s="874">
        <f>-IntDeduct!L13</f>
        <v>0</v>
      </c>
      <c r="M382" s="874">
        <f>-IntDeduct!M13</f>
        <v>0</v>
      </c>
      <c r="N382" s="874">
        <f>-IntDeduct!N13</f>
        <v>-1</v>
      </c>
      <c r="O382" s="143">
        <f t="shared" si="144"/>
        <v>-52</v>
      </c>
      <c r="P382" s="143"/>
      <c r="Q382" s="894"/>
      <c r="R382" s="887" t="s">
        <v>525</v>
      </c>
      <c r="S382" s="894"/>
      <c r="T382" s="143"/>
      <c r="U382" s="896">
        <f t="shared" si="145"/>
        <v>-27</v>
      </c>
      <c r="V382" s="896">
        <f t="shared" si="146"/>
        <v>-24</v>
      </c>
      <c r="W382" s="896">
        <f t="shared" si="147"/>
        <v>0</v>
      </c>
      <c r="X382" s="896">
        <f t="shared" si="148"/>
        <v>-1</v>
      </c>
      <c r="Y382" s="873">
        <f t="shared" si="149"/>
        <v>-52</v>
      </c>
    </row>
    <row r="383" spans="1:25" x14ac:dyDescent="0.2">
      <c r="A383" s="905" t="s">
        <v>528</v>
      </c>
      <c r="C383" s="874">
        <f>-IntDeduct!C14</f>
        <v>-1</v>
      </c>
      <c r="D383" s="874">
        <f>-IntDeduct!D14</f>
        <v>-2</v>
      </c>
      <c r="E383" s="874">
        <f>-IntDeduct!E14</f>
        <v>-3</v>
      </c>
      <c r="F383" s="874">
        <f>-IntDeduct!F14</f>
        <v>-3</v>
      </c>
      <c r="G383" s="874">
        <f>-IntDeduct!G14</f>
        <v>0</v>
      </c>
      <c r="H383" s="874">
        <f>-IntDeduct!H14</f>
        <v>0</v>
      </c>
      <c r="I383" s="874">
        <f>-IntDeduct!I14</f>
        <v>0</v>
      </c>
      <c r="J383" s="874">
        <f>-IntDeduct!J14</f>
        <v>0</v>
      </c>
      <c r="K383" s="874">
        <f>-IntDeduct!K14</f>
        <v>0</v>
      </c>
      <c r="L383" s="874">
        <f>-IntDeduct!L14</f>
        <v>0</v>
      </c>
      <c r="M383" s="874">
        <f>-IntDeduct!M14</f>
        <v>0</v>
      </c>
      <c r="N383" s="874">
        <f>-IntDeduct!N14</f>
        <v>-1</v>
      </c>
      <c r="O383" s="143">
        <f t="shared" si="144"/>
        <v>-10</v>
      </c>
      <c r="P383" s="143"/>
      <c r="Q383" s="894"/>
      <c r="R383" s="887" t="s">
        <v>525</v>
      </c>
      <c r="S383" s="894"/>
      <c r="T383" s="143"/>
      <c r="U383" s="896">
        <f t="shared" si="145"/>
        <v>-6</v>
      </c>
      <c r="V383" s="896">
        <f t="shared" si="146"/>
        <v>-3</v>
      </c>
      <c r="W383" s="896">
        <f t="shared" si="147"/>
        <v>0</v>
      </c>
      <c r="X383" s="896">
        <f t="shared" si="148"/>
        <v>-1</v>
      </c>
      <c r="Y383" s="873">
        <f t="shared" si="149"/>
        <v>-10</v>
      </c>
    </row>
    <row r="384" spans="1:25" x14ac:dyDescent="0.2">
      <c r="A384" s="905" t="s">
        <v>530</v>
      </c>
      <c r="C384" s="874">
        <f>-IntDeduct!C15</f>
        <v>0</v>
      </c>
      <c r="D384" s="874">
        <f>-IntDeduct!D15</f>
        <v>0</v>
      </c>
      <c r="E384" s="874">
        <f>-IntDeduct!E15</f>
        <v>0</v>
      </c>
      <c r="F384" s="874">
        <f>-IntDeduct!F15</f>
        <v>0</v>
      </c>
      <c r="G384" s="874">
        <f>-IntDeduct!G15</f>
        <v>0</v>
      </c>
      <c r="H384" s="874">
        <f>-IntDeduct!H15</f>
        <v>0</v>
      </c>
      <c r="I384" s="874">
        <f>-IntDeduct!I15</f>
        <v>0</v>
      </c>
      <c r="J384" s="874">
        <f>-IntDeduct!J15</f>
        <v>0</v>
      </c>
      <c r="K384" s="874">
        <f>-IntDeduct!K15</f>
        <v>0</v>
      </c>
      <c r="L384" s="874">
        <f>-IntDeduct!L15</f>
        <v>0</v>
      </c>
      <c r="M384" s="874">
        <f>-IntDeduct!M15</f>
        <v>0</v>
      </c>
      <c r="N384" s="874">
        <f>-IntDeduct!N15</f>
        <v>0</v>
      </c>
      <c r="O384" s="143">
        <f t="shared" si="144"/>
        <v>0</v>
      </c>
      <c r="P384" s="143"/>
      <c r="Q384" s="894"/>
      <c r="R384" s="887" t="s">
        <v>525</v>
      </c>
      <c r="S384" s="894"/>
      <c r="T384" s="143"/>
      <c r="U384" s="896">
        <f t="shared" si="145"/>
        <v>0</v>
      </c>
      <c r="V384" s="896">
        <f t="shared" si="146"/>
        <v>0</v>
      </c>
      <c r="W384" s="896">
        <f t="shared" si="147"/>
        <v>0</v>
      </c>
      <c r="X384" s="896">
        <f t="shared" si="148"/>
        <v>0</v>
      </c>
      <c r="Y384" s="873">
        <f t="shared" si="149"/>
        <v>0</v>
      </c>
    </row>
    <row r="385" spans="1:25" x14ac:dyDescent="0.2">
      <c r="A385" s="905" t="s">
        <v>1006</v>
      </c>
      <c r="C385" s="874">
        <f>-IntDeduct!C16</f>
        <v>0</v>
      </c>
      <c r="D385" s="874">
        <f>-IntDeduct!D16</f>
        <v>0</v>
      </c>
      <c r="E385" s="874">
        <f>-IntDeduct!E16</f>
        <v>0</v>
      </c>
      <c r="F385" s="874">
        <f>-IntDeduct!F16</f>
        <v>0</v>
      </c>
      <c r="G385" s="874">
        <f>-IntDeduct!G16</f>
        <v>0</v>
      </c>
      <c r="H385" s="874">
        <f>-IntDeduct!H16</f>
        <v>0</v>
      </c>
      <c r="I385" s="874">
        <f>-IntDeduct!I16</f>
        <v>0</v>
      </c>
      <c r="J385" s="874">
        <f>-IntDeduct!J16</f>
        <v>0</v>
      </c>
      <c r="K385" s="874">
        <f>-IntDeduct!K16</f>
        <v>0</v>
      </c>
      <c r="L385" s="874">
        <f>-IntDeduct!L16</f>
        <v>0</v>
      </c>
      <c r="M385" s="874">
        <f>-IntDeduct!M16</f>
        <v>0</v>
      </c>
      <c r="N385" s="874">
        <f>-IntDeduct!N16</f>
        <v>0</v>
      </c>
      <c r="O385" s="143">
        <f t="shared" si="144"/>
        <v>0</v>
      </c>
      <c r="P385" s="143"/>
      <c r="Q385" s="894"/>
      <c r="R385" s="887" t="s">
        <v>525</v>
      </c>
      <c r="S385" s="894"/>
      <c r="T385" s="143"/>
      <c r="U385" s="896">
        <f t="shared" si="145"/>
        <v>0</v>
      </c>
      <c r="V385" s="896">
        <f t="shared" si="146"/>
        <v>0</v>
      </c>
      <c r="W385" s="896">
        <f t="shared" si="147"/>
        <v>0</v>
      </c>
      <c r="X385" s="896">
        <f t="shared" si="148"/>
        <v>0</v>
      </c>
      <c r="Y385" s="873">
        <f t="shared" si="149"/>
        <v>0</v>
      </c>
    </row>
    <row r="386" spans="1:25" x14ac:dyDescent="0.2">
      <c r="A386" s="905" t="s">
        <v>492</v>
      </c>
      <c r="C386" s="874">
        <f>-IntDeduct!C17</f>
        <v>0</v>
      </c>
      <c r="D386" s="874">
        <f>-IntDeduct!D17</f>
        <v>0</v>
      </c>
      <c r="E386" s="874">
        <f>-IntDeduct!E17</f>
        <v>0</v>
      </c>
      <c r="F386" s="874">
        <f>-IntDeduct!F17</f>
        <v>0</v>
      </c>
      <c r="G386" s="874">
        <f>-IntDeduct!G17</f>
        <v>0</v>
      </c>
      <c r="H386" s="874">
        <f>-IntDeduct!H17</f>
        <v>0</v>
      </c>
      <c r="I386" s="874">
        <f>-IntDeduct!I17</f>
        <v>0</v>
      </c>
      <c r="J386" s="874">
        <f>-IntDeduct!J17</f>
        <v>0</v>
      </c>
      <c r="K386" s="874">
        <f>-IntDeduct!K17</f>
        <v>0</v>
      </c>
      <c r="L386" s="874">
        <f>-IntDeduct!L17</f>
        <v>0</v>
      </c>
      <c r="M386" s="874">
        <f>-IntDeduct!M17</f>
        <v>0</v>
      </c>
      <c r="N386" s="874">
        <f>-IntDeduct!N17</f>
        <v>0</v>
      </c>
      <c r="O386" s="143">
        <f t="shared" si="144"/>
        <v>0</v>
      </c>
      <c r="P386" s="143"/>
      <c r="Q386" s="894"/>
      <c r="R386" s="887" t="s">
        <v>525</v>
      </c>
      <c r="S386" s="894"/>
      <c r="T386" s="143"/>
      <c r="U386" s="896">
        <f t="shared" si="145"/>
        <v>0</v>
      </c>
      <c r="V386" s="896">
        <f t="shared" si="146"/>
        <v>0</v>
      </c>
      <c r="W386" s="896">
        <f t="shared" si="147"/>
        <v>0</v>
      </c>
      <c r="X386" s="896">
        <f t="shared" si="148"/>
        <v>0</v>
      </c>
      <c r="Y386" s="873">
        <f t="shared" si="149"/>
        <v>0</v>
      </c>
    </row>
    <row r="387" spans="1:25" x14ac:dyDescent="0.2">
      <c r="A387" s="905" t="s">
        <v>417</v>
      </c>
      <c r="C387" s="919">
        <f>-IntDeduct!C18</f>
        <v>0</v>
      </c>
      <c r="D387" s="919">
        <f>-IntDeduct!D18</f>
        <v>0</v>
      </c>
      <c r="E387" s="919">
        <f>-IntDeduct!E18</f>
        <v>0</v>
      </c>
      <c r="F387" s="919">
        <f>-IntDeduct!F18</f>
        <v>0</v>
      </c>
      <c r="G387" s="919">
        <f>-IntDeduct!G18</f>
        <v>0</v>
      </c>
      <c r="H387" s="919">
        <f>-IntDeduct!H18</f>
        <v>0</v>
      </c>
      <c r="I387" s="919">
        <f>-IntDeduct!I18</f>
        <v>0</v>
      </c>
      <c r="J387" s="919">
        <f>-IntDeduct!J18</f>
        <v>0</v>
      </c>
      <c r="K387" s="919">
        <f>-IntDeduct!K18</f>
        <v>0</v>
      </c>
      <c r="L387" s="919">
        <f>-IntDeduct!L18</f>
        <v>0</v>
      </c>
      <c r="M387" s="919">
        <f>-IntDeduct!M18</f>
        <v>0</v>
      </c>
      <c r="N387" s="919">
        <f>-IntDeduct!N18</f>
        <v>0</v>
      </c>
      <c r="O387" s="144">
        <f t="shared" si="144"/>
        <v>0</v>
      </c>
      <c r="P387" s="143"/>
      <c r="Q387" s="894"/>
      <c r="R387" s="887" t="s">
        <v>525</v>
      </c>
      <c r="S387" s="894"/>
      <c r="T387" s="143"/>
      <c r="U387" s="939">
        <f t="shared" si="145"/>
        <v>0</v>
      </c>
      <c r="V387" s="939">
        <f t="shared" si="146"/>
        <v>0</v>
      </c>
      <c r="W387" s="939">
        <f t="shared" si="147"/>
        <v>0</v>
      </c>
      <c r="X387" s="939">
        <f t="shared" si="148"/>
        <v>0</v>
      </c>
      <c r="Y387" s="920">
        <f t="shared" si="149"/>
        <v>0</v>
      </c>
    </row>
    <row r="388" spans="1:25" x14ac:dyDescent="0.2">
      <c r="A388" s="905" t="s">
        <v>694</v>
      </c>
      <c r="C388" s="919">
        <f>SUM(C376:C387)</f>
        <v>-21</v>
      </c>
      <c r="D388" s="919">
        <f t="shared" ref="D388:O388" si="150">SUM(D376:D387)</f>
        <v>-21</v>
      </c>
      <c r="E388" s="919">
        <f t="shared" si="150"/>
        <v>-26</v>
      </c>
      <c r="F388" s="919">
        <f t="shared" si="150"/>
        <v>-27</v>
      </c>
      <c r="G388" s="919">
        <f t="shared" si="150"/>
        <v>-24</v>
      </c>
      <c r="H388" s="919">
        <f t="shared" si="150"/>
        <v>-13</v>
      </c>
      <c r="I388" s="919">
        <f t="shared" si="150"/>
        <v>-12</v>
      </c>
      <c r="J388" s="919">
        <f t="shared" si="150"/>
        <v>-13</v>
      </c>
      <c r="K388" s="919">
        <f t="shared" si="150"/>
        <v>-12</v>
      </c>
      <c r="L388" s="919">
        <f t="shared" si="150"/>
        <v>-7</v>
      </c>
      <c r="M388" s="919">
        <f t="shared" si="150"/>
        <v>-6</v>
      </c>
      <c r="N388" s="919">
        <f t="shared" si="150"/>
        <v>-9</v>
      </c>
      <c r="O388" s="919">
        <f t="shared" si="150"/>
        <v>-191</v>
      </c>
      <c r="P388" s="143"/>
      <c r="Q388" s="894"/>
      <c r="R388" s="887"/>
      <c r="S388" s="894"/>
      <c r="T388" s="143"/>
      <c r="U388" s="919">
        <f>SUM(U376:U387)</f>
        <v>-68</v>
      </c>
      <c r="V388" s="919">
        <f>SUM(V376:V387)</f>
        <v>-64</v>
      </c>
      <c r="W388" s="919">
        <f>SUM(W376:W387)</f>
        <v>-37</v>
      </c>
      <c r="X388" s="919">
        <f>SUM(X376:X387)</f>
        <v>-22</v>
      </c>
      <c r="Y388" s="919">
        <f>SUM(Y376:Y387)</f>
        <v>-191</v>
      </c>
    </row>
    <row r="389" spans="1:25" ht="6" customHeight="1" x14ac:dyDescent="0.2">
      <c r="A389" s="905"/>
      <c r="C389" s="893"/>
      <c r="D389" s="893"/>
      <c r="E389" s="893"/>
      <c r="F389" s="893"/>
      <c r="G389" s="893"/>
      <c r="H389" s="893"/>
      <c r="I389" s="893"/>
      <c r="J389" s="893"/>
      <c r="K389" s="893"/>
      <c r="L389" s="893"/>
      <c r="M389" s="893"/>
      <c r="N389" s="893"/>
      <c r="O389" s="893"/>
      <c r="P389" s="893"/>
      <c r="Q389" s="894"/>
      <c r="R389" s="887"/>
      <c r="S389" s="894"/>
      <c r="T389" s="893"/>
      <c r="U389" s="893"/>
      <c r="V389" s="893"/>
      <c r="W389" s="893"/>
      <c r="X389" s="893"/>
      <c r="Y389" s="893"/>
    </row>
    <row r="390" spans="1:25" x14ac:dyDescent="0.2">
      <c r="A390" s="905" t="s">
        <v>233</v>
      </c>
      <c r="B390" s="1003" t="s">
        <v>1221</v>
      </c>
      <c r="C390" s="874">
        <f>-IntDeduct!C24</f>
        <v>1000</v>
      </c>
      <c r="D390" s="874">
        <f>-IntDeduct!D24</f>
        <v>1000</v>
      </c>
      <c r="E390" s="874">
        <f>-IntDeduct!E24</f>
        <v>1100</v>
      </c>
      <c r="F390" s="874">
        <f>-IntDeduct!F24</f>
        <v>1100</v>
      </c>
      <c r="G390" s="874">
        <f>-IntDeduct!G24</f>
        <v>1200</v>
      </c>
      <c r="H390" s="874">
        <f>-IntDeduct!H24</f>
        <v>1100</v>
      </c>
      <c r="I390" s="874">
        <f>-IntDeduct!I24</f>
        <v>1100</v>
      </c>
      <c r="J390" s="874">
        <f>-IntDeduct!J24</f>
        <v>1100</v>
      </c>
      <c r="K390" s="874">
        <f>-IntDeduct!K24</f>
        <v>1000</v>
      </c>
      <c r="L390" s="874">
        <f>-IntDeduct!L24</f>
        <v>1000</v>
      </c>
      <c r="M390" s="874">
        <f>-IntDeduct!M24</f>
        <v>900</v>
      </c>
      <c r="N390" s="874">
        <f>-IntDeduct!N24</f>
        <v>900</v>
      </c>
      <c r="O390" s="143">
        <f t="shared" ref="O390:O397" si="151">SUM(C390:N390)</f>
        <v>12500</v>
      </c>
      <c r="P390" s="143"/>
      <c r="Q390" s="894"/>
      <c r="R390" s="883" t="s">
        <v>554</v>
      </c>
      <c r="S390" s="894"/>
      <c r="T390" s="143"/>
      <c r="U390" s="896">
        <f>C390+D390+E390</f>
        <v>3100</v>
      </c>
      <c r="V390" s="896">
        <f>F390+G390+H390</f>
        <v>3400</v>
      </c>
      <c r="W390" s="896">
        <f>I390+J390+K390</f>
        <v>3200</v>
      </c>
      <c r="X390" s="896">
        <f>L390+M390+N390</f>
        <v>2800</v>
      </c>
      <c r="Y390" s="873">
        <f>SUM(U390:X390)</f>
        <v>12500</v>
      </c>
    </row>
    <row r="391" spans="1:25" ht="6" customHeight="1" x14ac:dyDescent="0.2">
      <c r="A391" s="905"/>
      <c r="C391" s="893"/>
      <c r="D391" s="893"/>
      <c r="E391" s="893"/>
      <c r="F391" s="893"/>
      <c r="G391" s="893"/>
      <c r="H391" s="893"/>
      <c r="I391" s="893"/>
      <c r="J391" s="893"/>
      <c r="K391" s="893"/>
      <c r="L391" s="893"/>
      <c r="M391" s="893"/>
      <c r="N391" s="893"/>
      <c r="O391" s="893"/>
      <c r="P391" s="893"/>
      <c r="Q391" s="894"/>
      <c r="R391" s="887"/>
      <c r="S391" s="894"/>
      <c r="T391" s="893"/>
      <c r="U391" s="893"/>
      <c r="V391" s="893"/>
      <c r="W391" s="893"/>
      <c r="X391" s="893"/>
      <c r="Y391" s="893"/>
    </row>
    <row r="392" spans="1:25" x14ac:dyDescent="0.2">
      <c r="A392" s="905" t="s">
        <v>234</v>
      </c>
      <c r="C392" s="874">
        <f>-IntDeduct!C25</f>
        <v>-2031</v>
      </c>
      <c r="D392" s="874">
        <f>-IntDeduct!D25</f>
        <v>-2031</v>
      </c>
      <c r="E392" s="874">
        <f>-IntDeduct!E25</f>
        <v>-2031</v>
      </c>
      <c r="F392" s="874">
        <f>-IntDeduct!F25</f>
        <v>-2031</v>
      </c>
      <c r="G392" s="874">
        <f>-IntDeduct!G25</f>
        <v>-2031</v>
      </c>
      <c r="H392" s="874">
        <f>-IntDeduct!H25</f>
        <v>-2031</v>
      </c>
      <c r="I392" s="874">
        <f>-IntDeduct!I25</f>
        <v>-2031</v>
      </c>
      <c r="J392" s="874">
        <f>-IntDeduct!J25</f>
        <v>-2031</v>
      </c>
      <c r="K392" s="874">
        <f>-IntDeduct!K25</f>
        <v>-2031</v>
      </c>
      <c r="L392" s="874">
        <f>-IntDeduct!L25</f>
        <v>-2031</v>
      </c>
      <c r="M392" s="874">
        <f>-IntDeduct!M25</f>
        <v>-2031</v>
      </c>
      <c r="N392" s="874">
        <f>-IntDeduct!N25</f>
        <v>-2031</v>
      </c>
      <c r="O392" s="143">
        <f t="shared" si="151"/>
        <v>-24372</v>
      </c>
      <c r="P392" s="143"/>
      <c r="Q392" s="894"/>
      <c r="R392" s="887" t="s">
        <v>525</v>
      </c>
      <c r="S392" s="894"/>
      <c r="T392" s="143"/>
      <c r="U392" s="896">
        <f>C392+D392+E392</f>
        <v>-6093</v>
      </c>
      <c r="V392" s="896">
        <f>F392+G392+H392</f>
        <v>-6093</v>
      </c>
      <c r="W392" s="896">
        <f>I392+J392+K392</f>
        <v>-6093</v>
      </c>
      <c r="X392" s="896">
        <f>L392+M392+N392</f>
        <v>-6093</v>
      </c>
      <c r="Y392" s="873">
        <f>SUM(U392:X392)</f>
        <v>-24372</v>
      </c>
    </row>
    <row r="393" spans="1:25" x14ac:dyDescent="0.2">
      <c r="A393" s="905" t="s">
        <v>531</v>
      </c>
      <c r="C393" s="874">
        <f>-IntDeduct!C26</f>
        <v>-27</v>
      </c>
      <c r="D393" s="874">
        <f>-IntDeduct!D26</f>
        <v>-27</v>
      </c>
      <c r="E393" s="874">
        <f>-IntDeduct!E26</f>
        <v>-27</v>
      </c>
      <c r="F393" s="874">
        <f>-IntDeduct!F26</f>
        <v>-27</v>
      </c>
      <c r="G393" s="874">
        <f>-IntDeduct!G26</f>
        <v>-27</v>
      </c>
      <c r="H393" s="874">
        <f>-IntDeduct!H26</f>
        <v>-27</v>
      </c>
      <c r="I393" s="874">
        <f>-IntDeduct!I26</f>
        <v>-27</v>
      </c>
      <c r="J393" s="874">
        <f>-IntDeduct!J26</f>
        <v>-27</v>
      </c>
      <c r="K393" s="874">
        <f>-IntDeduct!K26</f>
        <v>-27</v>
      </c>
      <c r="L393" s="874">
        <f>-IntDeduct!L26</f>
        <v>-27</v>
      </c>
      <c r="M393" s="874">
        <f>-IntDeduct!M26</f>
        <v>-27</v>
      </c>
      <c r="N393" s="874">
        <f>-IntDeduct!N26</f>
        <v>-28</v>
      </c>
      <c r="O393" s="143">
        <f t="shared" si="151"/>
        <v>-325</v>
      </c>
      <c r="P393" s="143"/>
      <c r="Q393" s="894"/>
      <c r="R393" s="887" t="s">
        <v>525</v>
      </c>
      <c r="S393" s="894"/>
      <c r="T393" s="143"/>
      <c r="U393" s="896">
        <f>C393+D393+E393</f>
        <v>-81</v>
      </c>
      <c r="V393" s="896">
        <f>F393+G393+H393</f>
        <v>-81</v>
      </c>
      <c r="W393" s="896">
        <f>I393+J393+K393</f>
        <v>-81</v>
      </c>
      <c r="X393" s="896">
        <f>L393+M393+N393</f>
        <v>-82</v>
      </c>
      <c r="Y393" s="873">
        <f>SUM(U393:X393)</f>
        <v>-325</v>
      </c>
    </row>
    <row r="394" spans="1:25" x14ac:dyDescent="0.2">
      <c r="A394" s="905" t="s">
        <v>235</v>
      </c>
      <c r="C394" s="874">
        <f>-IntDeduct!C27</f>
        <v>-844</v>
      </c>
      <c r="D394" s="874">
        <f>-IntDeduct!D27</f>
        <v>-844</v>
      </c>
      <c r="E394" s="874">
        <f>-IntDeduct!E27</f>
        <v>-844</v>
      </c>
      <c r="F394" s="874">
        <f>-IntDeduct!F27</f>
        <v>-843</v>
      </c>
      <c r="G394" s="874">
        <f>-IntDeduct!G27</f>
        <v>-844</v>
      </c>
      <c r="H394" s="874">
        <f>-IntDeduct!H27</f>
        <v>-844</v>
      </c>
      <c r="I394" s="874">
        <f>-IntDeduct!I27</f>
        <v>-844</v>
      </c>
      <c r="J394" s="874">
        <f>-IntDeduct!J27</f>
        <v>-843</v>
      </c>
      <c r="K394" s="874">
        <f>-IntDeduct!K27</f>
        <v>-844</v>
      </c>
      <c r="L394" s="874">
        <f>-IntDeduct!L27</f>
        <v>-844</v>
      </c>
      <c r="M394" s="874">
        <f>-IntDeduct!M27</f>
        <v>-844</v>
      </c>
      <c r="N394" s="874">
        <f>-IntDeduct!N27</f>
        <v>-843</v>
      </c>
      <c r="O394" s="143">
        <f t="shared" si="151"/>
        <v>-10125</v>
      </c>
      <c r="P394" s="143"/>
      <c r="Q394" s="894"/>
      <c r="R394" s="887" t="s">
        <v>525</v>
      </c>
      <c r="S394" s="894"/>
      <c r="T394" s="143"/>
      <c r="U394" s="896">
        <f>C394+D394+E394</f>
        <v>-2532</v>
      </c>
      <c r="V394" s="896">
        <f>F394+G394+H394</f>
        <v>-2531</v>
      </c>
      <c r="W394" s="896">
        <f>I394+J394+K394</f>
        <v>-2531</v>
      </c>
      <c r="X394" s="896">
        <f>L394+M394+N394</f>
        <v>-2531</v>
      </c>
      <c r="Y394" s="873">
        <f>SUM(U394:X394)</f>
        <v>-10125</v>
      </c>
    </row>
    <row r="395" spans="1:25" x14ac:dyDescent="0.2">
      <c r="A395" s="905" t="s">
        <v>531</v>
      </c>
      <c r="C395" s="874">
        <f>-IntDeduct!C28</f>
        <v>-11</v>
      </c>
      <c r="D395" s="874">
        <f>-IntDeduct!D28</f>
        <v>-11</v>
      </c>
      <c r="E395" s="874">
        <f>-IntDeduct!E28</f>
        <v>-11</v>
      </c>
      <c r="F395" s="874">
        <f>-IntDeduct!F28</f>
        <v>-11</v>
      </c>
      <c r="G395" s="874">
        <f>-IntDeduct!G28</f>
        <v>-11</v>
      </c>
      <c r="H395" s="874">
        <f>-IntDeduct!H28</f>
        <v>-11</v>
      </c>
      <c r="I395" s="874">
        <f>-IntDeduct!I28</f>
        <v>-11</v>
      </c>
      <c r="J395" s="874">
        <f>-IntDeduct!J28</f>
        <v>-11</v>
      </c>
      <c r="K395" s="874">
        <f>-IntDeduct!K28</f>
        <v>-11</v>
      </c>
      <c r="L395" s="874">
        <f>-IntDeduct!L28</f>
        <v>-10</v>
      </c>
      <c r="M395" s="874">
        <f>-IntDeduct!M28</f>
        <v>-11</v>
      </c>
      <c r="N395" s="874">
        <f>-IntDeduct!N28</f>
        <v>-11</v>
      </c>
      <c r="O395" s="143">
        <f t="shared" si="151"/>
        <v>-131</v>
      </c>
      <c r="P395" s="143"/>
      <c r="Q395" s="894"/>
      <c r="R395" s="887" t="s">
        <v>525</v>
      </c>
      <c r="S395" s="894"/>
      <c r="T395" s="143"/>
      <c r="U395" s="896">
        <f>C395+D395+E395</f>
        <v>-33</v>
      </c>
      <c r="V395" s="896">
        <f>F395+G395+H395</f>
        <v>-33</v>
      </c>
      <c r="W395" s="896">
        <f>I395+J395+K395</f>
        <v>-33</v>
      </c>
      <c r="X395" s="896">
        <f>L395+M395+N395</f>
        <v>-32</v>
      </c>
      <c r="Y395" s="873">
        <f>SUM(U395:X395)</f>
        <v>-131</v>
      </c>
    </row>
    <row r="396" spans="1:25" ht="6" customHeight="1" x14ac:dyDescent="0.2">
      <c r="A396" s="906"/>
      <c r="C396" s="893"/>
      <c r="D396" s="893"/>
      <c r="E396" s="893"/>
      <c r="F396" s="893"/>
      <c r="G396" s="893"/>
      <c r="H396" s="893"/>
      <c r="I396" s="893"/>
      <c r="J396" s="893"/>
      <c r="K396" s="893"/>
      <c r="L396" s="893"/>
      <c r="M396" s="893"/>
      <c r="N396" s="893"/>
      <c r="O396" s="893"/>
      <c r="P396" s="893"/>
      <c r="Q396" s="894"/>
      <c r="R396" s="887"/>
      <c r="S396" s="894"/>
      <c r="T396" s="893"/>
      <c r="U396" s="893"/>
      <c r="V396" s="893"/>
      <c r="W396" s="893"/>
      <c r="X396" s="893"/>
      <c r="Y396" s="893"/>
    </row>
    <row r="397" spans="1:25" x14ac:dyDescent="0.2">
      <c r="A397" s="905" t="s">
        <v>26</v>
      </c>
      <c r="B397" s="1003" t="s">
        <v>1221</v>
      </c>
      <c r="C397" s="874">
        <f>-IntDeduct!C39</f>
        <v>10</v>
      </c>
      <c r="D397" s="874">
        <f>-IntDeduct!D39</f>
        <v>4</v>
      </c>
      <c r="E397" s="874">
        <f>-IntDeduct!E39</f>
        <v>12</v>
      </c>
      <c r="F397" s="874">
        <f>-IntDeduct!F39</f>
        <v>28</v>
      </c>
      <c r="G397" s="874">
        <f>-IntDeduct!G39</f>
        <v>50</v>
      </c>
      <c r="H397" s="874">
        <f>-IntDeduct!H39</f>
        <v>68</v>
      </c>
      <c r="I397" s="874">
        <f>-IntDeduct!I39</f>
        <v>2</v>
      </c>
      <c r="J397" s="874">
        <f>-IntDeduct!J39</f>
        <v>26</v>
      </c>
      <c r="K397" s="874">
        <f>-IntDeduct!K39</f>
        <v>48</v>
      </c>
      <c r="L397" s="874">
        <f>-IntDeduct!L39</f>
        <v>69</v>
      </c>
      <c r="M397" s="874">
        <f>-IntDeduct!M39</f>
        <v>53</v>
      </c>
      <c r="N397" s="874">
        <f>-IntDeduct!N39</f>
        <v>51</v>
      </c>
      <c r="O397" s="143">
        <f t="shared" si="151"/>
        <v>421</v>
      </c>
      <c r="P397" s="143"/>
      <c r="Q397" s="884"/>
      <c r="R397" s="887" t="s">
        <v>793</v>
      </c>
      <c r="S397" s="884"/>
      <c r="T397" s="143"/>
      <c r="U397" s="896">
        <f>C397+D397+E397</f>
        <v>26</v>
      </c>
      <c r="V397" s="896">
        <f>F397+G397+H397</f>
        <v>146</v>
      </c>
      <c r="W397" s="896">
        <f>I397+J397+K397</f>
        <v>76</v>
      </c>
      <c r="X397" s="896">
        <f>L397+M397+N397</f>
        <v>173</v>
      </c>
      <c r="Y397" s="873">
        <f>SUM(U397:X397)</f>
        <v>421</v>
      </c>
    </row>
    <row r="398" spans="1:25" ht="6" customHeight="1" thickBot="1" x14ac:dyDescent="0.25">
      <c r="A398" s="905"/>
      <c r="C398" s="874"/>
      <c r="D398" s="874"/>
      <c r="E398" s="874"/>
      <c r="F398" s="874"/>
      <c r="G398" s="874"/>
      <c r="H398" s="874"/>
      <c r="I398" s="874"/>
      <c r="J398" s="874"/>
      <c r="K398" s="874"/>
      <c r="L398" s="874"/>
      <c r="M398" s="874"/>
      <c r="N398" s="874"/>
      <c r="O398" s="143"/>
      <c r="P398" s="143"/>
      <c r="Q398" s="884"/>
      <c r="R398" s="887"/>
      <c r="S398" s="884"/>
      <c r="T398" s="143"/>
      <c r="U398" s="874"/>
      <c r="V398" s="874"/>
      <c r="W398" s="874"/>
      <c r="X398" s="874"/>
      <c r="Y398" s="873"/>
    </row>
    <row r="399" spans="1:25" ht="13.5" thickBot="1" x14ac:dyDescent="0.25">
      <c r="A399" s="910" t="s">
        <v>532</v>
      </c>
      <c r="C399" s="890">
        <f>C374+SUM(C388:C397)</f>
        <v>30575</v>
      </c>
      <c r="D399" s="890">
        <f>D374+SUM(D388:D397)</f>
        <v>29385</v>
      </c>
      <c r="E399" s="890">
        <f t="shared" ref="E399:N399" si="152">E374+SUM(E388:E397)</f>
        <v>33794</v>
      </c>
      <c r="F399" s="890">
        <f t="shared" si="152"/>
        <v>-1522</v>
      </c>
      <c r="G399" s="890">
        <f t="shared" si="152"/>
        <v>-1542</v>
      </c>
      <c r="H399" s="890">
        <f t="shared" si="152"/>
        <v>13053</v>
      </c>
      <c r="I399" s="890">
        <f t="shared" si="152"/>
        <v>-569</v>
      </c>
      <c r="J399" s="890">
        <f t="shared" si="152"/>
        <v>383</v>
      </c>
      <c r="K399" s="890">
        <f t="shared" si="152"/>
        <v>269</v>
      </c>
      <c r="L399" s="890">
        <f t="shared" si="152"/>
        <v>-1010</v>
      </c>
      <c r="M399" s="890">
        <f t="shared" si="152"/>
        <v>28776</v>
      </c>
      <c r="N399" s="890">
        <f t="shared" si="152"/>
        <v>35335</v>
      </c>
      <c r="O399" s="890">
        <f>O374+SUM(O388:O397)</f>
        <v>166927</v>
      </c>
      <c r="P399" s="893"/>
      <c r="Q399" s="894"/>
      <c r="R399" s="874"/>
      <c r="S399" s="894"/>
      <c r="T399" s="893"/>
      <c r="U399" s="891">
        <f>U374+SUM(U388:U397)</f>
        <v>93754</v>
      </c>
      <c r="V399" s="899">
        <f>V374+SUM(V388:V397)</f>
        <v>9989</v>
      </c>
      <c r="W399" s="899">
        <f>W374+SUM(W388:W397)</f>
        <v>83</v>
      </c>
      <c r="X399" s="899">
        <f>X374+SUM(X388:X397)</f>
        <v>63101</v>
      </c>
      <c r="Y399" s="892">
        <f>Y374+SUM(Y388:Y397)</f>
        <v>166927</v>
      </c>
    </row>
    <row r="400" spans="1:25" ht="6" customHeight="1" x14ac:dyDescent="0.2">
      <c r="A400" s="910"/>
      <c r="C400" s="893"/>
      <c r="D400" s="893"/>
      <c r="E400" s="893"/>
      <c r="F400" s="893"/>
      <c r="G400" s="893"/>
      <c r="H400" s="893"/>
      <c r="I400" s="893"/>
      <c r="J400" s="893"/>
      <c r="K400" s="893"/>
      <c r="L400" s="893"/>
      <c r="M400" s="893"/>
      <c r="N400" s="893"/>
      <c r="O400" s="893"/>
      <c r="P400" s="893"/>
      <c r="Q400" s="894"/>
      <c r="R400" s="874"/>
      <c r="S400" s="894"/>
      <c r="T400" s="893"/>
      <c r="U400" s="893"/>
      <c r="V400" s="893"/>
      <c r="W400" s="893"/>
      <c r="X400" s="893"/>
      <c r="Y400" s="893"/>
    </row>
    <row r="401" spans="1:26" s="871" customFormat="1" ht="12.75" customHeight="1" x14ac:dyDescent="0.2">
      <c r="A401" s="907" t="s">
        <v>550</v>
      </c>
      <c r="C401" s="896">
        <f>-IncomeState!C52</f>
        <v>-11427</v>
      </c>
      <c r="D401" s="896">
        <f>-IncomeState!D52</f>
        <v>-10928</v>
      </c>
      <c r="E401" s="896">
        <f>-IncomeState!E52</f>
        <v>-12650</v>
      </c>
      <c r="F401" s="896">
        <f>-IncomeState!F52</f>
        <v>1088</v>
      </c>
      <c r="G401" s="896">
        <f>-IncomeState!G52</f>
        <v>2005</v>
      </c>
      <c r="H401" s="896">
        <f>-IncomeState!H52</f>
        <v>-4131</v>
      </c>
      <c r="I401" s="896">
        <f>-IncomeState!I52</f>
        <v>318</v>
      </c>
      <c r="J401" s="896">
        <f>-IncomeState!J52</f>
        <v>43</v>
      </c>
      <c r="K401" s="896">
        <f>-IncomeState!K52</f>
        <v>1396</v>
      </c>
      <c r="L401" s="896">
        <f>-IncomeState!L52</f>
        <v>764</v>
      </c>
      <c r="M401" s="896">
        <f>-IncomeState!M52</f>
        <v>-11476</v>
      </c>
      <c r="N401" s="896">
        <f>-IncomeState!N52</f>
        <v>-13423</v>
      </c>
      <c r="O401" s="143">
        <f>SUM(C401:N401)</f>
        <v>-58421</v>
      </c>
      <c r="P401" s="143"/>
      <c r="Q401" s="956"/>
      <c r="R401" s="883" t="s">
        <v>533</v>
      </c>
      <c r="S401" s="956"/>
      <c r="T401" s="143"/>
      <c r="U401" s="896">
        <f>C401+D401+E401</f>
        <v>-35005</v>
      </c>
      <c r="V401" s="896">
        <f>F401+G401+H401</f>
        <v>-1038</v>
      </c>
      <c r="W401" s="896">
        <f>I401+J401+K401</f>
        <v>1757</v>
      </c>
      <c r="X401" s="896">
        <f>L401+M401+N401</f>
        <v>-24135</v>
      </c>
      <c r="Y401" s="873">
        <f>SUM(U401:X401)</f>
        <v>-58421</v>
      </c>
    </row>
    <row r="402" spans="1:26" s="871" customFormat="1" ht="12.75" customHeight="1" x14ac:dyDescent="0.2">
      <c r="A402" s="907" t="s">
        <v>1055</v>
      </c>
      <c r="C402" s="939">
        <f>-IncomeState!C53</f>
        <v>-643</v>
      </c>
      <c r="D402" s="939">
        <f>-IncomeState!D53</f>
        <v>-672</v>
      </c>
      <c r="E402" s="939">
        <f>-IncomeState!E53</f>
        <v>-691</v>
      </c>
      <c r="F402" s="939">
        <f>-IncomeState!F53</f>
        <v>-488</v>
      </c>
      <c r="G402" s="939">
        <f>-IncomeState!G53</f>
        <v>-1398</v>
      </c>
      <c r="H402" s="939">
        <f>-IncomeState!H53</f>
        <v>-1010</v>
      </c>
      <c r="I402" s="939">
        <f>-IncomeState!I53</f>
        <v>-82</v>
      </c>
      <c r="J402" s="939">
        <f>-IncomeState!J53</f>
        <v>-186</v>
      </c>
      <c r="K402" s="939">
        <f>-IncomeState!K53</f>
        <v>-1494</v>
      </c>
      <c r="L402" s="939">
        <f>-IncomeState!L53</f>
        <v>-358</v>
      </c>
      <c r="M402" s="939">
        <f>-IncomeState!M53</f>
        <v>126</v>
      </c>
      <c r="N402" s="939">
        <f>-IncomeState!N53</f>
        <v>-516</v>
      </c>
      <c r="O402" s="144">
        <f>SUM(C402:N402)</f>
        <v>-7412</v>
      </c>
      <c r="P402" s="144"/>
      <c r="Q402" s="956"/>
      <c r="R402" s="883" t="s">
        <v>534</v>
      </c>
      <c r="S402" s="956"/>
      <c r="T402" s="144"/>
      <c r="U402" s="939">
        <f>C402+D402+E402</f>
        <v>-2006</v>
      </c>
      <c r="V402" s="939">
        <f>F402+G402+H402</f>
        <v>-2896</v>
      </c>
      <c r="W402" s="939">
        <f>I402+J402+K402</f>
        <v>-1762</v>
      </c>
      <c r="X402" s="939">
        <f>L402+M402+N402</f>
        <v>-748</v>
      </c>
      <c r="Y402" s="920">
        <f>SUM(U402:X402)</f>
        <v>-7412</v>
      </c>
    </row>
    <row r="403" spans="1:26" s="871" customFormat="1" ht="12.75" customHeight="1" x14ac:dyDescent="0.2">
      <c r="A403" s="907" t="s">
        <v>551</v>
      </c>
      <c r="C403" s="896">
        <f t="shared" ref="C403:N403" si="153">+C401+C402</f>
        <v>-12070</v>
      </c>
      <c r="D403" s="896">
        <f t="shared" si="153"/>
        <v>-11600</v>
      </c>
      <c r="E403" s="896">
        <f t="shared" si="153"/>
        <v>-13341</v>
      </c>
      <c r="F403" s="896">
        <f t="shared" si="153"/>
        <v>600</v>
      </c>
      <c r="G403" s="896">
        <f t="shared" si="153"/>
        <v>607</v>
      </c>
      <c r="H403" s="896">
        <f t="shared" si="153"/>
        <v>-5141</v>
      </c>
      <c r="I403" s="896">
        <f t="shared" si="153"/>
        <v>236</v>
      </c>
      <c r="J403" s="896">
        <f t="shared" si="153"/>
        <v>-143</v>
      </c>
      <c r="K403" s="896">
        <f t="shared" si="153"/>
        <v>-98</v>
      </c>
      <c r="L403" s="896">
        <f t="shared" si="153"/>
        <v>406</v>
      </c>
      <c r="M403" s="896">
        <f t="shared" si="153"/>
        <v>-11350</v>
      </c>
      <c r="N403" s="896">
        <f t="shared" si="153"/>
        <v>-13939</v>
      </c>
      <c r="O403" s="896">
        <f>C403+D403+E403+F403+G403+H403+I403+J403+K403+L403+M403+N403</f>
        <v>-65833</v>
      </c>
      <c r="P403" s="896"/>
      <c r="Q403" s="959"/>
      <c r="R403" s="887" t="s">
        <v>535</v>
      </c>
      <c r="S403" s="959"/>
      <c r="T403" s="896"/>
      <c r="U403" s="896">
        <f>C403+D403+E403</f>
        <v>-37011</v>
      </c>
      <c r="V403" s="896">
        <f>F403+G403+H403</f>
        <v>-3934</v>
      </c>
      <c r="W403" s="896">
        <f>I403+J403+K403</f>
        <v>-5</v>
      </c>
      <c r="X403" s="896">
        <f>L403+M403+N403</f>
        <v>-24883</v>
      </c>
      <c r="Y403" s="873">
        <f>SUM(U403:X403)</f>
        <v>-65833</v>
      </c>
    </row>
    <row r="404" spans="1:26" ht="6" customHeight="1" thickBot="1" x14ac:dyDescent="0.25">
      <c r="A404" s="910"/>
      <c r="C404" s="893"/>
      <c r="D404" s="893"/>
      <c r="E404" s="893"/>
      <c r="F404" s="893"/>
      <c r="G404" s="893"/>
      <c r="H404" s="893"/>
      <c r="I404" s="893"/>
      <c r="J404" s="893"/>
      <c r="K404" s="893"/>
      <c r="L404" s="893"/>
      <c r="M404" s="893"/>
      <c r="N404" s="893"/>
      <c r="O404" s="893"/>
      <c r="P404" s="893"/>
      <c r="Q404" s="894"/>
      <c r="R404" s="874"/>
      <c r="S404" s="894"/>
      <c r="T404" s="893"/>
      <c r="U404" s="893"/>
      <c r="V404" s="893"/>
      <c r="W404" s="893"/>
      <c r="X404" s="893"/>
      <c r="Y404" s="893"/>
    </row>
    <row r="405" spans="1:26" ht="13.5" thickBot="1" x14ac:dyDescent="0.25">
      <c r="A405" s="904" t="s">
        <v>729</v>
      </c>
      <c r="C405" s="890">
        <f t="shared" ref="C405:N405" si="154">+C399+C403</f>
        <v>18505</v>
      </c>
      <c r="D405" s="890">
        <f t="shared" si="154"/>
        <v>17785</v>
      </c>
      <c r="E405" s="890">
        <f t="shared" si="154"/>
        <v>20453</v>
      </c>
      <c r="F405" s="890">
        <f t="shared" si="154"/>
        <v>-922</v>
      </c>
      <c r="G405" s="890">
        <f t="shared" si="154"/>
        <v>-935</v>
      </c>
      <c r="H405" s="890">
        <f t="shared" si="154"/>
        <v>7912</v>
      </c>
      <c r="I405" s="890">
        <f t="shared" si="154"/>
        <v>-333</v>
      </c>
      <c r="J405" s="890">
        <f t="shared" si="154"/>
        <v>240</v>
      </c>
      <c r="K405" s="890">
        <f t="shared" si="154"/>
        <v>171</v>
      </c>
      <c r="L405" s="890">
        <f t="shared" si="154"/>
        <v>-604</v>
      </c>
      <c r="M405" s="890">
        <f t="shared" si="154"/>
        <v>17426</v>
      </c>
      <c r="N405" s="890">
        <f t="shared" si="154"/>
        <v>21396</v>
      </c>
      <c r="O405" s="890">
        <f>+O399+O403</f>
        <v>101094</v>
      </c>
      <c r="P405" s="893"/>
      <c r="Q405" s="894"/>
      <c r="R405" s="874"/>
      <c r="S405" s="894"/>
      <c r="T405" s="893"/>
      <c r="U405" s="891">
        <f>+U399+U403</f>
        <v>56743</v>
      </c>
      <c r="V405" s="899">
        <f>+V399+V403</f>
        <v>6055</v>
      </c>
      <c r="W405" s="899">
        <f>+W399+W403</f>
        <v>78</v>
      </c>
      <c r="X405" s="899">
        <f>+X399+X403</f>
        <v>38218</v>
      </c>
      <c r="Y405" s="892">
        <f>+Y399+Y403</f>
        <v>101094</v>
      </c>
    </row>
    <row r="406" spans="1:26" ht="6" customHeight="1" x14ac:dyDescent="0.2">
      <c r="A406" s="904"/>
      <c r="C406" s="893"/>
      <c r="D406" s="893"/>
      <c r="E406" s="893"/>
      <c r="F406" s="893"/>
      <c r="G406" s="893"/>
      <c r="H406" s="893"/>
      <c r="I406" s="893"/>
      <c r="J406" s="893"/>
      <c r="K406" s="893"/>
      <c r="L406" s="893"/>
      <c r="M406" s="893"/>
      <c r="N406" s="893"/>
      <c r="O406" s="893"/>
      <c r="P406" s="893"/>
      <c r="Q406" s="894"/>
      <c r="R406" s="874"/>
      <c r="S406" s="894"/>
      <c r="T406" s="893"/>
      <c r="U406" s="893"/>
      <c r="V406" s="893"/>
      <c r="W406" s="893"/>
      <c r="X406" s="893"/>
      <c r="Y406" s="893"/>
    </row>
    <row r="407" spans="1:26" x14ac:dyDescent="0.2">
      <c r="A407" s="904" t="s">
        <v>536</v>
      </c>
      <c r="C407" s="957">
        <v>0</v>
      </c>
      <c r="D407" s="957">
        <v>0</v>
      </c>
      <c r="E407" s="957">
        <v>0</v>
      </c>
      <c r="F407" s="957">
        <v>0</v>
      </c>
      <c r="G407" s="957">
        <v>0</v>
      </c>
      <c r="H407" s="957">
        <v>0</v>
      </c>
      <c r="I407" s="957">
        <v>0</v>
      </c>
      <c r="J407" s="957">
        <v>0</v>
      </c>
      <c r="K407" s="957">
        <v>0</v>
      </c>
      <c r="L407" s="957">
        <v>0</v>
      </c>
      <c r="M407" s="957">
        <v>0</v>
      </c>
      <c r="N407" s="957">
        <v>0</v>
      </c>
      <c r="O407" s="143">
        <f>SUM(C407:N407)</f>
        <v>0</v>
      </c>
      <c r="P407" s="143"/>
      <c r="Q407" s="894"/>
      <c r="R407" s="877" t="s">
        <v>537</v>
      </c>
      <c r="S407" s="894"/>
      <c r="T407" s="143"/>
      <c r="U407" s="874">
        <f>C407+D407+E407</f>
        <v>0</v>
      </c>
      <c r="V407" s="874">
        <f>F407+G407+H407</f>
        <v>0</v>
      </c>
      <c r="W407" s="874">
        <f>I407+J407+K407</f>
        <v>0</v>
      </c>
      <c r="X407" s="874">
        <f>L407+M407+N407</f>
        <v>0</v>
      </c>
      <c r="Y407" s="873">
        <f>SUM(U407:X407)</f>
        <v>0</v>
      </c>
    </row>
    <row r="408" spans="1:26" ht="6" customHeight="1" thickBot="1" x14ac:dyDescent="0.25">
      <c r="A408" s="906"/>
      <c r="C408" s="893"/>
      <c r="D408" s="893"/>
      <c r="E408" s="893"/>
      <c r="F408" s="893"/>
      <c r="G408" s="893"/>
      <c r="H408" s="893"/>
      <c r="I408" s="893"/>
      <c r="J408" s="893"/>
      <c r="K408" s="893"/>
      <c r="L408" s="893"/>
      <c r="M408" s="893"/>
      <c r="N408" s="893"/>
      <c r="O408" s="893"/>
      <c r="P408" s="893"/>
      <c r="Q408" s="894"/>
      <c r="R408" s="916"/>
      <c r="S408" s="894"/>
      <c r="T408" s="893"/>
      <c r="U408" s="893"/>
      <c r="V408" s="893"/>
      <c r="W408" s="893"/>
      <c r="X408" s="893"/>
      <c r="Y408" s="893"/>
    </row>
    <row r="409" spans="1:26" ht="13.5" thickBot="1" x14ac:dyDescent="0.25">
      <c r="A409" s="904" t="s">
        <v>730</v>
      </c>
      <c r="C409" s="890">
        <f t="shared" ref="C409:O409" si="155">SUM(C405:C408)</f>
        <v>18505</v>
      </c>
      <c r="D409" s="890">
        <f t="shared" si="155"/>
        <v>17785</v>
      </c>
      <c r="E409" s="891">
        <f t="shared" si="155"/>
        <v>20453</v>
      </c>
      <c r="F409" s="892">
        <f t="shared" si="155"/>
        <v>-922</v>
      </c>
      <c r="G409" s="890">
        <f t="shared" si="155"/>
        <v>-935</v>
      </c>
      <c r="H409" s="890">
        <f t="shared" si="155"/>
        <v>7912</v>
      </c>
      <c r="I409" s="890">
        <f t="shared" si="155"/>
        <v>-333</v>
      </c>
      <c r="J409" s="890">
        <f t="shared" si="155"/>
        <v>240</v>
      </c>
      <c r="K409" s="890">
        <f t="shared" si="155"/>
        <v>171</v>
      </c>
      <c r="L409" s="890">
        <f t="shared" si="155"/>
        <v>-604</v>
      </c>
      <c r="M409" s="890">
        <f t="shared" si="155"/>
        <v>17426</v>
      </c>
      <c r="N409" s="891">
        <f t="shared" si="155"/>
        <v>21396</v>
      </c>
      <c r="O409" s="890">
        <f t="shared" si="155"/>
        <v>101094</v>
      </c>
      <c r="P409" s="893"/>
      <c r="Q409" s="894"/>
      <c r="R409" s="916"/>
      <c r="S409" s="894"/>
      <c r="T409" s="893"/>
      <c r="U409" s="891">
        <f>SUM(U405:U408)</f>
        <v>56743</v>
      </c>
      <c r="V409" s="899">
        <f>SUM(V405:V408)</f>
        <v>6055</v>
      </c>
      <c r="W409" s="899">
        <f>SUM(W405:W408)</f>
        <v>78</v>
      </c>
      <c r="X409" s="899">
        <f>SUM(X405:X408)</f>
        <v>38218</v>
      </c>
      <c r="Y409" s="892">
        <f>SUM(Y405:Y408)</f>
        <v>101094</v>
      </c>
    </row>
    <row r="410" spans="1:26" x14ac:dyDescent="0.2">
      <c r="A410" s="904"/>
      <c r="C410" s="893"/>
      <c r="D410" s="893"/>
      <c r="E410" s="893"/>
      <c r="F410" s="893"/>
      <c r="G410" s="893"/>
      <c r="H410" s="893"/>
      <c r="I410" s="893"/>
      <c r="J410" s="893"/>
      <c r="K410" s="893"/>
      <c r="L410" s="893"/>
      <c r="M410" s="893"/>
      <c r="N410" s="893"/>
      <c r="O410" s="893"/>
      <c r="P410" s="893"/>
      <c r="Q410" s="894"/>
      <c r="R410" s="916"/>
      <c r="S410" s="894"/>
      <c r="T410" s="893"/>
      <c r="U410" s="893"/>
      <c r="V410" s="893"/>
      <c r="W410" s="893"/>
      <c r="X410" s="893"/>
      <c r="Y410" s="893"/>
    </row>
    <row r="411" spans="1:26" x14ac:dyDescent="0.2">
      <c r="A411" s="989" t="s">
        <v>731</v>
      </c>
      <c r="C411" s="988">
        <f>+C374-IncomeState!C38</f>
        <v>0</v>
      </c>
      <c r="D411" s="988">
        <f>+D374-IncomeState!D38</f>
        <v>0</v>
      </c>
      <c r="E411" s="988">
        <f>+E374-IncomeState!E38</f>
        <v>0</v>
      </c>
      <c r="F411" s="988">
        <f>+F374-IncomeState!F38</f>
        <v>0</v>
      </c>
      <c r="G411" s="988">
        <f>+G374-IncomeState!G38</f>
        <v>0</v>
      </c>
      <c r="H411" s="988">
        <f>+H374-IncomeState!H38</f>
        <v>0</v>
      </c>
      <c r="I411" s="988">
        <f>+I374-IncomeState!I38</f>
        <v>0</v>
      </c>
      <c r="J411" s="988">
        <f>+J374-IncomeState!J38</f>
        <v>0</v>
      </c>
      <c r="K411" s="988">
        <f>+K374-IncomeState!K38</f>
        <v>0</v>
      </c>
      <c r="L411" s="988">
        <f>+L374-IncomeState!L38</f>
        <v>0</v>
      </c>
      <c r="M411" s="988">
        <f>+M374-IncomeState!M38</f>
        <v>0</v>
      </c>
      <c r="N411" s="988">
        <f>+N374-IncomeState!N38</f>
        <v>0</v>
      </c>
      <c r="O411" s="988">
        <f>+O374-IncomeState!O38</f>
        <v>0</v>
      </c>
      <c r="P411" s="893"/>
      <c r="Q411" s="894"/>
      <c r="R411" s="916"/>
      <c r="S411" s="894"/>
      <c r="T411" s="893"/>
      <c r="U411" s="893"/>
      <c r="V411" s="893"/>
      <c r="W411" s="893"/>
      <c r="X411" s="893"/>
      <c r="Y411" s="893"/>
    </row>
    <row r="412" spans="1:26" x14ac:dyDescent="0.2">
      <c r="A412" s="990" t="s">
        <v>732</v>
      </c>
      <c r="C412" s="988">
        <f>+C405-IncomeState!C57</f>
        <v>0</v>
      </c>
      <c r="D412" s="988">
        <f>+D405-IncomeState!D57</f>
        <v>0</v>
      </c>
      <c r="E412" s="988">
        <f>+E405-IncomeState!E57</f>
        <v>0</v>
      </c>
      <c r="F412" s="988">
        <f>+F405-IncomeState!F57</f>
        <v>0</v>
      </c>
      <c r="G412" s="988">
        <f>+G405-IncomeState!G57</f>
        <v>0</v>
      </c>
      <c r="H412" s="988">
        <f>+H405-IncomeState!H57</f>
        <v>0</v>
      </c>
      <c r="I412" s="988">
        <f>+I405-IncomeState!I57</f>
        <v>0</v>
      </c>
      <c r="J412" s="988">
        <f>+J405-IncomeState!J57</f>
        <v>0</v>
      </c>
      <c r="K412" s="988">
        <f>+K405-IncomeState!K57</f>
        <v>0</v>
      </c>
      <c r="L412" s="988">
        <f>+L405-IncomeState!L57</f>
        <v>0</v>
      </c>
      <c r="M412" s="988">
        <f>+M405-IncomeState!M57</f>
        <v>0</v>
      </c>
      <c r="N412" s="988">
        <f>+N405-IncomeState!N57</f>
        <v>0</v>
      </c>
      <c r="O412" s="988">
        <f>+O405-IncomeState!O57</f>
        <v>0</v>
      </c>
      <c r="Q412" s="894"/>
      <c r="R412" s="862"/>
      <c r="S412" s="894"/>
      <c r="T412" s="862"/>
    </row>
    <row r="413" spans="1:26" x14ac:dyDescent="0.2">
      <c r="Q413" s="894"/>
      <c r="R413" s="862"/>
      <c r="S413" s="894"/>
      <c r="T413" s="862"/>
      <c r="Z413" s="893"/>
    </row>
    <row r="414" spans="1:26" ht="13.5" thickBot="1" x14ac:dyDescent="0.25">
      <c r="Q414" s="894"/>
      <c r="R414" s="862"/>
      <c r="S414" s="894"/>
      <c r="T414" s="862"/>
      <c r="Z414" s="893"/>
    </row>
    <row r="415" spans="1:26" ht="3.95" customHeight="1" x14ac:dyDescent="0.2">
      <c r="A415" s="906"/>
      <c r="C415" s="895"/>
      <c r="D415" s="895"/>
      <c r="E415" s="895"/>
      <c r="F415" s="895"/>
      <c r="G415" s="895"/>
      <c r="H415" s="895"/>
      <c r="I415" s="895"/>
      <c r="J415" s="895"/>
      <c r="K415" s="895"/>
      <c r="L415" s="895"/>
      <c r="M415" s="895"/>
      <c r="N415" s="895"/>
      <c r="O415" s="895"/>
      <c r="P415" s="893"/>
      <c r="Q415" s="875"/>
      <c r="R415" s="917"/>
      <c r="S415" s="875"/>
      <c r="T415" s="893"/>
      <c r="U415" s="895"/>
      <c r="V415" s="895"/>
      <c r="W415" s="895"/>
      <c r="X415" s="895"/>
      <c r="Y415" s="893"/>
      <c r="Z415" s="893"/>
    </row>
    <row r="416" spans="1:26" x14ac:dyDescent="0.2">
      <c r="A416" s="912" t="s">
        <v>1014</v>
      </c>
      <c r="C416" s="893"/>
      <c r="D416" s="893"/>
      <c r="E416" s="893"/>
      <c r="F416" s="893"/>
      <c r="G416" s="893"/>
      <c r="H416" s="893"/>
      <c r="I416" s="893"/>
      <c r="J416" s="893"/>
      <c r="K416" s="893"/>
      <c r="L416" s="893"/>
      <c r="M416" s="893"/>
      <c r="N416" s="893"/>
      <c r="O416" s="893"/>
      <c r="P416" s="893"/>
      <c r="Q416" s="875"/>
      <c r="R416" s="917"/>
      <c r="S416" s="875"/>
      <c r="T416" s="893"/>
      <c r="U416" s="893"/>
      <c r="V416" s="893"/>
      <c r="W416" s="893"/>
      <c r="X416" s="893"/>
      <c r="Y416" s="893"/>
      <c r="Z416" s="893"/>
    </row>
    <row r="417" spans="1:26" x14ac:dyDescent="0.2">
      <c r="A417" s="909" t="s">
        <v>1015</v>
      </c>
      <c r="B417" s="871"/>
      <c r="C417" s="896"/>
      <c r="D417" s="896"/>
      <c r="E417" s="896"/>
      <c r="F417" s="896"/>
      <c r="G417" s="896"/>
      <c r="H417" s="896"/>
      <c r="I417" s="896"/>
      <c r="J417" s="896"/>
      <c r="K417" s="896"/>
      <c r="L417" s="896"/>
      <c r="M417" s="896"/>
      <c r="N417" s="896"/>
      <c r="O417" s="896"/>
      <c r="P417" s="896"/>
      <c r="Q417" s="875"/>
      <c r="R417" s="960"/>
      <c r="S417" s="875"/>
      <c r="T417" s="896"/>
      <c r="U417" s="874"/>
      <c r="V417" s="874"/>
      <c r="W417" s="874"/>
      <c r="X417" s="874"/>
      <c r="Y417" s="880"/>
      <c r="Z417" s="873"/>
    </row>
    <row r="418" spans="1:26" x14ac:dyDescent="0.2">
      <c r="A418" s="907" t="s">
        <v>1016</v>
      </c>
      <c r="B418" s="871"/>
      <c r="C418" s="880">
        <f t="shared" ref="C418:N418" si="156">SUM(C7:C10)+SUM(C133:C136)</f>
        <v>0</v>
      </c>
      <c r="D418" s="880">
        <f t="shared" si="156"/>
        <v>0</v>
      </c>
      <c r="E418" s="880">
        <f t="shared" si="156"/>
        <v>0</v>
      </c>
      <c r="F418" s="880">
        <f t="shared" si="156"/>
        <v>0</v>
      </c>
      <c r="G418" s="880">
        <f t="shared" si="156"/>
        <v>0</v>
      </c>
      <c r="H418" s="880">
        <f t="shared" si="156"/>
        <v>0</v>
      </c>
      <c r="I418" s="880">
        <f t="shared" si="156"/>
        <v>0</v>
      </c>
      <c r="J418" s="880">
        <f t="shared" si="156"/>
        <v>0</v>
      </c>
      <c r="K418" s="880">
        <f t="shared" si="156"/>
        <v>0</v>
      </c>
      <c r="L418" s="880">
        <f t="shared" si="156"/>
        <v>0</v>
      </c>
      <c r="M418" s="880">
        <f t="shared" si="156"/>
        <v>0</v>
      </c>
      <c r="N418" s="880">
        <f t="shared" si="156"/>
        <v>0</v>
      </c>
      <c r="O418" s="143">
        <f t="shared" ref="O418:O430" si="157">SUM(C418:N418)</f>
        <v>0</v>
      </c>
      <c r="P418" s="143"/>
      <c r="Q418" s="875"/>
      <c r="R418" s="915"/>
      <c r="S418" s="875"/>
      <c r="T418" s="143"/>
      <c r="U418" s="896">
        <f t="shared" ref="U418:U430" si="158">C418+D418+E418</f>
        <v>0</v>
      </c>
      <c r="V418" s="896">
        <f t="shared" ref="V418:V430" si="159">F418+G418+H418</f>
        <v>0</v>
      </c>
      <c r="W418" s="896">
        <f t="shared" ref="W418:W430" si="160">I418+J418+K418</f>
        <v>0</v>
      </c>
      <c r="X418" s="896">
        <f t="shared" ref="X418:X430" si="161">L418+M418+N418</f>
        <v>0</v>
      </c>
      <c r="Y418" s="873">
        <f t="shared" ref="Y418:Y430" si="162">SUM(U418:X418)</f>
        <v>0</v>
      </c>
      <c r="Z418" s="873"/>
    </row>
    <row r="419" spans="1:26" x14ac:dyDescent="0.2">
      <c r="A419" s="907" t="s">
        <v>1017</v>
      </c>
      <c r="B419" s="871"/>
      <c r="C419" s="880">
        <f t="shared" ref="C419:N419" si="163">SUM(C12:C36)+C43+C44+C49+C50</f>
        <v>55287</v>
      </c>
      <c r="D419" s="880">
        <f t="shared" si="163"/>
        <v>54297</v>
      </c>
      <c r="E419" s="880">
        <f t="shared" si="163"/>
        <v>57788</v>
      </c>
      <c r="F419" s="880">
        <f t="shared" si="163"/>
        <v>23074</v>
      </c>
      <c r="G419" s="880">
        <f t="shared" si="163"/>
        <v>22070</v>
      </c>
      <c r="H419" s="880">
        <f t="shared" si="163"/>
        <v>25185</v>
      </c>
      <c r="I419" s="880">
        <f t="shared" si="163"/>
        <v>25128</v>
      </c>
      <c r="J419" s="880">
        <f t="shared" si="163"/>
        <v>24715</v>
      </c>
      <c r="K419" s="880">
        <f t="shared" si="163"/>
        <v>24496</v>
      </c>
      <c r="L419" s="880">
        <f t="shared" si="163"/>
        <v>24301</v>
      </c>
      <c r="M419" s="880">
        <f t="shared" si="163"/>
        <v>52563</v>
      </c>
      <c r="N419" s="880">
        <f t="shared" si="163"/>
        <v>53454</v>
      </c>
      <c r="O419" s="143">
        <f t="shared" si="157"/>
        <v>442358</v>
      </c>
      <c r="P419" s="143"/>
      <c r="Q419" s="875"/>
      <c r="R419" s="915"/>
      <c r="S419" s="875"/>
      <c r="T419" s="143"/>
      <c r="U419" s="896">
        <f t="shared" si="158"/>
        <v>167372</v>
      </c>
      <c r="V419" s="896">
        <f t="shared" si="159"/>
        <v>70329</v>
      </c>
      <c r="W419" s="896">
        <f t="shared" si="160"/>
        <v>74339</v>
      </c>
      <c r="X419" s="896">
        <f t="shared" si="161"/>
        <v>130318</v>
      </c>
      <c r="Y419" s="873">
        <f t="shared" si="162"/>
        <v>442358</v>
      </c>
      <c r="Z419" s="873"/>
    </row>
    <row r="420" spans="1:26" s="871" customFormat="1" ht="12.75" customHeight="1" x14ac:dyDescent="0.2">
      <c r="A420" s="907" t="s">
        <v>1018</v>
      </c>
      <c r="C420" s="880">
        <f t="shared" ref="C420:N420" si="164">SUM(C55:C72)</f>
        <v>651</v>
      </c>
      <c r="D420" s="880">
        <f t="shared" si="164"/>
        <v>601</v>
      </c>
      <c r="E420" s="880">
        <f t="shared" si="164"/>
        <v>977</v>
      </c>
      <c r="F420" s="880">
        <f t="shared" si="164"/>
        <v>501</v>
      </c>
      <c r="G420" s="880">
        <f t="shared" si="164"/>
        <v>501</v>
      </c>
      <c r="H420" s="880">
        <f t="shared" si="164"/>
        <v>2902</v>
      </c>
      <c r="I420" s="880">
        <f t="shared" si="164"/>
        <v>501</v>
      </c>
      <c r="J420" s="880">
        <f t="shared" si="164"/>
        <v>501</v>
      </c>
      <c r="K420" s="880">
        <f t="shared" si="164"/>
        <v>903</v>
      </c>
      <c r="L420" s="880">
        <f t="shared" si="164"/>
        <v>502</v>
      </c>
      <c r="M420" s="880">
        <f t="shared" si="164"/>
        <v>1092</v>
      </c>
      <c r="N420" s="880">
        <f t="shared" si="164"/>
        <v>1518</v>
      </c>
      <c r="O420" s="143">
        <f t="shared" si="157"/>
        <v>11150</v>
      </c>
      <c r="P420" s="143"/>
      <c r="Q420" s="886"/>
      <c r="R420" s="961"/>
      <c r="S420" s="886"/>
      <c r="T420" s="143"/>
      <c r="U420" s="896">
        <f t="shared" si="158"/>
        <v>2229</v>
      </c>
      <c r="V420" s="896">
        <f t="shared" si="159"/>
        <v>3904</v>
      </c>
      <c r="W420" s="896">
        <f t="shared" si="160"/>
        <v>1905</v>
      </c>
      <c r="X420" s="896">
        <f t="shared" si="161"/>
        <v>3112</v>
      </c>
      <c r="Y420" s="880">
        <f t="shared" si="162"/>
        <v>11150</v>
      </c>
      <c r="Z420" s="880"/>
    </row>
    <row r="421" spans="1:26" x14ac:dyDescent="0.2">
      <c r="A421" s="907" t="s">
        <v>1019</v>
      </c>
      <c r="B421" s="871"/>
      <c r="C421" s="880">
        <f>+C118</f>
        <v>-1683</v>
      </c>
      <c r="D421" s="880">
        <f>+D118</f>
        <v>-1148</v>
      </c>
      <c r="E421" s="880">
        <f t="shared" ref="E421:N421" si="165">+E118</f>
        <v>-1025</v>
      </c>
      <c r="F421" s="880">
        <f t="shared" si="165"/>
        <v>-1745</v>
      </c>
      <c r="G421" s="880">
        <f t="shared" si="165"/>
        <v>-1207</v>
      </c>
      <c r="H421" s="880">
        <f t="shared" si="165"/>
        <v>-1094</v>
      </c>
      <c r="I421" s="880">
        <f t="shared" si="165"/>
        <v>-1672</v>
      </c>
      <c r="J421" s="880">
        <f t="shared" si="165"/>
        <v>-1130</v>
      </c>
      <c r="K421" s="880">
        <f t="shared" si="165"/>
        <v>-1055</v>
      </c>
      <c r="L421" s="880">
        <f t="shared" si="165"/>
        <v>-1660</v>
      </c>
      <c r="M421" s="880">
        <f t="shared" si="165"/>
        <v>-1192</v>
      </c>
      <c r="N421" s="880">
        <f t="shared" si="165"/>
        <v>-1094</v>
      </c>
      <c r="O421" s="143">
        <f t="shared" si="157"/>
        <v>-15705</v>
      </c>
      <c r="P421" s="143"/>
      <c r="Q421" s="875"/>
      <c r="R421" s="915"/>
      <c r="S421" s="875"/>
      <c r="T421" s="143"/>
      <c r="U421" s="896">
        <f t="shared" si="158"/>
        <v>-3856</v>
      </c>
      <c r="V421" s="896">
        <f t="shared" si="159"/>
        <v>-4046</v>
      </c>
      <c r="W421" s="896">
        <f t="shared" si="160"/>
        <v>-3857</v>
      </c>
      <c r="X421" s="896">
        <f t="shared" si="161"/>
        <v>-3946</v>
      </c>
      <c r="Y421" s="880">
        <f t="shared" si="162"/>
        <v>-15705</v>
      </c>
      <c r="Z421" s="873"/>
    </row>
    <row r="422" spans="1:26" x14ac:dyDescent="0.2">
      <c r="A422" s="907" t="s">
        <v>1020</v>
      </c>
      <c r="B422" s="871"/>
      <c r="C422" s="880">
        <f>+C101</f>
        <v>-1213</v>
      </c>
      <c r="D422" s="880">
        <f>+D101</f>
        <v>-1140</v>
      </c>
      <c r="E422" s="880">
        <f>+E101</f>
        <v>-1079</v>
      </c>
      <c r="F422" s="880">
        <f t="shared" ref="F422:N422" si="166">+F101</f>
        <v>-972</v>
      </c>
      <c r="G422" s="880">
        <f t="shared" si="166"/>
        <v>-900</v>
      </c>
      <c r="H422" s="880">
        <f t="shared" si="166"/>
        <v>-912</v>
      </c>
      <c r="I422" s="880">
        <f t="shared" si="166"/>
        <v>-909</v>
      </c>
      <c r="J422" s="880">
        <f t="shared" si="166"/>
        <v>-917</v>
      </c>
      <c r="K422" s="880">
        <f t="shared" si="166"/>
        <v>-921</v>
      </c>
      <c r="L422" s="880">
        <f t="shared" si="166"/>
        <v>-993</v>
      </c>
      <c r="M422" s="880">
        <f t="shared" si="166"/>
        <v>-1074</v>
      </c>
      <c r="N422" s="880">
        <f t="shared" si="166"/>
        <v>-1239</v>
      </c>
      <c r="O422" s="143">
        <f t="shared" si="157"/>
        <v>-12269</v>
      </c>
      <c r="P422" s="143"/>
      <c r="Q422" s="875"/>
      <c r="R422" s="915"/>
      <c r="S422" s="875"/>
      <c r="T422" s="143"/>
      <c r="U422" s="896">
        <f t="shared" si="158"/>
        <v>-3432</v>
      </c>
      <c r="V422" s="896">
        <f t="shared" si="159"/>
        <v>-2784</v>
      </c>
      <c r="W422" s="896">
        <f t="shared" si="160"/>
        <v>-2747</v>
      </c>
      <c r="X422" s="896">
        <f t="shared" si="161"/>
        <v>-3306</v>
      </c>
      <c r="Y422" s="880">
        <f t="shared" si="162"/>
        <v>-12269</v>
      </c>
      <c r="Z422" s="873"/>
    </row>
    <row r="423" spans="1:26" x14ac:dyDescent="0.2">
      <c r="A423" s="907" t="s">
        <v>1021</v>
      </c>
      <c r="B423" s="871"/>
      <c r="C423" s="880">
        <f t="shared" ref="C423:N423" si="167">SUM(C38:C41)+SUM(C123:C126)</f>
        <v>0</v>
      </c>
      <c r="D423" s="880">
        <f t="shared" si="167"/>
        <v>0</v>
      </c>
      <c r="E423" s="880">
        <f t="shared" si="167"/>
        <v>0</v>
      </c>
      <c r="F423" s="880">
        <f t="shared" si="167"/>
        <v>0</v>
      </c>
      <c r="G423" s="880">
        <f t="shared" si="167"/>
        <v>0</v>
      </c>
      <c r="H423" s="880">
        <f t="shared" si="167"/>
        <v>0</v>
      </c>
      <c r="I423" s="880">
        <f t="shared" si="167"/>
        <v>0</v>
      </c>
      <c r="J423" s="880">
        <f t="shared" si="167"/>
        <v>0</v>
      </c>
      <c r="K423" s="880">
        <f t="shared" si="167"/>
        <v>0</v>
      </c>
      <c r="L423" s="880">
        <f t="shared" si="167"/>
        <v>0</v>
      </c>
      <c r="M423" s="880">
        <f t="shared" si="167"/>
        <v>0</v>
      </c>
      <c r="N423" s="880">
        <f t="shared" si="167"/>
        <v>0</v>
      </c>
      <c r="O423" s="143">
        <f t="shared" si="157"/>
        <v>0</v>
      </c>
      <c r="P423" s="143"/>
      <c r="Q423" s="875"/>
      <c r="R423" s="915"/>
      <c r="S423" s="875"/>
      <c r="T423" s="143"/>
      <c r="U423" s="896">
        <f t="shared" si="158"/>
        <v>0</v>
      </c>
      <c r="V423" s="896">
        <f t="shared" si="159"/>
        <v>0</v>
      </c>
      <c r="W423" s="896">
        <f t="shared" si="160"/>
        <v>0</v>
      </c>
      <c r="X423" s="896">
        <f t="shared" si="161"/>
        <v>0</v>
      </c>
      <c r="Y423" s="880">
        <f t="shared" si="162"/>
        <v>0</v>
      </c>
      <c r="Z423" s="873"/>
    </row>
    <row r="424" spans="1:26" x14ac:dyDescent="0.2">
      <c r="A424" s="907" t="s">
        <v>1022</v>
      </c>
      <c r="B424" s="871"/>
      <c r="C424" s="880">
        <f t="shared" ref="C424:N424" si="168">+C45+C46+C108+C51+C52+C109+SUM(C103:C107)</f>
        <v>-2093</v>
      </c>
      <c r="D424" s="880">
        <f t="shared" si="168"/>
        <v>-1989</v>
      </c>
      <c r="E424" s="880">
        <f t="shared" si="168"/>
        <v>-2047</v>
      </c>
      <c r="F424" s="880">
        <f t="shared" si="168"/>
        <v>-1831</v>
      </c>
      <c r="G424" s="880">
        <f t="shared" si="168"/>
        <v>-1732</v>
      </c>
      <c r="H424" s="880">
        <f t="shared" si="168"/>
        <v>-1525</v>
      </c>
      <c r="I424" s="880">
        <f t="shared" si="168"/>
        <v>-1236</v>
      </c>
      <c r="J424" s="880">
        <f t="shared" si="168"/>
        <v>-1280</v>
      </c>
      <c r="K424" s="880">
        <f t="shared" si="168"/>
        <v>-1324</v>
      </c>
      <c r="L424" s="880">
        <f t="shared" si="168"/>
        <v>-1383</v>
      </c>
      <c r="M424" s="880">
        <f t="shared" si="168"/>
        <v>-1590</v>
      </c>
      <c r="N424" s="880">
        <f t="shared" si="168"/>
        <v>-1675</v>
      </c>
      <c r="O424" s="143">
        <f t="shared" si="157"/>
        <v>-19705</v>
      </c>
      <c r="P424" s="143"/>
      <c r="Q424" s="875"/>
      <c r="R424" s="915"/>
      <c r="S424" s="875"/>
      <c r="T424" s="143"/>
      <c r="U424" s="896">
        <f t="shared" si="158"/>
        <v>-6129</v>
      </c>
      <c r="V424" s="896">
        <f t="shared" si="159"/>
        <v>-5088</v>
      </c>
      <c r="W424" s="896">
        <f t="shared" si="160"/>
        <v>-3840</v>
      </c>
      <c r="X424" s="896">
        <f t="shared" si="161"/>
        <v>-4648</v>
      </c>
      <c r="Y424" s="880">
        <f t="shared" si="162"/>
        <v>-19705</v>
      </c>
      <c r="Z424" s="873"/>
    </row>
    <row r="425" spans="1:26" x14ac:dyDescent="0.2">
      <c r="A425" s="970" t="s">
        <v>1027</v>
      </c>
      <c r="B425" s="871"/>
      <c r="C425" s="964">
        <f>+C120+C121-C121</f>
        <v>0</v>
      </c>
      <c r="D425" s="964">
        <f t="shared" ref="D425:N425" si="169">+D120+D121-D121</f>
        <v>0</v>
      </c>
      <c r="E425" s="964">
        <f t="shared" si="169"/>
        <v>0</v>
      </c>
      <c r="F425" s="964">
        <f t="shared" si="169"/>
        <v>0</v>
      </c>
      <c r="G425" s="964">
        <f t="shared" si="169"/>
        <v>0</v>
      </c>
      <c r="H425" s="964">
        <f t="shared" si="169"/>
        <v>0</v>
      </c>
      <c r="I425" s="964">
        <f t="shared" si="169"/>
        <v>0</v>
      </c>
      <c r="J425" s="964">
        <f t="shared" si="169"/>
        <v>0</v>
      </c>
      <c r="K425" s="964">
        <f t="shared" si="169"/>
        <v>0</v>
      </c>
      <c r="L425" s="964">
        <f t="shared" si="169"/>
        <v>0</v>
      </c>
      <c r="M425" s="964">
        <f t="shared" si="169"/>
        <v>0</v>
      </c>
      <c r="N425" s="964">
        <f t="shared" si="169"/>
        <v>0</v>
      </c>
      <c r="O425" s="143">
        <f t="shared" si="157"/>
        <v>0</v>
      </c>
      <c r="P425" s="143"/>
      <c r="Q425" s="875"/>
      <c r="R425" s="915"/>
      <c r="S425" s="875"/>
      <c r="T425" s="143"/>
      <c r="U425" s="896">
        <f>C425+D425+E425</f>
        <v>0</v>
      </c>
      <c r="V425" s="896">
        <f>F425+G425+H425</f>
        <v>0</v>
      </c>
      <c r="W425" s="896">
        <f>I425+J425+K425</f>
        <v>0</v>
      </c>
      <c r="X425" s="896">
        <f>L425+M425+N425</f>
        <v>0</v>
      </c>
      <c r="Y425" s="880">
        <f>SUM(U425:X425)</f>
        <v>0</v>
      </c>
      <c r="Z425" s="873"/>
    </row>
    <row r="426" spans="1:26" s="871" customFormat="1" ht="12.75" customHeight="1" x14ac:dyDescent="0.2">
      <c r="A426" s="907" t="s">
        <v>1023</v>
      </c>
      <c r="C426" s="880">
        <f t="shared" ref="C426:N426" si="170">+C128</f>
        <v>-38</v>
      </c>
      <c r="D426" s="880">
        <f t="shared" si="170"/>
        <v>-119</v>
      </c>
      <c r="E426" s="880">
        <f t="shared" si="170"/>
        <v>-38</v>
      </c>
      <c r="F426" s="880">
        <f t="shared" si="170"/>
        <v>-38</v>
      </c>
      <c r="G426" s="880">
        <f t="shared" si="170"/>
        <v>-37</v>
      </c>
      <c r="H426" s="880">
        <f t="shared" si="170"/>
        <v>-37</v>
      </c>
      <c r="I426" s="880">
        <f t="shared" si="170"/>
        <v>-37</v>
      </c>
      <c r="J426" s="880">
        <f t="shared" si="170"/>
        <v>-36</v>
      </c>
      <c r="K426" s="880">
        <f t="shared" si="170"/>
        <v>-36</v>
      </c>
      <c r="L426" s="880">
        <f t="shared" si="170"/>
        <v>-36</v>
      </c>
      <c r="M426" s="880">
        <f t="shared" si="170"/>
        <v>-37</v>
      </c>
      <c r="N426" s="880">
        <f t="shared" si="170"/>
        <v>-37</v>
      </c>
      <c r="O426" s="962">
        <f t="shared" si="157"/>
        <v>-526</v>
      </c>
      <c r="P426" s="962"/>
      <c r="Q426" s="886"/>
      <c r="R426" s="961"/>
      <c r="S426" s="886"/>
      <c r="T426" s="962"/>
      <c r="U426" s="896">
        <f t="shared" si="158"/>
        <v>-195</v>
      </c>
      <c r="V426" s="896">
        <f t="shared" si="159"/>
        <v>-112</v>
      </c>
      <c r="W426" s="896">
        <f t="shared" si="160"/>
        <v>-109</v>
      </c>
      <c r="X426" s="896">
        <f t="shared" si="161"/>
        <v>-110</v>
      </c>
      <c r="Y426" s="880">
        <f t="shared" si="162"/>
        <v>-526</v>
      </c>
      <c r="Z426" s="880"/>
    </row>
    <row r="427" spans="1:26" s="871" customFormat="1" ht="12.75" customHeight="1" x14ac:dyDescent="0.2">
      <c r="A427" s="970" t="s">
        <v>1040</v>
      </c>
      <c r="C427" s="964">
        <f>+C74-C74</f>
        <v>0</v>
      </c>
      <c r="D427" s="964">
        <f t="shared" ref="D427:N427" si="171">+D74-D74</f>
        <v>0</v>
      </c>
      <c r="E427" s="964">
        <f t="shared" si="171"/>
        <v>0</v>
      </c>
      <c r="F427" s="964">
        <f t="shared" si="171"/>
        <v>0</v>
      </c>
      <c r="G427" s="964">
        <f t="shared" si="171"/>
        <v>0</v>
      </c>
      <c r="H427" s="964">
        <f t="shared" si="171"/>
        <v>0</v>
      </c>
      <c r="I427" s="964">
        <f t="shared" si="171"/>
        <v>0</v>
      </c>
      <c r="J427" s="964">
        <f t="shared" si="171"/>
        <v>0</v>
      </c>
      <c r="K427" s="964">
        <f t="shared" si="171"/>
        <v>0</v>
      </c>
      <c r="L427" s="964">
        <f t="shared" si="171"/>
        <v>0</v>
      </c>
      <c r="M427" s="964">
        <f t="shared" si="171"/>
        <v>0</v>
      </c>
      <c r="N427" s="964">
        <f t="shared" si="171"/>
        <v>0</v>
      </c>
      <c r="O427" s="962">
        <f t="shared" si="157"/>
        <v>0</v>
      </c>
      <c r="P427" s="962"/>
      <c r="Q427" s="886"/>
      <c r="R427" s="961"/>
      <c r="S427" s="886"/>
      <c r="T427" s="962"/>
      <c r="U427" s="896">
        <f t="shared" si="158"/>
        <v>0</v>
      </c>
      <c r="V427" s="896">
        <f t="shared" si="159"/>
        <v>0</v>
      </c>
      <c r="W427" s="896">
        <f t="shared" si="160"/>
        <v>0</v>
      </c>
      <c r="X427" s="896">
        <f t="shared" si="161"/>
        <v>0</v>
      </c>
      <c r="Y427" s="880">
        <f t="shared" si="162"/>
        <v>0</v>
      </c>
      <c r="Z427" s="880"/>
    </row>
    <row r="428" spans="1:26" s="871" customFormat="1" ht="12.75" customHeight="1" x14ac:dyDescent="0.2">
      <c r="A428" s="907" t="s">
        <v>1024</v>
      </c>
      <c r="C428" s="880">
        <f>SUM(C138:C140)</f>
        <v>0</v>
      </c>
      <c r="D428" s="880">
        <f t="shared" ref="D428:N428" si="172">SUM(D138:D140)</f>
        <v>0</v>
      </c>
      <c r="E428" s="880">
        <f t="shared" si="172"/>
        <v>0</v>
      </c>
      <c r="F428" s="880">
        <f t="shared" si="172"/>
        <v>0</v>
      </c>
      <c r="G428" s="880">
        <f t="shared" si="172"/>
        <v>0</v>
      </c>
      <c r="H428" s="880">
        <f t="shared" si="172"/>
        <v>7600</v>
      </c>
      <c r="I428" s="880">
        <f t="shared" si="172"/>
        <v>0</v>
      </c>
      <c r="J428" s="880">
        <f t="shared" si="172"/>
        <v>0</v>
      </c>
      <c r="K428" s="880">
        <f t="shared" si="172"/>
        <v>0</v>
      </c>
      <c r="L428" s="880">
        <f t="shared" si="172"/>
        <v>0</v>
      </c>
      <c r="M428" s="880">
        <f t="shared" si="172"/>
        <v>0</v>
      </c>
      <c r="N428" s="880">
        <f t="shared" si="172"/>
        <v>5000</v>
      </c>
      <c r="O428" s="962">
        <f t="shared" si="157"/>
        <v>12600</v>
      </c>
      <c r="P428" s="962"/>
      <c r="Q428" s="886"/>
      <c r="R428" s="961"/>
      <c r="S428" s="886"/>
      <c r="T428" s="962"/>
      <c r="U428" s="896">
        <f t="shared" si="158"/>
        <v>0</v>
      </c>
      <c r="V428" s="896">
        <f t="shared" si="159"/>
        <v>7600</v>
      </c>
      <c r="W428" s="896">
        <f t="shared" si="160"/>
        <v>0</v>
      </c>
      <c r="X428" s="896">
        <f t="shared" si="161"/>
        <v>5000</v>
      </c>
      <c r="Y428" s="880">
        <f t="shared" si="162"/>
        <v>12600</v>
      </c>
      <c r="Z428" s="880"/>
    </row>
    <row r="429" spans="1:26" x14ac:dyDescent="0.2">
      <c r="A429" s="905" t="s">
        <v>1009</v>
      </c>
      <c r="B429" s="871"/>
      <c r="C429" s="880">
        <f t="shared" ref="C429:N429" si="173">SUM(C76:C78)</f>
        <v>0</v>
      </c>
      <c r="D429" s="880">
        <f t="shared" si="173"/>
        <v>0</v>
      </c>
      <c r="E429" s="880">
        <f t="shared" si="173"/>
        <v>0</v>
      </c>
      <c r="F429" s="880">
        <f t="shared" si="173"/>
        <v>0</v>
      </c>
      <c r="G429" s="880">
        <f t="shared" si="173"/>
        <v>0</v>
      </c>
      <c r="H429" s="880">
        <f t="shared" si="173"/>
        <v>0</v>
      </c>
      <c r="I429" s="880">
        <f t="shared" si="173"/>
        <v>0</v>
      </c>
      <c r="J429" s="880">
        <f t="shared" si="173"/>
        <v>0</v>
      </c>
      <c r="K429" s="880">
        <f t="shared" si="173"/>
        <v>0</v>
      </c>
      <c r="L429" s="880">
        <f t="shared" si="173"/>
        <v>0</v>
      </c>
      <c r="M429" s="880">
        <f t="shared" si="173"/>
        <v>0</v>
      </c>
      <c r="N429" s="880">
        <f t="shared" si="173"/>
        <v>0</v>
      </c>
      <c r="O429" s="962">
        <f t="shared" si="157"/>
        <v>0</v>
      </c>
      <c r="P429" s="962"/>
      <c r="Q429" s="875"/>
      <c r="R429" s="915"/>
      <c r="S429" s="875"/>
      <c r="T429" s="962"/>
      <c r="U429" s="896">
        <f t="shared" si="158"/>
        <v>0</v>
      </c>
      <c r="V429" s="896">
        <f t="shared" si="159"/>
        <v>0</v>
      </c>
      <c r="W429" s="896">
        <f t="shared" si="160"/>
        <v>0</v>
      </c>
      <c r="X429" s="896">
        <f t="shared" si="161"/>
        <v>0</v>
      </c>
      <c r="Y429" s="880">
        <f t="shared" si="162"/>
        <v>0</v>
      </c>
      <c r="Z429" s="873"/>
    </row>
    <row r="430" spans="1:26" x14ac:dyDescent="0.2">
      <c r="A430" s="905" t="s">
        <v>492</v>
      </c>
      <c r="B430" s="871"/>
      <c r="C430" s="938">
        <f>SUM(C141:C154)-C149</f>
        <v>0</v>
      </c>
      <c r="D430" s="938">
        <f t="shared" ref="D430:N430" si="174">SUM(D141:D154)-D149</f>
        <v>0</v>
      </c>
      <c r="E430" s="938">
        <f t="shared" si="174"/>
        <v>0</v>
      </c>
      <c r="F430" s="938">
        <f t="shared" si="174"/>
        <v>0</v>
      </c>
      <c r="G430" s="938">
        <f t="shared" si="174"/>
        <v>0</v>
      </c>
      <c r="H430" s="938">
        <f t="shared" si="174"/>
        <v>1000</v>
      </c>
      <c r="I430" s="938">
        <f t="shared" si="174"/>
        <v>0</v>
      </c>
      <c r="J430" s="938">
        <f t="shared" si="174"/>
        <v>0</v>
      </c>
      <c r="K430" s="938">
        <f t="shared" si="174"/>
        <v>0</v>
      </c>
      <c r="L430" s="938">
        <f t="shared" si="174"/>
        <v>0</v>
      </c>
      <c r="M430" s="938">
        <f t="shared" si="174"/>
        <v>0</v>
      </c>
      <c r="N430" s="938">
        <f t="shared" si="174"/>
        <v>1000</v>
      </c>
      <c r="O430" s="963">
        <f t="shared" si="157"/>
        <v>2000</v>
      </c>
      <c r="P430" s="963"/>
      <c r="Q430" s="875"/>
      <c r="R430" s="915"/>
      <c r="S430" s="875"/>
      <c r="T430" s="963"/>
      <c r="U430" s="939">
        <f t="shared" si="158"/>
        <v>0</v>
      </c>
      <c r="V430" s="939">
        <f t="shared" si="159"/>
        <v>1000</v>
      </c>
      <c r="W430" s="939">
        <f t="shared" si="160"/>
        <v>0</v>
      </c>
      <c r="X430" s="939">
        <f t="shared" si="161"/>
        <v>1000</v>
      </c>
      <c r="Y430" s="938">
        <f t="shared" si="162"/>
        <v>2000</v>
      </c>
      <c r="Z430" s="873"/>
    </row>
    <row r="431" spans="1:26" x14ac:dyDescent="0.2">
      <c r="A431" s="909" t="s">
        <v>1031</v>
      </c>
      <c r="B431" s="871"/>
      <c r="C431" s="958">
        <f>SUM(C418:C430)</f>
        <v>50911</v>
      </c>
      <c r="D431" s="958">
        <f t="shared" ref="D431:O431" si="175">SUM(D418:D430)</f>
        <v>50502</v>
      </c>
      <c r="E431" s="958">
        <f t="shared" si="175"/>
        <v>54576</v>
      </c>
      <c r="F431" s="958">
        <f t="shared" si="175"/>
        <v>18989</v>
      </c>
      <c r="G431" s="958">
        <f t="shared" si="175"/>
        <v>18695</v>
      </c>
      <c r="H431" s="958">
        <f t="shared" si="175"/>
        <v>33119</v>
      </c>
      <c r="I431" s="958">
        <f t="shared" si="175"/>
        <v>21775</v>
      </c>
      <c r="J431" s="958">
        <f t="shared" si="175"/>
        <v>21853</v>
      </c>
      <c r="K431" s="958">
        <f t="shared" si="175"/>
        <v>22063</v>
      </c>
      <c r="L431" s="958">
        <f t="shared" si="175"/>
        <v>20731</v>
      </c>
      <c r="M431" s="958">
        <f t="shared" si="175"/>
        <v>49762</v>
      </c>
      <c r="N431" s="958">
        <f t="shared" si="175"/>
        <v>56927</v>
      </c>
      <c r="O431" s="958">
        <f t="shared" si="175"/>
        <v>419903</v>
      </c>
      <c r="P431" s="958"/>
      <c r="Q431" s="875"/>
      <c r="R431" s="915"/>
      <c r="S431" s="875"/>
      <c r="T431" s="958"/>
      <c r="U431" s="958">
        <f>SUM(U418:U430)</f>
        <v>155989</v>
      </c>
      <c r="V431" s="958">
        <f>SUM(V418:V430)</f>
        <v>70803</v>
      </c>
      <c r="W431" s="958">
        <f>SUM(W418:W430)</f>
        <v>65691</v>
      </c>
      <c r="X431" s="958">
        <f>SUM(X418:X430)</f>
        <v>127420</v>
      </c>
      <c r="Y431" s="958">
        <f>SUM(Y418:Y430)</f>
        <v>419903</v>
      </c>
      <c r="Z431" s="873"/>
    </row>
    <row r="432" spans="1:26" ht="3.95" customHeight="1" x14ac:dyDescent="0.2">
      <c r="A432" s="909"/>
      <c r="B432" s="871"/>
      <c r="C432" s="880"/>
      <c r="D432" s="880"/>
      <c r="E432" s="880"/>
      <c r="F432" s="880"/>
      <c r="G432" s="880"/>
      <c r="H432" s="880"/>
      <c r="I432" s="880"/>
      <c r="J432" s="880"/>
      <c r="K432" s="880"/>
      <c r="L432" s="880"/>
      <c r="M432" s="880"/>
      <c r="N432" s="880"/>
      <c r="O432" s="896"/>
      <c r="P432" s="896"/>
      <c r="Q432" s="875"/>
      <c r="R432" s="915"/>
      <c r="S432" s="875"/>
      <c r="T432" s="896"/>
      <c r="U432" s="896"/>
      <c r="V432" s="896"/>
      <c r="W432" s="896"/>
      <c r="X432" s="896"/>
      <c r="Y432" s="880"/>
      <c r="Z432" s="873"/>
    </row>
    <row r="433" spans="1:26" x14ac:dyDescent="0.2">
      <c r="A433" s="909" t="s">
        <v>591</v>
      </c>
      <c r="B433" s="871"/>
      <c r="C433" s="880"/>
      <c r="D433" s="880"/>
      <c r="E433" s="880"/>
      <c r="F433" s="880"/>
      <c r="G433" s="880"/>
      <c r="H433" s="880"/>
      <c r="I433" s="880"/>
      <c r="J433" s="880"/>
      <c r="K433" s="880"/>
      <c r="L433" s="880"/>
      <c r="M433" s="880"/>
      <c r="N433" s="880"/>
      <c r="O433" s="896"/>
      <c r="P433" s="896"/>
      <c r="Q433" s="875"/>
      <c r="R433" s="915"/>
      <c r="S433" s="875"/>
      <c r="T433" s="896"/>
      <c r="U433" s="896"/>
      <c r="V433" s="896"/>
      <c r="W433" s="896"/>
      <c r="X433" s="896"/>
      <c r="Y433" s="880"/>
      <c r="Z433" s="873"/>
    </row>
    <row r="434" spans="1:26" x14ac:dyDescent="0.2">
      <c r="A434" s="907" t="s">
        <v>1019</v>
      </c>
      <c r="B434" s="871"/>
      <c r="C434" s="880">
        <f>+C172</f>
        <v>-545</v>
      </c>
      <c r="D434" s="880">
        <f>+D172</f>
        <v>-545</v>
      </c>
      <c r="E434" s="880">
        <f t="shared" ref="E434:N434" si="176">+E172</f>
        <v>-580</v>
      </c>
      <c r="F434" s="880">
        <f t="shared" si="176"/>
        <v>-544</v>
      </c>
      <c r="G434" s="880">
        <f t="shared" si="176"/>
        <v>-545</v>
      </c>
      <c r="H434" s="880">
        <f t="shared" si="176"/>
        <v>-544</v>
      </c>
      <c r="I434" s="880">
        <f t="shared" si="176"/>
        <v>-544</v>
      </c>
      <c r="J434" s="880">
        <f t="shared" si="176"/>
        <v>-544</v>
      </c>
      <c r="K434" s="880">
        <f t="shared" si="176"/>
        <v>-582</v>
      </c>
      <c r="L434" s="880">
        <f t="shared" si="176"/>
        <v>-559</v>
      </c>
      <c r="M434" s="880">
        <f t="shared" si="176"/>
        <v>-545</v>
      </c>
      <c r="N434" s="880">
        <f t="shared" si="176"/>
        <v>-544</v>
      </c>
      <c r="O434" s="962">
        <f>SUM(C434:N434)</f>
        <v>-6621</v>
      </c>
      <c r="P434" s="962"/>
      <c r="Q434" s="875"/>
      <c r="R434" s="915"/>
      <c r="S434" s="875"/>
      <c r="T434" s="962"/>
      <c r="U434" s="896">
        <f>C434+D434+E434</f>
        <v>-1670</v>
      </c>
      <c r="V434" s="896">
        <f>F434+G434+H434</f>
        <v>-1633</v>
      </c>
      <c r="W434" s="896">
        <f>I434+J434+K434</f>
        <v>-1670</v>
      </c>
      <c r="X434" s="896">
        <f>L434+M434+N434</f>
        <v>-1648</v>
      </c>
      <c r="Y434" s="880">
        <f>SUM(U434:X434)</f>
        <v>-6621</v>
      </c>
      <c r="Z434" s="873"/>
    </row>
    <row r="435" spans="1:26" x14ac:dyDescent="0.2">
      <c r="A435" s="907" t="s">
        <v>1027</v>
      </c>
      <c r="B435" s="871"/>
      <c r="C435" s="880">
        <f>+C174</f>
        <v>0</v>
      </c>
      <c r="D435" s="880">
        <f t="shared" ref="D435:N435" si="177">+D174</f>
        <v>0</v>
      </c>
      <c r="E435" s="880">
        <f t="shared" si="177"/>
        <v>0</v>
      </c>
      <c r="F435" s="880">
        <f t="shared" si="177"/>
        <v>0</v>
      </c>
      <c r="G435" s="880">
        <f t="shared" si="177"/>
        <v>0</v>
      </c>
      <c r="H435" s="880">
        <f t="shared" si="177"/>
        <v>0</v>
      </c>
      <c r="I435" s="880">
        <f t="shared" si="177"/>
        <v>0</v>
      </c>
      <c r="J435" s="880">
        <f t="shared" si="177"/>
        <v>0</v>
      </c>
      <c r="K435" s="880">
        <f t="shared" si="177"/>
        <v>0</v>
      </c>
      <c r="L435" s="880">
        <f t="shared" si="177"/>
        <v>0</v>
      </c>
      <c r="M435" s="880">
        <f t="shared" si="177"/>
        <v>0</v>
      </c>
      <c r="N435" s="880">
        <f t="shared" si="177"/>
        <v>0</v>
      </c>
      <c r="O435" s="962">
        <f>SUM(C435:N435)</f>
        <v>0</v>
      </c>
      <c r="P435" s="962"/>
      <c r="Q435" s="875"/>
      <c r="R435" s="915"/>
      <c r="S435" s="875"/>
      <c r="T435" s="962"/>
      <c r="U435" s="896">
        <f>C435+D435+E435</f>
        <v>0</v>
      </c>
      <c r="V435" s="896">
        <f>F435+G435+H435</f>
        <v>0</v>
      </c>
      <c r="W435" s="896">
        <f>I435+J435+K435</f>
        <v>0</v>
      </c>
      <c r="X435" s="896">
        <f>L435+M435+N435</f>
        <v>0</v>
      </c>
      <c r="Y435" s="880">
        <f>SUM(U435:X435)</f>
        <v>0</v>
      </c>
      <c r="Z435" s="873"/>
    </row>
    <row r="436" spans="1:26" x14ac:dyDescent="0.2">
      <c r="A436" s="907" t="s">
        <v>1023</v>
      </c>
      <c r="B436" s="871"/>
      <c r="C436" s="880">
        <f>+C176</f>
        <v>-32</v>
      </c>
      <c r="D436" s="880">
        <f t="shared" ref="D436:N436" si="178">+D176</f>
        <v>-68</v>
      </c>
      <c r="E436" s="880">
        <f t="shared" si="178"/>
        <v>-31</v>
      </c>
      <c r="F436" s="880">
        <f t="shared" si="178"/>
        <v>-31</v>
      </c>
      <c r="G436" s="880">
        <f t="shared" si="178"/>
        <v>-31</v>
      </c>
      <c r="H436" s="880">
        <f t="shared" si="178"/>
        <v>-31</v>
      </c>
      <c r="I436" s="880">
        <f t="shared" si="178"/>
        <v>-32</v>
      </c>
      <c r="J436" s="880">
        <f t="shared" si="178"/>
        <v>-31</v>
      </c>
      <c r="K436" s="880">
        <f t="shared" si="178"/>
        <v>-31</v>
      </c>
      <c r="L436" s="880">
        <f t="shared" si="178"/>
        <v>-31</v>
      </c>
      <c r="M436" s="880">
        <f t="shared" si="178"/>
        <v>-31</v>
      </c>
      <c r="N436" s="880">
        <f t="shared" si="178"/>
        <v>-31</v>
      </c>
      <c r="O436" s="962">
        <f>SUM(C436:N436)</f>
        <v>-411</v>
      </c>
      <c r="P436" s="962"/>
      <c r="Q436" s="875"/>
      <c r="R436" s="915"/>
      <c r="S436" s="875"/>
      <c r="T436" s="962"/>
      <c r="U436" s="896">
        <f>C436+D436+E436</f>
        <v>-131</v>
      </c>
      <c r="V436" s="896">
        <f>F436+G436+H436</f>
        <v>-93</v>
      </c>
      <c r="W436" s="896">
        <f>I436+J436+K436</f>
        <v>-94</v>
      </c>
      <c r="X436" s="896">
        <f>L436+M436+N436</f>
        <v>-93</v>
      </c>
      <c r="Y436" s="880">
        <f>SUM(U436:X436)</f>
        <v>-411</v>
      </c>
      <c r="Z436" s="873"/>
    </row>
    <row r="437" spans="1:26" x14ac:dyDescent="0.2">
      <c r="A437" s="907" t="s">
        <v>1025</v>
      </c>
      <c r="B437" s="871"/>
      <c r="C437" s="938">
        <f>+C164</f>
        <v>0</v>
      </c>
      <c r="D437" s="938">
        <f t="shared" ref="D437:N437" si="179">+D164</f>
        <v>0</v>
      </c>
      <c r="E437" s="938">
        <f t="shared" si="179"/>
        <v>0</v>
      </c>
      <c r="F437" s="938">
        <f t="shared" si="179"/>
        <v>0</v>
      </c>
      <c r="G437" s="938">
        <f t="shared" si="179"/>
        <v>0</v>
      </c>
      <c r="H437" s="938">
        <f t="shared" si="179"/>
        <v>0</v>
      </c>
      <c r="I437" s="938">
        <f t="shared" si="179"/>
        <v>0</v>
      </c>
      <c r="J437" s="938">
        <f t="shared" si="179"/>
        <v>0</v>
      </c>
      <c r="K437" s="938">
        <f t="shared" si="179"/>
        <v>0</v>
      </c>
      <c r="L437" s="938">
        <f t="shared" si="179"/>
        <v>0</v>
      </c>
      <c r="M437" s="938">
        <f t="shared" si="179"/>
        <v>0</v>
      </c>
      <c r="N437" s="938">
        <f t="shared" si="179"/>
        <v>0</v>
      </c>
      <c r="O437" s="963">
        <f>SUM(C437:N437)</f>
        <v>0</v>
      </c>
      <c r="P437" s="963"/>
      <c r="Q437" s="875"/>
      <c r="R437" s="915"/>
      <c r="S437" s="875"/>
      <c r="T437" s="963"/>
      <c r="U437" s="939">
        <f>C437+D437+E437</f>
        <v>0</v>
      </c>
      <c r="V437" s="939">
        <f>F437+G437+H437</f>
        <v>0</v>
      </c>
      <c r="W437" s="939">
        <f>I437+J437+K437</f>
        <v>0</v>
      </c>
      <c r="X437" s="939">
        <f>L437+M437+N437</f>
        <v>0</v>
      </c>
      <c r="Y437" s="938">
        <f>SUM(U437:X437)</f>
        <v>0</v>
      </c>
      <c r="Z437" s="873"/>
    </row>
    <row r="438" spans="1:26" x14ac:dyDescent="0.2">
      <c r="A438" s="909" t="s">
        <v>592</v>
      </c>
      <c r="B438" s="871"/>
      <c r="C438" s="958">
        <f>SUM(C434:C437)</f>
        <v>-577</v>
      </c>
      <c r="D438" s="958">
        <f t="shared" ref="D438:O438" si="180">SUM(D434:D437)</f>
        <v>-613</v>
      </c>
      <c r="E438" s="958">
        <f t="shared" si="180"/>
        <v>-611</v>
      </c>
      <c r="F438" s="958">
        <f t="shared" si="180"/>
        <v>-575</v>
      </c>
      <c r="G438" s="958">
        <f t="shared" si="180"/>
        <v>-576</v>
      </c>
      <c r="H438" s="958">
        <f t="shared" si="180"/>
        <v>-575</v>
      </c>
      <c r="I438" s="958">
        <f t="shared" si="180"/>
        <v>-576</v>
      </c>
      <c r="J438" s="958">
        <f t="shared" si="180"/>
        <v>-575</v>
      </c>
      <c r="K438" s="958">
        <f t="shared" si="180"/>
        <v>-613</v>
      </c>
      <c r="L438" s="958">
        <f t="shared" si="180"/>
        <v>-590</v>
      </c>
      <c r="M438" s="958">
        <f t="shared" si="180"/>
        <v>-576</v>
      </c>
      <c r="N438" s="958">
        <f t="shared" si="180"/>
        <v>-575</v>
      </c>
      <c r="O438" s="958">
        <f t="shared" si="180"/>
        <v>-7032</v>
      </c>
      <c r="P438" s="958"/>
      <c r="Q438" s="875"/>
      <c r="R438" s="915"/>
      <c r="S438" s="875"/>
      <c r="T438" s="958"/>
      <c r="U438" s="958">
        <f>SUM(U434:U437)</f>
        <v>-1801</v>
      </c>
      <c r="V438" s="958">
        <f>SUM(V434:V437)</f>
        <v>-1726</v>
      </c>
      <c r="W438" s="958">
        <f>SUM(W434:W437)</f>
        <v>-1764</v>
      </c>
      <c r="X438" s="958">
        <f>SUM(X434:X437)</f>
        <v>-1741</v>
      </c>
      <c r="Y438" s="958">
        <f>SUM(Y434:Y437)</f>
        <v>-7032</v>
      </c>
      <c r="Z438" s="873"/>
    </row>
    <row r="439" spans="1:26" ht="3.95" customHeight="1" x14ac:dyDescent="0.2">
      <c r="A439" s="909"/>
      <c r="B439" s="871"/>
      <c r="C439" s="880"/>
      <c r="D439" s="880"/>
      <c r="E439" s="880"/>
      <c r="F439" s="880"/>
      <c r="G439" s="880"/>
      <c r="H439" s="880"/>
      <c r="I439" s="880"/>
      <c r="J439" s="880"/>
      <c r="K439" s="880"/>
      <c r="L439" s="880"/>
      <c r="M439" s="880"/>
      <c r="N439" s="880"/>
      <c r="O439" s="896"/>
      <c r="P439" s="896"/>
      <c r="Q439" s="875"/>
      <c r="R439" s="915"/>
      <c r="S439" s="875"/>
      <c r="T439" s="896"/>
      <c r="U439" s="896"/>
      <c r="V439" s="896"/>
      <c r="W439" s="896"/>
      <c r="X439" s="896"/>
      <c r="Y439" s="880"/>
      <c r="Z439" s="873"/>
    </row>
    <row r="440" spans="1:26" x14ac:dyDescent="0.2">
      <c r="A440" s="909" t="s">
        <v>73</v>
      </c>
      <c r="B440" s="871"/>
      <c r="C440" s="880"/>
      <c r="D440" s="880"/>
      <c r="E440" s="880"/>
      <c r="F440" s="880"/>
      <c r="G440" s="880"/>
      <c r="H440" s="880"/>
      <c r="I440" s="880"/>
      <c r="J440" s="880"/>
      <c r="K440" s="880"/>
      <c r="L440" s="880"/>
      <c r="M440" s="880"/>
      <c r="N440" s="880"/>
      <c r="O440" s="896"/>
      <c r="P440" s="896"/>
      <c r="Q440" s="875"/>
      <c r="R440" s="915"/>
      <c r="S440" s="875"/>
      <c r="T440" s="896"/>
      <c r="U440" s="896"/>
      <c r="V440" s="896"/>
      <c r="W440" s="896"/>
      <c r="X440" s="896"/>
      <c r="Y440" s="880"/>
      <c r="Z440" s="873"/>
    </row>
    <row r="441" spans="1:26" x14ac:dyDescent="0.2">
      <c r="A441" s="907" t="s">
        <v>1019</v>
      </c>
      <c r="B441" s="871"/>
      <c r="C441" s="880">
        <f>+C200</f>
        <v>-6474</v>
      </c>
      <c r="D441" s="880">
        <f>+D200</f>
        <v>-6968</v>
      </c>
      <c r="E441" s="880">
        <f t="shared" ref="E441:N441" si="181">+E200</f>
        <v>-6933</v>
      </c>
      <c r="F441" s="880">
        <f t="shared" si="181"/>
        <v>-6768</v>
      </c>
      <c r="G441" s="880">
        <f t="shared" si="181"/>
        <v>-6791</v>
      </c>
      <c r="H441" s="880">
        <f t="shared" si="181"/>
        <v>-7157</v>
      </c>
      <c r="I441" s="880">
        <f t="shared" si="181"/>
        <v>-9066</v>
      </c>
      <c r="J441" s="880">
        <f t="shared" si="181"/>
        <v>-8173</v>
      </c>
      <c r="K441" s="880">
        <f t="shared" si="181"/>
        <v>-8512</v>
      </c>
      <c r="L441" s="880">
        <f t="shared" si="181"/>
        <v>-8511</v>
      </c>
      <c r="M441" s="880">
        <f t="shared" si="181"/>
        <v>-7670</v>
      </c>
      <c r="N441" s="880">
        <f t="shared" si="181"/>
        <v>-8126</v>
      </c>
      <c r="O441" s="962">
        <f>SUM(C441:N441)</f>
        <v>-91149</v>
      </c>
      <c r="P441" s="962"/>
      <c r="Q441" s="875"/>
      <c r="R441" s="915"/>
      <c r="S441" s="875"/>
      <c r="T441" s="962"/>
      <c r="U441" s="896">
        <f>C441+D441+E441</f>
        <v>-20375</v>
      </c>
      <c r="V441" s="896">
        <f>F441+G441+H441</f>
        <v>-20716</v>
      </c>
      <c r="W441" s="896">
        <f>I441+J441+K441</f>
        <v>-25751</v>
      </c>
      <c r="X441" s="896">
        <f>L441+M441+N441</f>
        <v>-24307</v>
      </c>
      <c r="Y441" s="880">
        <f>SUM(U441:X441)</f>
        <v>-91149</v>
      </c>
      <c r="Z441" s="873"/>
    </row>
    <row r="442" spans="1:26" x14ac:dyDescent="0.2">
      <c r="A442" s="907" t="s">
        <v>1027</v>
      </c>
      <c r="B442" s="871"/>
      <c r="C442" s="880">
        <f>+C202</f>
        <v>0</v>
      </c>
      <c r="D442" s="880">
        <f t="shared" ref="D442:N442" si="182">+D202</f>
        <v>0</v>
      </c>
      <c r="E442" s="880">
        <f t="shared" si="182"/>
        <v>0</v>
      </c>
      <c r="F442" s="880">
        <f t="shared" si="182"/>
        <v>0</v>
      </c>
      <c r="G442" s="880">
        <f t="shared" si="182"/>
        <v>0</v>
      </c>
      <c r="H442" s="880">
        <f t="shared" si="182"/>
        <v>0</v>
      </c>
      <c r="I442" s="880">
        <f t="shared" si="182"/>
        <v>0</v>
      </c>
      <c r="J442" s="880">
        <f t="shared" si="182"/>
        <v>0</v>
      </c>
      <c r="K442" s="880">
        <f t="shared" si="182"/>
        <v>0</v>
      </c>
      <c r="L442" s="880">
        <f t="shared" si="182"/>
        <v>0</v>
      </c>
      <c r="M442" s="880">
        <f t="shared" si="182"/>
        <v>0</v>
      </c>
      <c r="N442" s="880">
        <f t="shared" si="182"/>
        <v>0</v>
      </c>
      <c r="O442" s="962">
        <f>SUM(C442:N442)</f>
        <v>0</v>
      </c>
      <c r="P442" s="962"/>
      <c r="Q442" s="875"/>
      <c r="R442" s="915"/>
      <c r="S442" s="875"/>
      <c r="T442" s="962"/>
      <c r="U442" s="896">
        <f>C442+D442+E442</f>
        <v>0</v>
      </c>
      <c r="V442" s="896">
        <f>F442+G442+H442</f>
        <v>0</v>
      </c>
      <c r="W442" s="896">
        <f>I442+J442+K442</f>
        <v>0</v>
      </c>
      <c r="X442" s="896">
        <f>L442+M442+N442</f>
        <v>0</v>
      </c>
      <c r="Y442" s="880">
        <f>SUM(U442:X442)</f>
        <v>0</v>
      </c>
      <c r="Z442" s="873"/>
    </row>
    <row r="443" spans="1:26" x14ac:dyDescent="0.2">
      <c r="A443" s="907" t="s">
        <v>1023</v>
      </c>
      <c r="B443" s="871"/>
      <c r="C443" s="880">
        <f>+C204</f>
        <v>-300</v>
      </c>
      <c r="D443" s="880">
        <f t="shared" ref="D443:N443" si="183">+D204</f>
        <v>-400</v>
      </c>
      <c r="E443" s="880">
        <f t="shared" si="183"/>
        <v>-300</v>
      </c>
      <c r="F443" s="880">
        <f t="shared" si="183"/>
        <v>-300</v>
      </c>
      <c r="G443" s="880">
        <f t="shared" si="183"/>
        <v>-275</v>
      </c>
      <c r="H443" s="880">
        <f t="shared" si="183"/>
        <v>-275</v>
      </c>
      <c r="I443" s="880">
        <f t="shared" si="183"/>
        <v>-275</v>
      </c>
      <c r="J443" s="880">
        <f t="shared" si="183"/>
        <v>-275</v>
      </c>
      <c r="K443" s="880">
        <f t="shared" si="183"/>
        <v>-275</v>
      </c>
      <c r="L443" s="880">
        <f t="shared" si="183"/>
        <v>-275</v>
      </c>
      <c r="M443" s="880">
        <f t="shared" si="183"/>
        <v>-275</v>
      </c>
      <c r="N443" s="880">
        <f t="shared" si="183"/>
        <v>-275</v>
      </c>
      <c r="O443" s="962">
        <f>SUM(C443:N443)</f>
        <v>-3500</v>
      </c>
      <c r="P443" s="962"/>
      <c r="Q443" s="875"/>
      <c r="R443" s="915"/>
      <c r="S443" s="875"/>
      <c r="T443" s="962"/>
      <c r="U443" s="896">
        <f>C443+D443+E443</f>
        <v>-1000</v>
      </c>
      <c r="V443" s="896">
        <f>F443+G443+H443</f>
        <v>-850</v>
      </c>
      <c r="W443" s="896">
        <f>I443+J443+K443</f>
        <v>-825</v>
      </c>
      <c r="X443" s="896">
        <f>L443+M443+N443</f>
        <v>-825</v>
      </c>
      <c r="Y443" s="880">
        <f>SUM(U443:X443)</f>
        <v>-3500</v>
      </c>
      <c r="Z443" s="873"/>
    </row>
    <row r="444" spans="1:26" x14ac:dyDescent="0.2">
      <c r="A444" s="907" t="s">
        <v>1026</v>
      </c>
      <c r="B444" s="871"/>
      <c r="C444" s="938">
        <f>+C183</f>
        <v>0</v>
      </c>
      <c r="D444" s="938">
        <f t="shared" ref="D444:N444" si="184">+D183</f>
        <v>0</v>
      </c>
      <c r="E444" s="938">
        <f t="shared" si="184"/>
        <v>0</v>
      </c>
      <c r="F444" s="938">
        <f t="shared" si="184"/>
        <v>0</v>
      </c>
      <c r="G444" s="938">
        <f t="shared" si="184"/>
        <v>0</v>
      </c>
      <c r="H444" s="938">
        <f t="shared" si="184"/>
        <v>0</v>
      </c>
      <c r="I444" s="938">
        <f t="shared" si="184"/>
        <v>0</v>
      </c>
      <c r="J444" s="938">
        <f t="shared" si="184"/>
        <v>0</v>
      </c>
      <c r="K444" s="938">
        <f t="shared" si="184"/>
        <v>0</v>
      </c>
      <c r="L444" s="938">
        <f t="shared" si="184"/>
        <v>0</v>
      </c>
      <c r="M444" s="938">
        <f t="shared" si="184"/>
        <v>0</v>
      </c>
      <c r="N444" s="938">
        <f t="shared" si="184"/>
        <v>0</v>
      </c>
      <c r="O444" s="963">
        <f>SUM(C444:N444)</f>
        <v>0</v>
      </c>
      <c r="P444" s="963"/>
      <c r="Q444" s="875"/>
      <c r="R444" s="915"/>
      <c r="S444" s="875"/>
      <c r="T444" s="963"/>
      <c r="U444" s="939">
        <f>C444+D444+E444</f>
        <v>0</v>
      </c>
      <c r="V444" s="939">
        <f>F444+G444+H444</f>
        <v>0</v>
      </c>
      <c r="W444" s="939">
        <f>I444+J444+K444</f>
        <v>0</v>
      </c>
      <c r="X444" s="939">
        <f>L444+M444+N444</f>
        <v>0</v>
      </c>
      <c r="Y444" s="938">
        <f>SUM(U444:X444)</f>
        <v>0</v>
      </c>
      <c r="Z444" s="873"/>
    </row>
    <row r="445" spans="1:26" x14ac:dyDescent="0.2">
      <c r="A445" s="909" t="s">
        <v>1032</v>
      </c>
      <c r="B445" s="871"/>
      <c r="C445" s="958">
        <f>SUM(C441:C444)</f>
        <v>-6774</v>
      </c>
      <c r="D445" s="958">
        <f t="shared" ref="D445:O445" si="185">SUM(D441:D444)</f>
        <v>-7368</v>
      </c>
      <c r="E445" s="958">
        <f t="shared" si="185"/>
        <v>-7233</v>
      </c>
      <c r="F445" s="958">
        <f t="shared" si="185"/>
        <v>-7068</v>
      </c>
      <c r="G445" s="958">
        <f t="shared" si="185"/>
        <v>-7066</v>
      </c>
      <c r="H445" s="958">
        <f t="shared" si="185"/>
        <v>-7432</v>
      </c>
      <c r="I445" s="958">
        <f t="shared" si="185"/>
        <v>-9341</v>
      </c>
      <c r="J445" s="958">
        <f t="shared" si="185"/>
        <v>-8448</v>
      </c>
      <c r="K445" s="958">
        <f t="shared" si="185"/>
        <v>-8787</v>
      </c>
      <c r="L445" s="958">
        <f t="shared" si="185"/>
        <v>-8786</v>
      </c>
      <c r="M445" s="958">
        <f t="shared" si="185"/>
        <v>-7945</v>
      </c>
      <c r="N445" s="958">
        <f t="shared" si="185"/>
        <v>-8401</v>
      </c>
      <c r="O445" s="958">
        <f t="shared" si="185"/>
        <v>-94649</v>
      </c>
      <c r="P445" s="958"/>
      <c r="Q445" s="875"/>
      <c r="R445" s="915"/>
      <c r="S445" s="875"/>
      <c r="T445" s="958"/>
      <c r="U445" s="958">
        <f>SUM(U441:U444)</f>
        <v>-21375</v>
      </c>
      <c r="V445" s="958">
        <f>SUM(V441:V444)</f>
        <v>-21566</v>
      </c>
      <c r="W445" s="958">
        <f>SUM(W441:W444)</f>
        <v>-26576</v>
      </c>
      <c r="X445" s="958">
        <f>SUM(X441:X444)</f>
        <v>-25132</v>
      </c>
      <c r="Y445" s="958">
        <f>SUM(Y441:Y444)</f>
        <v>-94649</v>
      </c>
      <c r="Z445" s="873"/>
    </row>
    <row r="446" spans="1:26" ht="3.95" customHeight="1" x14ac:dyDescent="0.2">
      <c r="A446" s="909"/>
      <c r="B446" s="871"/>
      <c r="C446" s="880"/>
      <c r="D446" s="880"/>
      <c r="E446" s="880"/>
      <c r="F446" s="880"/>
      <c r="G446" s="880"/>
      <c r="H446" s="880"/>
      <c r="I446" s="880"/>
      <c r="J446" s="880"/>
      <c r="K446" s="880"/>
      <c r="L446" s="880"/>
      <c r="M446" s="880"/>
      <c r="N446" s="880"/>
      <c r="O446" s="896"/>
      <c r="P446" s="896"/>
      <c r="Q446" s="875"/>
      <c r="R446" s="915"/>
      <c r="S446" s="875"/>
      <c r="T446" s="896"/>
      <c r="U446" s="896"/>
      <c r="V446" s="896"/>
      <c r="W446" s="896"/>
      <c r="X446" s="896"/>
      <c r="Y446" s="880"/>
      <c r="Z446" s="873"/>
    </row>
    <row r="447" spans="1:26" x14ac:dyDescent="0.2">
      <c r="A447" s="909" t="s">
        <v>42</v>
      </c>
      <c r="B447" s="871"/>
      <c r="C447" s="880"/>
      <c r="D447" s="880"/>
      <c r="E447" s="880"/>
      <c r="F447" s="880"/>
      <c r="G447" s="880"/>
      <c r="H447" s="880"/>
      <c r="I447" s="880"/>
      <c r="J447" s="880"/>
      <c r="K447" s="880"/>
      <c r="L447" s="880"/>
      <c r="M447" s="880"/>
      <c r="N447" s="880"/>
      <c r="O447" s="896"/>
      <c r="P447" s="896"/>
      <c r="Q447" s="875"/>
      <c r="R447" s="915"/>
      <c r="S447" s="875"/>
      <c r="T447" s="896"/>
      <c r="U447" s="896"/>
      <c r="V447" s="896"/>
      <c r="W447" s="896"/>
      <c r="X447" s="896"/>
      <c r="Y447" s="880"/>
      <c r="Z447" s="873"/>
    </row>
    <row r="448" spans="1:26" x14ac:dyDescent="0.2">
      <c r="A448" s="907" t="s">
        <v>1019</v>
      </c>
      <c r="B448" s="871"/>
      <c r="C448" s="880">
        <f>+C239</f>
        <v>-3101</v>
      </c>
      <c r="D448" s="880">
        <f t="shared" ref="D448:N448" si="186">+D239</f>
        <v>-3120</v>
      </c>
      <c r="E448" s="880">
        <f t="shared" si="186"/>
        <v>-3144</v>
      </c>
      <c r="F448" s="880">
        <f t="shared" si="186"/>
        <v>-3114</v>
      </c>
      <c r="G448" s="880">
        <f t="shared" si="186"/>
        <v>-3113</v>
      </c>
      <c r="H448" s="880">
        <f t="shared" si="186"/>
        <v>-3144</v>
      </c>
      <c r="I448" s="880">
        <f t="shared" si="186"/>
        <v>-3113</v>
      </c>
      <c r="J448" s="880">
        <f t="shared" si="186"/>
        <v>-3114</v>
      </c>
      <c r="K448" s="880">
        <f t="shared" si="186"/>
        <v>-3144</v>
      </c>
      <c r="L448" s="880">
        <f t="shared" si="186"/>
        <v>-3116</v>
      </c>
      <c r="M448" s="880">
        <f t="shared" si="186"/>
        <v>-3117</v>
      </c>
      <c r="N448" s="880">
        <f t="shared" si="186"/>
        <v>-3126</v>
      </c>
      <c r="O448" s="962">
        <f t="shared" ref="O448:O456" si="187">SUM(C448:N448)</f>
        <v>-37466</v>
      </c>
      <c r="P448" s="962"/>
      <c r="Q448" s="875"/>
      <c r="R448" s="915"/>
      <c r="S448" s="875"/>
      <c r="T448" s="962"/>
      <c r="U448" s="896">
        <f t="shared" ref="U448:U456" si="188">C448+D448+E448</f>
        <v>-9365</v>
      </c>
      <c r="V448" s="896">
        <f t="shared" ref="V448:V456" si="189">F448+G448+H448</f>
        <v>-9371</v>
      </c>
      <c r="W448" s="896">
        <f t="shared" ref="W448:W456" si="190">I448+J448+K448</f>
        <v>-9371</v>
      </c>
      <c r="X448" s="896">
        <f t="shared" ref="X448:X456" si="191">L448+M448+N448</f>
        <v>-9359</v>
      </c>
      <c r="Y448" s="880">
        <f t="shared" ref="Y448:Y456" si="192">SUM(U448:X448)</f>
        <v>-37466</v>
      </c>
      <c r="Z448" s="873"/>
    </row>
    <row r="449" spans="1:26" x14ac:dyDescent="0.2">
      <c r="A449" s="907" t="s">
        <v>1020</v>
      </c>
      <c r="B449" s="871"/>
      <c r="C449" s="880">
        <f>+C243</f>
        <v>-435</v>
      </c>
      <c r="D449" s="880">
        <f t="shared" ref="D449:N449" si="193">+D243</f>
        <v>-435</v>
      </c>
      <c r="E449" s="880">
        <f t="shared" si="193"/>
        <v>-435</v>
      </c>
      <c r="F449" s="880">
        <f t="shared" si="193"/>
        <v>-436</v>
      </c>
      <c r="G449" s="880">
        <f t="shared" si="193"/>
        <v>-435</v>
      </c>
      <c r="H449" s="880">
        <f t="shared" si="193"/>
        <v>-435</v>
      </c>
      <c r="I449" s="880">
        <f t="shared" si="193"/>
        <v>-435</v>
      </c>
      <c r="J449" s="880">
        <f t="shared" si="193"/>
        <v>-435</v>
      </c>
      <c r="K449" s="880">
        <f t="shared" si="193"/>
        <v>-435</v>
      </c>
      <c r="L449" s="880">
        <f t="shared" si="193"/>
        <v>-435</v>
      </c>
      <c r="M449" s="880">
        <f t="shared" si="193"/>
        <v>-437</v>
      </c>
      <c r="N449" s="880">
        <f t="shared" si="193"/>
        <v>-437</v>
      </c>
      <c r="O449" s="962">
        <f t="shared" si="187"/>
        <v>-5225</v>
      </c>
      <c r="P449" s="962"/>
      <c r="Q449" s="875"/>
      <c r="R449" s="915"/>
      <c r="S449" s="875"/>
      <c r="T449" s="962"/>
      <c r="U449" s="896">
        <f>C449+D449+E449</f>
        <v>-1305</v>
      </c>
      <c r="V449" s="896">
        <f>F449+G449+H449</f>
        <v>-1306</v>
      </c>
      <c r="W449" s="896">
        <f>I449+J449+K449</f>
        <v>-1305</v>
      </c>
      <c r="X449" s="896">
        <f>L449+M449+N449</f>
        <v>-1309</v>
      </c>
      <c r="Y449" s="880">
        <f>SUM(U449:X449)</f>
        <v>-5225</v>
      </c>
      <c r="Z449" s="873"/>
    </row>
    <row r="450" spans="1:26" x14ac:dyDescent="0.2">
      <c r="A450" s="970" t="s">
        <v>1027</v>
      </c>
      <c r="B450" s="871"/>
      <c r="C450" s="964">
        <f>+C256-C249</f>
        <v>-3932</v>
      </c>
      <c r="D450" s="964">
        <f t="shared" ref="D450:N450" si="194">+D256-D249</f>
        <v>-3932</v>
      </c>
      <c r="E450" s="964">
        <f t="shared" si="194"/>
        <v>-3938</v>
      </c>
      <c r="F450" s="964">
        <f t="shared" si="194"/>
        <v>-3985</v>
      </c>
      <c r="G450" s="964">
        <f t="shared" si="194"/>
        <v>-3985</v>
      </c>
      <c r="H450" s="964">
        <f t="shared" si="194"/>
        <v>-3989</v>
      </c>
      <c r="I450" s="964">
        <f t="shared" si="194"/>
        <v>-3990</v>
      </c>
      <c r="J450" s="964">
        <f t="shared" si="194"/>
        <v>-4009</v>
      </c>
      <c r="K450" s="964">
        <f t="shared" si="194"/>
        <v>-4021</v>
      </c>
      <c r="L450" s="964">
        <f t="shared" si="194"/>
        <v>-4116</v>
      </c>
      <c r="M450" s="964">
        <f t="shared" si="194"/>
        <v>-4116</v>
      </c>
      <c r="N450" s="964">
        <f t="shared" si="194"/>
        <v>-4116</v>
      </c>
      <c r="O450" s="962">
        <f>SUM(C450:N450)</f>
        <v>-48129</v>
      </c>
      <c r="P450" s="962"/>
      <c r="Q450" s="875"/>
      <c r="R450" s="915"/>
      <c r="S450" s="875"/>
      <c r="T450" s="962"/>
      <c r="U450" s="896">
        <f>C450+D450+E450</f>
        <v>-11802</v>
      </c>
      <c r="V450" s="896">
        <f>F450+G450+H450</f>
        <v>-11959</v>
      </c>
      <c r="W450" s="896">
        <f>I450+J450+K450</f>
        <v>-12020</v>
      </c>
      <c r="X450" s="896">
        <f>L450+M450+N450</f>
        <v>-12348</v>
      </c>
      <c r="Y450" s="880">
        <f>SUM(U450:X450)</f>
        <v>-48129</v>
      </c>
      <c r="Z450" s="873"/>
    </row>
    <row r="451" spans="1:26" x14ac:dyDescent="0.2">
      <c r="A451" s="907" t="s">
        <v>1028</v>
      </c>
      <c r="B451" s="871"/>
      <c r="C451" s="880">
        <f>+C258</f>
        <v>-2284</v>
      </c>
      <c r="D451" s="880">
        <f t="shared" ref="D451:N451" si="195">+D258</f>
        <v>-2284</v>
      </c>
      <c r="E451" s="880">
        <f t="shared" si="195"/>
        <v>-2284</v>
      </c>
      <c r="F451" s="880">
        <f t="shared" si="195"/>
        <v>-2284</v>
      </c>
      <c r="G451" s="880">
        <f t="shared" si="195"/>
        <v>-2284</v>
      </c>
      <c r="H451" s="880">
        <f t="shared" si="195"/>
        <v>-2284</v>
      </c>
      <c r="I451" s="880">
        <f t="shared" si="195"/>
        <v>-2284</v>
      </c>
      <c r="J451" s="880">
        <f t="shared" si="195"/>
        <v>-2284</v>
      </c>
      <c r="K451" s="880">
        <f t="shared" si="195"/>
        <v>-2284</v>
      </c>
      <c r="L451" s="880">
        <f t="shared" si="195"/>
        <v>-2284</v>
      </c>
      <c r="M451" s="880">
        <f t="shared" si="195"/>
        <v>-2284</v>
      </c>
      <c r="N451" s="880">
        <f t="shared" si="195"/>
        <v>-2284</v>
      </c>
      <c r="O451" s="962">
        <f t="shared" si="187"/>
        <v>-27408</v>
      </c>
      <c r="P451" s="962"/>
      <c r="Q451" s="875"/>
      <c r="R451" s="915"/>
      <c r="S451" s="875"/>
      <c r="T451" s="962"/>
      <c r="U451" s="896">
        <f t="shared" si="188"/>
        <v>-6852</v>
      </c>
      <c r="V451" s="896">
        <f t="shared" si="189"/>
        <v>-6852</v>
      </c>
      <c r="W451" s="896">
        <f t="shared" si="190"/>
        <v>-6852</v>
      </c>
      <c r="X451" s="896">
        <f t="shared" si="191"/>
        <v>-6852</v>
      </c>
      <c r="Y451" s="880">
        <f t="shared" si="192"/>
        <v>-27408</v>
      </c>
      <c r="Z451" s="873"/>
    </row>
    <row r="452" spans="1:26" x14ac:dyDescent="0.2">
      <c r="A452" s="905" t="s">
        <v>456</v>
      </c>
      <c r="B452" s="871"/>
      <c r="C452" s="880">
        <f>+C262</f>
        <v>-23</v>
      </c>
      <c r="D452" s="880">
        <f t="shared" ref="D452:N452" si="196">+D262</f>
        <v>-39</v>
      </c>
      <c r="E452" s="880">
        <f t="shared" si="196"/>
        <v>-24</v>
      </c>
      <c r="F452" s="880">
        <f t="shared" si="196"/>
        <v>-24</v>
      </c>
      <c r="G452" s="880">
        <f t="shared" si="196"/>
        <v>-25</v>
      </c>
      <c r="H452" s="880">
        <f t="shared" si="196"/>
        <v>-24</v>
      </c>
      <c r="I452" s="880">
        <f t="shared" si="196"/>
        <v>-24</v>
      </c>
      <c r="J452" s="880">
        <f t="shared" si="196"/>
        <v>-25</v>
      </c>
      <c r="K452" s="880">
        <f t="shared" si="196"/>
        <v>-24</v>
      </c>
      <c r="L452" s="880">
        <f t="shared" si="196"/>
        <v>-24</v>
      </c>
      <c r="M452" s="880">
        <f t="shared" si="196"/>
        <v>-25</v>
      </c>
      <c r="N452" s="880">
        <f t="shared" si="196"/>
        <v>-24</v>
      </c>
      <c r="O452" s="962">
        <f t="shared" si="187"/>
        <v>-305</v>
      </c>
      <c r="P452" s="962"/>
      <c r="Q452" s="875"/>
      <c r="R452" s="915"/>
      <c r="S452" s="875"/>
      <c r="T452" s="962"/>
      <c r="U452" s="896">
        <f t="shared" si="188"/>
        <v>-86</v>
      </c>
      <c r="V452" s="896">
        <f t="shared" si="189"/>
        <v>-73</v>
      </c>
      <c r="W452" s="896">
        <f t="shared" si="190"/>
        <v>-73</v>
      </c>
      <c r="X452" s="896">
        <f t="shared" si="191"/>
        <v>-73</v>
      </c>
      <c r="Y452" s="880">
        <f t="shared" si="192"/>
        <v>-305</v>
      </c>
      <c r="Z452" s="873"/>
    </row>
    <row r="453" spans="1:26" x14ac:dyDescent="0.2">
      <c r="A453" s="905" t="s">
        <v>455</v>
      </c>
      <c r="B453" s="871"/>
      <c r="C453" s="880">
        <f>+C261</f>
        <v>0</v>
      </c>
      <c r="D453" s="880">
        <f t="shared" ref="D453:N453" si="197">+D261</f>
        <v>0</v>
      </c>
      <c r="E453" s="880">
        <f t="shared" si="197"/>
        <v>0</v>
      </c>
      <c r="F453" s="880">
        <f t="shared" si="197"/>
        <v>0</v>
      </c>
      <c r="G453" s="880">
        <f t="shared" si="197"/>
        <v>0</v>
      </c>
      <c r="H453" s="880">
        <f t="shared" si="197"/>
        <v>0</v>
      </c>
      <c r="I453" s="880">
        <f t="shared" si="197"/>
        <v>0</v>
      </c>
      <c r="J453" s="880">
        <f t="shared" si="197"/>
        <v>0</v>
      </c>
      <c r="K453" s="880">
        <f t="shared" si="197"/>
        <v>0</v>
      </c>
      <c r="L453" s="880">
        <f t="shared" si="197"/>
        <v>0</v>
      </c>
      <c r="M453" s="880">
        <f t="shared" si="197"/>
        <v>0</v>
      </c>
      <c r="N453" s="880">
        <f t="shared" si="197"/>
        <v>0</v>
      </c>
      <c r="O453" s="962">
        <f t="shared" si="187"/>
        <v>0</v>
      </c>
      <c r="P453" s="962"/>
      <c r="Q453" s="875"/>
      <c r="R453" s="915"/>
      <c r="S453" s="875"/>
      <c r="T453" s="962"/>
      <c r="U453" s="896">
        <f t="shared" si="188"/>
        <v>0</v>
      </c>
      <c r="V453" s="896">
        <f t="shared" si="189"/>
        <v>0</v>
      </c>
      <c r="W453" s="896">
        <f t="shared" si="190"/>
        <v>0</v>
      </c>
      <c r="X453" s="896">
        <f t="shared" si="191"/>
        <v>0</v>
      </c>
      <c r="Y453" s="880">
        <f t="shared" si="192"/>
        <v>0</v>
      </c>
      <c r="Z453" s="873"/>
    </row>
    <row r="454" spans="1:26" x14ac:dyDescent="0.2">
      <c r="A454" s="905" t="s">
        <v>1010</v>
      </c>
      <c r="B454" s="871"/>
      <c r="C454" s="880">
        <f>+C259+C260</f>
        <v>-33</v>
      </c>
      <c r="D454" s="880">
        <f t="shared" ref="D454:N454" si="198">+D259+D260</f>
        <v>-33</v>
      </c>
      <c r="E454" s="880">
        <f t="shared" si="198"/>
        <v>-33</v>
      </c>
      <c r="F454" s="880">
        <f t="shared" si="198"/>
        <v>-33</v>
      </c>
      <c r="G454" s="880">
        <f t="shared" si="198"/>
        <v>-33</v>
      </c>
      <c r="H454" s="880">
        <f t="shared" si="198"/>
        <v>-33</v>
      </c>
      <c r="I454" s="880">
        <f t="shared" si="198"/>
        <v>-33</v>
      </c>
      <c r="J454" s="880">
        <f t="shared" si="198"/>
        <v>-33</v>
      </c>
      <c r="K454" s="880">
        <f t="shared" si="198"/>
        <v>-33</v>
      </c>
      <c r="L454" s="880">
        <f t="shared" si="198"/>
        <v>-33</v>
      </c>
      <c r="M454" s="880">
        <f t="shared" si="198"/>
        <v>-33</v>
      </c>
      <c r="N454" s="880">
        <f t="shared" si="198"/>
        <v>-33</v>
      </c>
      <c r="O454" s="962">
        <f t="shared" si="187"/>
        <v>-396</v>
      </c>
      <c r="P454" s="962"/>
      <c r="Q454" s="875"/>
      <c r="R454" s="915"/>
      <c r="S454" s="875"/>
      <c r="T454" s="962"/>
      <c r="U454" s="896">
        <f t="shared" si="188"/>
        <v>-99</v>
      </c>
      <c r="V454" s="896">
        <f t="shared" si="189"/>
        <v>-99</v>
      </c>
      <c r="W454" s="896">
        <f t="shared" si="190"/>
        <v>-99</v>
      </c>
      <c r="X454" s="896">
        <f t="shared" si="191"/>
        <v>-99</v>
      </c>
      <c r="Y454" s="880">
        <f t="shared" si="192"/>
        <v>-396</v>
      </c>
      <c r="Z454" s="873"/>
    </row>
    <row r="455" spans="1:26" x14ac:dyDescent="0.2">
      <c r="A455" s="970" t="s">
        <v>1040</v>
      </c>
      <c r="B455" s="871"/>
      <c r="C455" s="964">
        <f>+C212-C212</f>
        <v>0</v>
      </c>
      <c r="D455" s="964">
        <f t="shared" ref="D455:N455" si="199">+D212-D212</f>
        <v>0</v>
      </c>
      <c r="E455" s="964">
        <f t="shared" si="199"/>
        <v>0</v>
      </c>
      <c r="F455" s="964">
        <f t="shared" si="199"/>
        <v>0</v>
      </c>
      <c r="G455" s="964">
        <f t="shared" si="199"/>
        <v>0</v>
      </c>
      <c r="H455" s="964">
        <f t="shared" si="199"/>
        <v>0</v>
      </c>
      <c r="I455" s="964">
        <f t="shared" si="199"/>
        <v>0</v>
      </c>
      <c r="J455" s="964">
        <f t="shared" si="199"/>
        <v>0</v>
      </c>
      <c r="K455" s="964">
        <f t="shared" si="199"/>
        <v>0</v>
      </c>
      <c r="L455" s="964">
        <f t="shared" si="199"/>
        <v>0</v>
      </c>
      <c r="M455" s="964">
        <f t="shared" si="199"/>
        <v>0</v>
      </c>
      <c r="N455" s="964">
        <f t="shared" si="199"/>
        <v>0</v>
      </c>
      <c r="O455" s="962">
        <f t="shared" si="187"/>
        <v>0</v>
      </c>
      <c r="P455" s="962"/>
      <c r="Q455" s="875"/>
      <c r="R455" s="915"/>
      <c r="S455" s="875"/>
      <c r="T455" s="962"/>
      <c r="U455" s="896">
        <f>C455+D455+E455</f>
        <v>0</v>
      </c>
      <c r="V455" s="896">
        <f>F455+G455+H455</f>
        <v>0</v>
      </c>
      <c r="W455" s="896">
        <f>I455+J455+K455</f>
        <v>0</v>
      </c>
      <c r="X455" s="896">
        <f>L455+M455+N455</f>
        <v>0</v>
      </c>
      <c r="Y455" s="880">
        <f>SUM(U455:X455)</f>
        <v>0</v>
      </c>
      <c r="Z455" s="873"/>
    </row>
    <row r="456" spans="1:26" x14ac:dyDescent="0.2">
      <c r="A456" s="907" t="s">
        <v>1025</v>
      </c>
      <c r="B456" s="871"/>
      <c r="C456" s="938">
        <f t="shared" ref="C456:N456" si="200">SUM(C265:C285)</f>
        <v>171</v>
      </c>
      <c r="D456" s="938">
        <f t="shared" si="200"/>
        <v>191</v>
      </c>
      <c r="E456" s="938">
        <f t="shared" si="200"/>
        <v>212</v>
      </c>
      <c r="F456" s="938">
        <f t="shared" si="200"/>
        <v>273</v>
      </c>
      <c r="G456" s="938">
        <f t="shared" si="200"/>
        <v>505</v>
      </c>
      <c r="H456" s="938">
        <f t="shared" si="200"/>
        <v>525</v>
      </c>
      <c r="I456" s="938">
        <f t="shared" si="200"/>
        <v>175</v>
      </c>
      <c r="J456" s="938">
        <f t="shared" si="200"/>
        <v>321</v>
      </c>
      <c r="K456" s="938">
        <f t="shared" si="200"/>
        <v>483</v>
      </c>
      <c r="L456" s="938">
        <f t="shared" si="200"/>
        <v>562</v>
      </c>
      <c r="M456" s="938">
        <f t="shared" si="200"/>
        <v>562</v>
      </c>
      <c r="N456" s="938">
        <f t="shared" si="200"/>
        <v>445</v>
      </c>
      <c r="O456" s="963">
        <f t="shared" si="187"/>
        <v>4425</v>
      </c>
      <c r="P456" s="963"/>
      <c r="Q456" s="875"/>
      <c r="R456" s="915"/>
      <c r="S456" s="875"/>
      <c r="T456" s="963"/>
      <c r="U456" s="939">
        <f t="shared" si="188"/>
        <v>574</v>
      </c>
      <c r="V456" s="939">
        <f t="shared" si="189"/>
        <v>1303</v>
      </c>
      <c r="W456" s="939">
        <f t="shared" si="190"/>
        <v>979</v>
      </c>
      <c r="X456" s="939">
        <f t="shared" si="191"/>
        <v>1569</v>
      </c>
      <c r="Y456" s="938">
        <f t="shared" si="192"/>
        <v>4425</v>
      </c>
      <c r="Z456" s="873"/>
    </row>
    <row r="457" spans="1:26" x14ac:dyDescent="0.2">
      <c r="A457" s="909" t="s">
        <v>1033</v>
      </c>
      <c r="B457" s="871"/>
      <c r="C457" s="958">
        <f t="shared" ref="C457:O457" si="201">SUM(C448:C456)</f>
        <v>-9637</v>
      </c>
      <c r="D457" s="958">
        <f t="shared" si="201"/>
        <v>-9652</v>
      </c>
      <c r="E457" s="958">
        <f t="shared" si="201"/>
        <v>-9646</v>
      </c>
      <c r="F457" s="958">
        <f t="shared" si="201"/>
        <v>-9603</v>
      </c>
      <c r="G457" s="958">
        <f t="shared" si="201"/>
        <v>-9370</v>
      </c>
      <c r="H457" s="958">
        <f t="shared" si="201"/>
        <v>-9384</v>
      </c>
      <c r="I457" s="958">
        <f t="shared" si="201"/>
        <v>-9704</v>
      </c>
      <c r="J457" s="958">
        <f t="shared" si="201"/>
        <v>-9579</v>
      </c>
      <c r="K457" s="958">
        <f t="shared" si="201"/>
        <v>-9458</v>
      </c>
      <c r="L457" s="958">
        <f t="shared" si="201"/>
        <v>-9446</v>
      </c>
      <c r="M457" s="958">
        <f t="shared" si="201"/>
        <v>-9450</v>
      </c>
      <c r="N457" s="958">
        <f t="shared" si="201"/>
        <v>-9575</v>
      </c>
      <c r="O457" s="958">
        <f t="shared" si="201"/>
        <v>-114504</v>
      </c>
      <c r="P457" s="958"/>
      <c r="Q457" s="875"/>
      <c r="R457" s="915"/>
      <c r="S457" s="875"/>
      <c r="T457" s="958"/>
      <c r="U457" s="958">
        <f>SUM(U448:U456)</f>
        <v>-28935</v>
      </c>
      <c r="V457" s="958">
        <f>SUM(V448:V456)</f>
        <v>-28357</v>
      </c>
      <c r="W457" s="958">
        <f>SUM(W448:W456)</f>
        <v>-28741</v>
      </c>
      <c r="X457" s="958">
        <f>SUM(X448:X456)</f>
        <v>-28471</v>
      </c>
      <c r="Y457" s="958">
        <f>SUM(Y448:Y456)</f>
        <v>-114504</v>
      </c>
      <c r="Z457" s="873"/>
    </row>
    <row r="458" spans="1:26" ht="3.95" customHeight="1" x14ac:dyDescent="0.2">
      <c r="A458" s="911"/>
      <c r="B458" s="871"/>
      <c r="C458" s="880"/>
      <c r="D458" s="880"/>
      <c r="E458" s="880"/>
      <c r="F458" s="880"/>
      <c r="G458" s="880"/>
      <c r="H458" s="880"/>
      <c r="I458" s="880"/>
      <c r="J458" s="880"/>
      <c r="K458" s="880"/>
      <c r="L458" s="880"/>
      <c r="M458" s="880"/>
      <c r="N458" s="880"/>
      <c r="O458" s="896"/>
      <c r="P458" s="896"/>
      <c r="Q458" s="875"/>
      <c r="R458" s="915"/>
      <c r="S458" s="875"/>
      <c r="T458" s="896"/>
      <c r="U458" s="896"/>
      <c r="V458" s="896"/>
      <c r="W458" s="896"/>
      <c r="X458" s="896"/>
      <c r="Y458" s="880"/>
      <c r="Z458" s="873"/>
    </row>
    <row r="459" spans="1:26" x14ac:dyDescent="0.2">
      <c r="A459" s="909" t="s">
        <v>1029</v>
      </c>
      <c r="B459" s="871"/>
      <c r="C459" s="880"/>
      <c r="D459" s="880"/>
      <c r="E459" s="880"/>
      <c r="F459" s="880"/>
      <c r="G459" s="880"/>
      <c r="H459" s="880"/>
      <c r="I459" s="880"/>
      <c r="J459" s="880"/>
      <c r="K459" s="880"/>
      <c r="L459" s="880"/>
      <c r="M459" s="880"/>
      <c r="N459" s="880"/>
      <c r="O459" s="896"/>
      <c r="P459" s="896"/>
      <c r="Q459" s="875"/>
      <c r="R459" s="915"/>
      <c r="S459" s="875"/>
      <c r="T459" s="896"/>
      <c r="U459" s="896"/>
      <c r="V459" s="896"/>
      <c r="W459" s="896"/>
      <c r="X459" s="896"/>
      <c r="Y459" s="880"/>
      <c r="Z459" s="873"/>
    </row>
    <row r="460" spans="1:26" x14ac:dyDescent="0.2">
      <c r="A460" s="907" t="s">
        <v>1018</v>
      </c>
      <c r="B460" s="871"/>
      <c r="C460" s="880">
        <f>+C294</f>
        <v>191</v>
      </c>
      <c r="D460" s="880">
        <f t="shared" ref="D460:N460" si="202">+D294</f>
        <v>192</v>
      </c>
      <c r="E460" s="880">
        <f t="shared" si="202"/>
        <v>192</v>
      </c>
      <c r="F460" s="880">
        <f t="shared" si="202"/>
        <v>191</v>
      </c>
      <c r="G460" s="880">
        <f t="shared" si="202"/>
        <v>192</v>
      </c>
      <c r="H460" s="880">
        <f t="shared" si="202"/>
        <v>192</v>
      </c>
      <c r="I460" s="880">
        <f t="shared" si="202"/>
        <v>191</v>
      </c>
      <c r="J460" s="880">
        <f t="shared" si="202"/>
        <v>192</v>
      </c>
      <c r="K460" s="880">
        <f t="shared" si="202"/>
        <v>192</v>
      </c>
      <c r="L460" s="880">
        <f t="shared" si="202"/>
        <v>191</v>
      </c>
      <c r="M460" s="880">
        <f t="shared" si="202"/>
        <v>192</v>
      </c>
      <c r="N460" s="880">
        <f t="shared" si="202"/>
        <v>192</v>
      </c>
      <c r="O460" s="962">
        <f>SUM(C460:N460)</f>
        <v>2300</v>
      </c>
      <c r="P460" s="962"/>
      <c r="Q460" s="875"/>
      <c r="R460" s="915"/>
      <c r="S460" s="875"/>
      <c r="T460" s="962"/>
      <c r="U460" s="896">
        <f>C460+D460+E460</f>
        <v>575</v>
      </c>
      <c r="V460" s="896">
        <f>F460+G460+H460</f>
        <v>575</v>
      </c>
      <c r="W460" s="896">
        <f>I460+J460+K460</f>
        <v>575</v>
      </c>
      <c r="X460" s="896">
        <f>L460+M460+N460</f>
        <v>575</v>
      </c>
      <c r="Y460" s="880">
        <f>SUM(U460:X460)</f>
        <v>2300</v>
      </c>
      <c r="Z460" s="873"/>
    </row>
    <row r="461" spans="1:26" x14ac:dyDescent="0.2">
      <c r="A461" s="907" t="s">
        <v>1019</v>
      </c>
      <c r="B461" s="871"/>
      <c r="C461" s="880">
        <f>+C309</f>
        <v>-1381</v>
      </c>
      <c r="D461" s="880">
        <f>+D309</f>
        <v>-1389</v>
      </c>
      <c r="E461" s="880">
        <f t="shared" ref="E461:N461" si="203">+E309</f>
        <v>-1414</v>
      </c>
      <c r="F461" s="880">
        <f t="shared" si="203"/>
        <v>-1402</v>
      </c>
      <c r="G461" s="880">
        <f t="shared" si="203"/>
        <v>-1484</v>
      </c>
      <c r="H461" s="880">
        <f t="shared" si="203"/>
        <v>-1423</v>
      </c>
      <c r="I461" s="880">
        <f t="shared" si="203"/>
        <v>-1407</v>
      </c>
      <c r="J461" s="880">
        <f t="shared" si="203"/>
        <v>-1442</v>
      </c>
      <c r="K461" s="880">
        <f t="shared" si="203"/>
        <v>-1428</v>
      </c>
      <c r="L461" s="880">
        <f t="shared" si="203"/>
        <v>-1411</v>
      </c>
      <c r="M461" s="880">
        <f t="shared" si="203"/>
        <v>-1414</v>
      </c>
      <c r="N461" s="880">
        <f t="shared" si="203"/>
        <v>-1434</v>
      </c>
      <c r="O461" s="962">
        <f>SUM(C461:N461)</f>
        <v>-17029</v>
      </c>
      <c r="P461" s="962"/>
      <c r="Q461" s="875"/>
      <c r="R461" s="915"/>
      <c r="S461" s="875"/>
      <c r="T461" s="962"/>
      <c r="U461" s="896">
        <f>C461+D461+E461</f>
        <v>-4184</v>
      </c>
      <c r="V461" s="896">
        <f>F461+G461+H461</f>
        <v>-4309</v>
      </c>
      <c r="W461" s="896">
        <f>I461+J461+K461</f>
        <v>-4277</v>
      </c>
      <c r="X461" s="896">
        <f>L461+M461+N461</f>
        <v>-4259</v>
      </c>
      <c r="Y461" s="880">
        <f>SUM(U461:X461)</f>
        <v>-17029</v>
      </c>
      <c r="Z461" s="873"/>
    </row>
    <row r="462" spans="1:26" x14ac:dyDescent="0.2">
      <c r="A462" s="907" t="s">
        <v>1027</v>
      </c>
      <c r="B462" s="871"/>
      <c r="C462" s="880">
        <f>+C296+C311</f>
        <v>-96</v>
      </c>
      <c r="D462" s="880">
        <f t="shared" ref="D462:N462" si="204">+D296+D311</f>
        <v>-96</v>
      </c>
      <c r="E462" s="880">
        <f t="shared" si="204"/>
        <v>-96</v>
      </c>
      <c r="F462" s="880">
        <f t="shared" si="204"/>
        <v>-96</v>
      </c>
      <c r="G462" s="880">
        <f t="shared" si="204"/>
        <v>-96</v>
      </c>
      <c r="H462" s="880">
        <f t="shared" si="204"/>
        <v>-95</v>
      </c>
      <c r="I462" s="880">
        <f t="shared" si="204"/>
        <v>-96</v>
      </c>
      <c r="J462" s="880">
        <f t="shared" si="204"/>
        <v>-96</v>
      </c>
      <c r="K462" s="880">
        <f t="shared" si="204"/>
        <v>-96</v>
      </c>
      <c r="L462" s="880">
        <f t="shared" si="204"/>
        <v>-96</v>
      </c>
      <c r="M462" s="880">
        <f t="shared" si="204"/>
        <v>-96</v>
      </c>
      <c r="N462" s="880">
        <f t="shared" si="204"/>
        <v>-95</v>
      </c>
      <c r="O462" s="962">
        <f>SUM(C462:N462)</f>
        <v>-1150</v>
      </c>
      <c r="P462" s="962"/>
      <c r="Q462" s="875"/>
      <c r="R462" s="915"/>
      <c r="S462" s="875"/>
      <c r="T462" s="962"/>
      <c r="U462" s="896">
        <f>C462+D462+E462</f>
        <v>-288</v>
      </c>
      <c r="V462" s="896">
        <f>F462+G462+H462</f>
        <v>-287</v>
      </c>
      <c r="W462" s="896">
        <f>I462+J462+K462</f>
        <v>-288</v>
      </c>
      <c r="X462" s="896">
        <f>L462+M462+N462</f>
        <v>-287</v>
      </c>
      <c r="Y462" s="880">
        <f>SUM(U462:X462)</f>
        <v>-1150</v>
      </c>
      <c r="Z462" s="873"/>
    </row>
    <row r="463" spans="1:26" x14ac:dyDescent="0.2">
      <c r="A463" s="907" t="s">
        <v>1023</v>
      </c>
      <c r="B463" s="871"/>
      <c r="C463" s="938">
        <f>+C313</f>
        <v>-53</v>
      </c>
      <c r="D463" s="938">
        <f t="shared" ref="D463:N463" si="205">+D313</f>
        <v>-127</v>
      </c>
      <c r="E463" s="938">
        <f t="shared" si="205"/>
        <v>-53</v>
      </c>
      <c r="F463" s="938">
        <f t="shared" si="205"/>
        <v>-53</v>
      </c>
      <c r="G463" s="938">
        <f t="shared" si="205"/>
        <v>-53</v>
      </c>
      <c r="H463" s="938">
        <f t="shared" si="205"/>
        <v>-54</v>
      </c>
      <c r="I463" s="938">
        <f t="shared" si="205"/>
        <v>-53</v>
      </c>
      <c r="J463" s="938">
        <f t="shared" si="205"/>
        <v>-53</v>
      </c>
      <c r="K463" s="938">
        <f t="shared" si="205"/>
        <v>-53</v>
      </c>
      <c r="L463" s="938">
        <f t="shared" si="205"/>
        <v>-53</v>
      </c>
      <c r="M463" s="938">
        <f t="shared" si="205"/>
        <v>-53</v>
      </c>
      <c r="N463" s="938">
        <f t="shared" si="205"/>
        <v>-54</v>
      </c>
      <c r="O463" s="963">
        <f>SUM(C463:N463)</f>
        <v>-712</v>
      </c>
      <c r="P463" s="963"/>
      <c r="Q463" s="875"/>
      <c r="R463" s="915"/>
      <c r="S463" s="875"/>
      <c r="T463" s="963"/>
      <c r="U463" s="939">
        <f>C463+D463+E463</f>
        <v>-233</v>
      </c>
      <c r="V463" s="939">
        <f>F463+G463+H463</f>
        <v>-160</v>
      </c>
      <c r="W463" s="939">
        <f>I463+J463+K463</f>
        <v>-159</v>
      </c>
      <c r="X463" s="939">
        <f>L463+M463+N463</f>
        <v>-160</v>
      </c>
      <c r="Y463" s="938">
        <f>SUM(U463:X463)</f>
        <v>-712</v>
      </c>
      <c r="Z463" s="873"/>
    </row>
    <row r="464" spans="1:26" x14ac:dyDescent="0.2">
      <c r="A464" s="909" t="s">
        <v>1034</v>
      </c>
      <c r="B464" s="871"/>
      <c r="C464" s="958">
        <f>SUM(C460:C463)</f>
        <v>-1339</v>
      </c>
      <c r="D464" s="958">
        <f t="shared" ref="D464:O464" si="206">SUM(D460:D463)</f>
        <v>-1420</v>
      </c>
      <c r="E464" s="958">
        <f t="shared" si="206"/>
        <v>-1371</v>
      </c>
      <c r="F464" s="958">
        <f t="shared" si="206"/>
        <v>-1360</v>
      </c>
      <c r="G464" s="958">
        <f t="shared" si="206"/>
        <v>-1441</v>
      </c>
      <c r="H464" s="958">
        <f t="shared" si="206"/>
        <v>-1380</v>
      </c>
      <c r="I464" s="958">
        <f t="shared" si="206"/>
        <v>-1365</v>
      </c>
      <c r="J464" s="958">
        <f t="shared" si="206"/>
        <v>-1399</v>
      </c>
      <c r="K464" s="958">
        <f t="shared" si="206"/>
        <v>-1385</v>
      </c>
      <c r="L464" s="958">
        <f t="shared" si="206"/>
        <v>-1369</v>
      </c>
      <c r="M464" s="958">
        <f t="shared" si="206"/>
        <v>-1371</v>
      </c>
      <c r="N464" s="958">
        <f t="shared" si="206"/>
        <v>-1391</v>
      </c>
      <c r="O464" s="958">
        <f t="shared" si="206"/>
        <v>-16591</v>
      </c>
      <c r="P464" s="958"/>
      <c r="Q464" s="875"/>
      <c r="R464" s="915"/>
      <c r="S464" s="875"/>
      <c r="T464" s="958"/>
      <c r="U464" s="958">
        <f>SUM(U460:U463)</f>
        <v>-4130</v>
      </c>
      <c r="V464" s="958">
        <f>SUM(V460:V463)</f>
        <v>-4181</v>
      </c>
      <c r="W464" s="958">
        <f>SUM(W460:W463)</f>
        <v>-4149</v>
      </c>
      <c r="X464" s="958">
        <f>SUM(X460:X463)</f>
        <v>-4131</v>
      </c>
      <c r="Y464" s="958">
        <f>SUM(Y460:Y463)</f>
        <v>-16591</v>
      </c>
      <c r="Z464" s="873"/>
    </row>
    <row r="465" spans="1:26" ht="3.95" customHeight="1" x14ac:dyDescent="0.2">
      <c r="A465" s="909"/>
      <c r="B465" s="871"/>
      <c r="C465" s="958"/>
      <c r="D465" s="958"/>
      <c r="E465" s="958"/>
      <c r="F465" s="958"/>
      <c r="G465" s="958"/>
      <c r="H465" s="958"/>
      <c r="I465" s="958"/>
      <c r="J465" s="958"/>
      <c r="K465" s="958"/>
      <c r="L465" s="958"/>
      <c r="M465" s="958"/>
      <c r="N465" s="958"/>
      <c r="O465" s="958"/>
      <c r="P465" s="958"/>
      <c r="Q465" s="875"/>
      <c r="R465" s="915"/>
      <c r="S465" s="875"/>
      <c r="T465" s="958"/>
      <c r="U465" s="958"/>
      <c r="V465" s="958"/>
      <c r="W465" s="958"/>
      <c r="X465" s="958"/>
      <c r="Y465" s="958"/>
      <c r="Z465" s="873"/>
    </row>
    <row r="466" spans="1:26" x14ac:dyDescent="0.2">
      <c r="A466" s="909" t="s">
        <v>368</v>
      </c>
      <c r="B466" s="871"/>
      <c r="C466" s="958"/>
      <c r="D466" s="958"/>
      <c r="E466" s="958"/>
      <c r="F466" s="958"/>
      <c r="G466" s="958"/>
      <c r="H466" s="958"/>
      <c r="I466" s="958"/>
      <c r="J466" s="958"/>
      <c r="K466" s="958"/>
      <c r="L466" s="958"/>
      <c r="M466" s="958"/>
      <c r="N466" s="958"/>
      <c r="O466" s="958"/>
      <c r="P466" s="958"/>
      <c r="Q466" s="875"/>
      <c r="R466" s="915"/>
      <c r="S466" s="875"/>
      <c r="T466" s="958"/>
      <c r="U466" s="958"/>
      <c r="V466" s="958"/>
      <c r="W466" s="958"/>
      <c r="X466" s="958"/>
      <c r="Y466" s="958"/>
      <c r="Z466" s="873"/>
    </row>
    <row r="467" spans="1:26" x14ac:dyDescent="0.2">
      <c r="A467" s="907" t="s">
        <v>1019</v>
      </c>
      <c r="B467" s="871"/>
      <c r="C467" s="880">
        <f>+C324</f>
        <v>-169</v>
      </c>
      <c r="D467" s="880">
        <f>+D324</f>
        <v>-197</v>
      </c>
      <c r="E467" s="880">
        <f>+E324</f>
        <v>-173</v>
      </c>
      <c r="F467" s="880">
        <f t="shared" ref="F467:N467" si="207">+F324</f>
        <v>-172</v>
      </c>
      <c r="G467" s="880">
        <f t="shared" si="207"/>
        <v>-173</v>
      </c>
      <c r="H467" s="880">
        <f t="shared" si="207"/>
        <v>-172</v>
      </c>
      <c r="I467" s="880">
        <f t="shared" si="207"/>
        <v>-173</v>
      </c>
      <c r="J467" s="880">
        <f t="shared" si="207"/>
        <v>-172</v>
      </c>
      <c r="K467" s="880">
        <f t="shared" si="207"/>
        <v>-173</v>
      </c>
      <c r="L467" s="880">
        <f t="shared" si="207"/>
        <v>-172</v>
      </c>
      <c r="M467" s="880">
        <f t="shared" si="207"/>
        <v>-173</v>
      </c>
      <c r="N467" s="880">
        <f t="shared" si="207"/>
        <v>-172</v>
      </c>
      <c r="O467" s="962">
        <f>SUM(C467:N467)</f>
        <v>-2091</v>
      </c>
      <c r="P467" s="962"/>
      <c r="Q467" s="875"/>
      <c r="R467" s="915"/>
      <c r="S467" s="875"/>
      <c r="T467" s="962"/>
      <c r="U467" s="896">
        <f>C467+D467+E467</f>
        <v>-539</v>
      </c>
      <c r="V467" s="896">
        <f>F467+G467+H467</f>
        <v>-517</v>
      </c>
      <c r="W467" s="896">
        <f>I467+J467+K467</f>
        <v>-518</v>
      </c>
      <c r="X467" s="896">
        <f>L467+M467+N467</f>
        <v>-517</v>
      </c>
      <c r="Y467" s="880">
        <f>SUM(U467:X467)</f>
        <v>-2091</v>
      </c>
      <c r="Z467" s="873"/>
    </row>
    <row r="468" spans="1:26" x14ac:dyDescent="0.2">
      <c r="A468" s="907" t="s">
        <v>1027</v>
      </c>
      <c r="B468" s="871"/>
      <c r="C468" s="880">
        <f>+C326</f>
        <v>0</v>
      </c>
      <c r="D468" s="880">
        <f t="shared" ref="D468:N468" si="208">+D326</f>
        <v>0</v>
      </c>
      <c r="E468" s="880">
        <f t="shared" si="208"/>
        <v>0</v>
      </c>
      <c r="F468" s="880">
        <f t="shared" si="208"/>
        <v>0</v>
      </c>
      <c r="G468" s="880">
        <f t="shared" si="208"/>
        <v>0</v>
      </c>
      <c r="H468" s="880">
        <f t="shared" si="208"/>
        <v>0</v>
      </c>
      <c r="I468" s="880">
        <f t="shared" si="208"/>
        <v>0</v>
      </c>
      <c r="J468" s="880">
        <f t="shared" si="208"/>
        <v>0</v>
      </c>
      <c r="K468" s="880">
        <f t="shared" si="208"/>
        <v>0</v>
      </c>
      <c r="L468" s="880">
        <f t="shared" si="208"/>
        <v>0</v>
      </c>
      <c r="M468" s="880">
        <f t="shared" si="208"/>
        <v>0</v>
      </c>
      <c r="N468" s="880">
        <f t="shared" si="208"/>
        <v>0</v>
      </c>
      <c r="O468" s="962">
        <f>SUM(C468:N468)</f>
        <v>0</v>
      </c>
      <c r="P468" s="962"/>
      <c r="Q468" s="875"/>
      <c r="R468" s="915"/>
      <c r="S468" s="875"/>
      <c r="T468" s="962"/>
      <c r="U468" s="896">
        <f>C468+D468+E468</f>
        <v>0</v>
      </c>
      <c r="V468" s="896">
        <f>F468+G468+H468</f>
        <v>0</v>
      </c>
      <c r="W468" s="896">
        <f>I468+J468+K468</f>
        <v>0</v>
      </c>
      <c r="X468" s="896">
        <f>L468+M468+N468</f>
        <v>0</v>
      </c>
      <c r="Y468" s="880">
        <f>SUM(U468:X468)</f>
        <v>0</v>
      </c>
      <c r="Z468" s="873"/>
    </row>
    <row r="469" spans="1:26" x14ac:dyDescent="0.2">
      <c r="A469" s="907" t="s">
        <v>1023</v>
      </c>
      <c r="B469" s="871"/>
      <c r="C469" s="938">
        <f>+C328</f>
        <v>0</v>
      </c>
      <c r="D469" s="938">
        <f t="shared" ref="D469:N469" si="209">+D328</f>
        <v>0</v>
      </c>
      <c r="E469" s="938">
        <f t="shared" si="209"/>
        <v>0</v>
      </c>
      <c r="F469" s="938">
        <f t="shared" si="209"/>
        <v>0</v>
      </c>
      <c r="G469" s="938">
        <f t="shared" si="209"/>
        <v>0</v>
      </c>
      <c r="H469" s="938">
        <f t="shared" si="209"/>
        <v>0</v>
      </c>
      <c r="I469" s="938">
        <f t="shared" si="209"/>
        <v>0</v>
      </c>
      <c r="J469" s="938">
        <f t="shared" si="209"/>
        <v>0</v>
      </c>
      <c r="K469" s="938">
        <f t="shared" si="209"/>
        <v>0</v>
      </c>
      <c r="L469" s="938">
        <f t="shared" si="209"/>
        <v>0</v>
      </c>
      <c r="M469" s="938">
        <f t="shared" si="209"/>
        <v>0</v>
      </c>
      <c r="N469" s="938">
        <f t="shared" si="209"/>
        <v>0</v>
      </c>
      <c r="O469" s="963">
        <f>SUM(C469:N469)</f>
        <v>0</v>
      </c>
      <c r="P469" s="963"/>
      <c r="Q469" s="875"/>
      <c r="R469" s="915"/>
      <c r="S469" s="875"/>
      <c r="T469" s="963"/>
      <c r="U469" s="939">
        <f>C469+D469+E469</f>
        <v>0</v>
      </c>
      <c r="V469" s="939">
        <f>F469+G469+H469</f>
        <v>0</v>
      </c>
      <c r="W469" s="939">
        <f>I469+J469+K469</f>
        <v>0</v>
      </c>
      <c r="X469" s="939">
        <f>L469+M469+N469</f>
        <v>0</v>
      </c>
      <c r="Y469" s="938">
        <f>SUM(U469:X469)</f>
        <v>0</v>
      </c>
      <c r="Z469" s="873"/>
    </row>
    <row r="470" spans="1:26" x14ac:dyDescent="0.2">
      <c r="A470" s="909" t="s">
        <v>1035</v>
      </c>
      <c r="B470" s="871"/>
      <c r="C470" s="958">
        <f>SUM(C466:C469)</f>
        <v>-169</v>
      </c>
      <c r="D470" s="958">
        <f t="shared" ref="D470:O470" si="210">SUM(D466:D469)</f>
        <v>-197</v>
      </c>
      <c r="E470" s="958">
        <f t="shared" si="210"/>
        <v>-173</v>
      </c>
      <c r="F470" s="958">
        <f t="shared" si="210"/>
        <v>-172</v>
      </c>
      <c r="G470" s="958">
        <f t="shared" si="210"/>
        <v>-173</v>
      </c>
      <c r="H470" s="958">
        <f t="shared" si="210"/>
        <v>-172</v>
      </c>
      <c r="I470" s="958">
        <f t="shared" si="210"/>
        <v>-173</v>
      </c>
      <c r="J470" s="958">
        <f t="shared" si="210"/>
        <v>-172</v>
      </c>
      <c r="K470" s="958">
        <f t="shared" si="210"/>
        <v>-173</v>
      </c>
      <c r="L470" s="958">
        <f t="shared" si="210"/>
        <v>-172</v>
      </c>
      <c r="M470" s="958">
        <f t="shared" si="210"/>
        <v>-173</v>
      </c>
      <c r="N470" s="958">
        <f t="shared" si="210"/>
        <v>-172</v>
      </c>
      <c r="O470" s="958">
        <f t="shared" si="210"/>
        <v>-2091</v>
      </c>
      <c r="P470" s="958"/>
      <c r="Q470" s="875"/>
      <c r="R470" s="915"/>
      <c r="S470" s="875"/>
      <c r="T470" s="958"/>
      <c r="U470" s="958">
        <f>SUM(U466:U469)</f>
        <v>-539</v>
      </c>
      <c r="V470" s="958">
        <f>SUM(V466:V469)</f>
        <v>-517</v>
      </c>
      <c r="W470" s="958">
        <f>SUM(W466:W469)</f>
        <v>-518</v>
      </c>
      <c r="X470" s="958">
        <f>SUM(X466:X469)</f>
        <v>-517</v>
      </c>
      <c r="Y470" s="958">
        <f>SUM(Y466:Y469)</f>
        <v>-2091</v>
      </c>
      <c r="Z470" s="873"/>
    </row>
    <row r="471" spans="1:26" ht="3.95" customHeight="1" x14ac:dyDescent="0.2">
      <c r="A471" s="909"/>
      <c r="B471" s="871"/>
      <c r="C471" s="958"/>
      <c r="D471" s="958"/>
      <c r="E471" s="958"/>
      <c r="F471" s="958"/>
      <c r="G471" s="958"/>
      <c r="H471" s="958"/>
      <c r="I471" s="958"/>
      <c r="J471" s="958"/>
      <c r="K471" s="958"/>
      <c r="L471" s="958"/>
      <c r="M471" s="958"/>
      <c r="N471" s="958"/>
      <c r="O471" s="958"/>
      <c r="P471" s="958"/>
      <c r="Q471" s="875"/>
      <c r="R471" s="915"/>
      <c r="S471" s="875"/>
      <c r="T471" s="958"/>
      <c r="U471" s="958"/>
      <c r="V471" s="958"/>
      <c r="W471" s="958"/>
      <c r="X471" s="958"/>
      <c r="Y471" s="958"/>
      <c r="Z471" s="873"/>
    </row>
    <row r="472" spans="1:26" x14ac:dyDescent="0.2">
      <c r="A472" s="909" t="s">
        <v>369</v>
      </c>
      <c r="B472" s="871"/>
      <c r="C472" s="958"/>
      <c r="D472" s="958"/>
      <c r="E472" s="958"/>
      <c r="F472" s="958"/>
      <c r="G472" s="958"/>
      <c r="H472" s="958"/>
      <c r="I472" s="958"/>
      <c r="J472" s="958"/>
      <c r="K472" s="958"/>
      <c r="L472" s="958"/>
      <c r="M472" s="958"/>
      <c r="N472" s="958"/>
      <c r="O472" s="958"/>
      <c r="P472" s="958"/>
      <c r="Q472" s="875"/>
      <c r="R472" s="915"/>
      <c r="S472" s="875"/>
      <c r="T472" s="958"/>
      <c r="U472" s="958"/>
      <c r="V472" s="958"/>
      <c r="W472" s="958"/>
      <c r="X472" s="958"/>
      <c r="Y472" s="958"/>
      <c r="Z472" s="873"/>
    </row>
    <row r="473" spans="1:26" x14ac:dyDescent="0.2">
      <c r="A473" s="907" t="s">
        <v>1019</v>
      </c>
      <c r="B473" s="871"/>
      <c r="C473" s="880">
        <f>+C338</f>
        <v>-121</v>
      </c>
      <c r="D473" s="880">
        <f>+D338</f>
        <v>-134</v>
      </c>
      <c r="E473" s="880">
        <f t="shared" ref="E473:N473" si="211">+E338</f>
        <v>-124</v>
      </c>
      <c r="F473" s="880">
        <f t="shared" si="211"/>
        <v>-125</v>
      </c>
      <c r="G473" s="880">
        <f t="shared" si="211"/>
        <v>-124</v>
      </c>
      <c r="H473" s="880">
        <f t="shared" si="211"/>
        <v>-125</v>
      </c>
      <c r="I473" s="880">
        <f t="shared" si="211"/>
        <v>-125</v>
      </c>
      <c r="J473" s="880">
        <f t="shared" si="211"/>
        <v>-125</v>
      </c>
      <c r="K473" s="880">
        <f t="shared" si="211"/>
        <v>-125</v>
      </c>
      <c r="L473" s="880">
        <f t="shared" si="211"/>
        <v>-124</v>
      </c>
      <c r="M473" s="880">
        <f t="shared" si="211"/>
        <v>-124</v>
      </c>
      <c r="N473" s="880">
        <f t="shared" si="211"/>
        <v>-125</v>
      </c>
      <c r="O473" s="962">
        <f>SUM(C473:N473)</f>
        <v>-1501</v>
      </c>
      <c r="P473" s="962"/>
      <c r="Q473" s="875"/>
      <c r="R473" s="915"/>
      <c r="S473" s="875"/>
      <c r="T473" s="962"/>
      <c r="U473" s="896">
        <f>C473+D473+E473</f>
        <v>-379</v>
      </c>
      <c r="V473" s="896">
        <f>F473+G473+H473</f>
        <v>-374</v>
      </c>
      <c r="W473" s="896">
        <f>I473+J473+K473</f>
        <v>-375</v>
      </c>
      <c r="X473" s="896">
        <f>L473+M473+N473</f>
        <v>-373</v>
      </c>
      <c r="Y473" s="880">
        <f>SUM(U473:X473)</f>
        <v>-1501</v>
      </c>
      <c r="Z473" s="873"/>
    </row>
    <row r="474" spans="1:26" x14ac:dyDescent="0.2">
      <c r="A474" s="907" t="s">
        <v>1027</v>
      </c>
      <c r="B474" s="871"/>
      <c r="C474" s="880">
        <f>+C340</f>
        <v>0</v>
      </c>
      <c r="D474" s="880">
        <f t="shared" ref="D474:N474" si="212">+D340</f>
        <v>0</v>
      </c>
      <c r="E474" s="880">
        <f t="shared" si="212"/>
        <v>0</v>
      </c>
      <c r="F474" s="880">
        <f t="shared" si="212"/>
        <v>0</v>
      </c>
      <c r="G474" s="880">
        <f t="shared" si="212"/>
        <v>0</v>
      </c>
      <c r="H474" s="880">
        <f t="shared" si="212"/>
        <v>0</v>
      </c>
      <c r="I474" s="880">
        <f t="shared" si="212"/>
        <v>0</v>
      </c>
      <c r="J474" s="880">
        <f t="shared" si="212"/>
        <v>0</v>
      </c>
      <c r="K474" s="880">
        <f t="shared" si="212"/>
        <v>0</v>
      </c>
      <c r="L474" s="880">
        <f t="shared" si="212"/>
        <v>0</v>
      </c>
      <c r="M474" s="880">
        <f t="shared" si="212"/>
        <v>0</v>
      </c>
      <c r="N474" s="880">
        <f t="shared" si="212"/>
        <v>0</v>
      </c>
      <c r="O474" s="962">
        <f>SUM(C474:N474)</f>
        <v>0</v>
      </c>
      <c r="P474" s="962"/>
      <c r="Q474" s="875"/>
      <c r="R474" s="915"/>
      <c r="S474" s="875"/>
      <c r="T474" s="962"/>
      <c r="U474" s="896">
        <f>C474+D474+E474</f>
        <v>0</v>
      </c>
      <c r="V474" s="896">
        <f>F474+G474+H474</f>
        <v>0</v>
      </c>
      <c r="W474" s="896">
        <f>I474+J474+K474</f>
        <v>0</v>
      </c>
      <c r="X474" s="896">
        <f>L474+M474+N474</f>
        <v>0</v>
      </c>
      <c r="Y474" s="880">
        <f>SUM(U474:X474)</f>
        <v>0</v>
      </c>
      <c r="Z474" s="873"/>
    </row>
    <row r="475" spans="1:26" x14ac:dyDescent="0.2">
      <c r="A475" s="907" t="s">
        <v>1023</v>
      </c>
      <c r="B475" s="871"/>
      <c r="C475" s="938">
        <f>+C342</f>
        <v>0</v>
      </c>
      <c r="D475" s="938">
        <f t="shared" ref="D475:N475" si="213">+D342</f>
        <v>0</v>
      </c>
      <c r="E475" s="938">
        <f t="shared" si="213"/>
        <v>0</v>
      </c>
      <c r="F475" s="938">
        <f t="shared" si="213"/>
        <v>0</v>
      </c>
      <c r="G475" s="938">
        <f t="shared" si="213"/>
        <v>0</v>
      </c>
      <c r="H475" s="938">
        <f t="shared" si="213"/>
        <v>0</v>
      </c>
      <c r="I475" s="938">
        <f t="shared" si="213"/>
        <v>0</v>
      </c>
      <c r="J475" s="938">
        <f t="shared" si="213"/>
        <v>0</v>
      </c>
      <c r="K475" s="938">
        <f t="shared" si="213"/>
        <v>0</v>
      </c>
      <c r="L475" s="938">
        <f t="shared" si="213"/>
        <v>0</v>
      </c>
      <c r="M475" s="938">
        <f t="shared" si="213"/>
        <v>0</v>
      </c>
      <c r="N475" s="938">
        <f t="shared" si="213"/>
        <v>0</v>
      </c>
      <c r="O475" s="963">
        <f>SUM(C475:N475)</f>
        <v>0</v>
      </c>
      <c r="P475" s="963"/>
      <c r="Q475" s="875"/>
      <c r="R475" s="915"/>
      <c r="S475" s="875"/>
      <c r="T475" s="963"/>
      <c r="U475" s="939">
        <f>C475+D475+E475</f>
        <v>0</v>
      </c>
      <c r="V475" s="939">
        <f>F475+G475+H475</f>
        <v>0</v>
      </c>
      <c r="W475" s="939">
        <f>I475+J475+K475</f>
        <v>0</v>
      </c>
      <c r="X475" s="939">
        <f>L475+M475+N475</f>
        <v>0</v>
      </c>
      <c r="Y475" s="938">
        <f>SUM(U475:X475)</f>
        <v>0</v>
      </c>
      <c r="Z475" s="873"/>
    </row>
    <row r="476" spans="1:26" x14ac:dyDescent="0.2">
      <c r="A476" s="909" t="s">
        <v>1036</v>
      </c>
      <c r="B476" s="871"/>
      <c r="C476" s="958">
        <f>SUM(C472:C475)</f>
        <v>-121</v>
      </c>
      <c r="D476" s="958">
        <f t="shared" ref="D476:O476" si="214">SUM(D472:D475)</f>
        <v>-134</v>
      </c>
      <c r="E476" s="958">
        <f t="shared" si="214"/>
        <v>-124</v>
      </c>
      <c r="F476" s="958">
        <f t="shared" si="214"/>
        <v>-125</v>
      </c>
      <c r="G476" s="958">
        <f t="shared" si="214"/>
        <v>-124</v>
      </c>
      <c r="H476" s="958">
        <f t="shared" si="214"/>
        <v>-125</v>
      </c>
      <c r="I476" s="958">
        <f t="shared" si="214"/>
        <v>-125</v>
      </c>
      <c r="J476" s="958">
        <f t="shared" si="214"/>
        <v>-125</v>
      </c>
      <c r="K476" s="958">
        <f t="shared" si="214"/>
        <v>-125</v>
      </c>
      <c r="L476" s="958">
        <f t="shared" si="214"/>
        <v>-124</v>
      </c>
      <c r="M476" s="958">
        <f t="shared" si="214"/>
        <v>-124</v>
      </c>
      <c r="N476" s="958">
        <f t="shared" si="214"/>
        <v>-125</v>
      </c>
      <c r="O476" s="958">
        <f t="shared" si="214"/>
        <v>-1501</v>
      </c>
      <c r="P476" s="958"/>
      <c r="Q476" s="875"/>
      <c r="R476" s="915"/>
      <c r="S476" s="875"/>
      <c r="T476" s="958"/>
      <c r="U476" s="958">
        <f>SUM(U472:U475)</f>
        <v>-379</v>
      </c>
      <c r="V476" s="958">
        <f>SUM(V472:V475)</f>
        <v>-374</v>
      </c>
      <c r="W476" s="958">
        <f>SUM(W472:W475)</f>
        <v>-375</v>
      </c>
      <c r="X476" s="958">
        <f>SUM(X472:X475)</f>
        <v>-373</v>
      </c>
      <c r="Y476" s="958">
        <f>SUM(Y472:Y475)</f>
        <v>-1501</v>
      </c>
      <c r="Z476" s="873"/>
    </row>
    <row r="477" spans="1:26" ht="3.95" customHeight="1" x14ac:dyDescent="0.2">
      <c r="A477" s="909"/>
      <c r="B477" s="871"/>
      <c r="C477" s="958"/>
      <c r="D477" s="958"/>
      <c r="E477" s="958"/>
      <c r="F477" s="958"/>
      <c r="G477" s="958"/>
      <c r="H477" s="958"/>
      <c r="I477" s="958"/>
      <c r="J477" s="958"/>
      <c r="K477" s="958"/>
      <c r="L477" s="958"/>
      <c r="M477" s="958"/>
      <c r="N477" s="958"/>
      <c r="O477" s="958"/>
      <c r="P477" s="958"/>
      <c r="Q477" s="875"/>
      <c r="R477" s="915"/>
      <c r="S477" s="875"/>
      <c r="T477" s="958"/>
      <c r="U477" s="958"/>
      <c r="V477" s="958"/>
      <c r="W477" s="958"/>
      <c r="X477" s="958"/>
      <c r="Y477" s="958"/>
      <c r="Z477" s="873"/>
    </row>
    <row r="478" spans="1:26" x14ac:dyDescent="0.2">
      <c r="A478" s="909" t="s">
        <v>1030</v>
      </c>
      <c r="B478" s="871"/>
      <c r="C478" s="958"/>
      <c r="D478" s="958"/>
      <c r="E478" s="958"/>
      <c r="F478" s="958"/>
      <c r="G478" s="958"/>
      <c r="H478" s="958"/>
      <c r="I478" s="958"/>
      <c r="J478" s="958"/>
      <c r="K478" s="958"/>
      <c r="L478" s="958"/>
      <c r="M478" s="958"/>
      <c r="N478" s="958"/>
      <c r="O478" s="958"/>
      <c r="P478" s="958"/>
      <c r="Q478" s="875"/>
      <c r="R478" s="915"/>
      <c r="S478" s="875"/>
      <c r="T478" s="958"/>
      <c r="U478" s="958"/>
      <c r="V478" s="958"/>
      <c r="W478" s="958"/>
      <c r="X478" s="958"/>
      <c r="Y478" s="958"/>
      <c r="Z478" s="873"/>
    </row>
    <row r="479" spans="1:26" x14ac:dyDescent="0.2">
      <c r="A479" s="907" t="s">
        <v>1019</v>
      </c>
      <c r="B479" s="871"/>
      <c r="C479" s="880">
        <f>+C355</f>
        <v>-56</v>
      </c>
      <c r="D479" s="880">
        <f>+D355</f>
        <v>-62</v>
      </c>
      <c r="E479" s="880">
        <f t="shared" ref="E479:N479" si="215">+E355</f>
        <v>-58</v>
      </c>
      <c r="F479" s="880">
        <f t="shared" si="215"/>
        <v>-56</v>
      </c>
      <c r="G479" s="880">
        <f t="shared" si="215"/>
        <v>-57</v>
      </c>
      <c r="H479" s="880">
        <f t="shared" si="215"/>
        <v>-58</v>
      </c>
      <c r="I479" s="880">
        <f t="shared" si="215"/>
        <v>-56</v>
      </c>
      <c r="J479" s="880">
        <f t="shared" si="215"/>
        <v>-56</v>
      </c>
      <c r="K479" s="880">
        <f t="shared" si="215"/>
        <v>-58</v>
      </c>
      <c r="L479" s="880">
        <f t="shared" si="215"/>
        <v>-57</v>
      </c>
      <c r="M479" s="880">
        <f t="shared" si="215"/>
        <v>-56</v>
      </c>
      <c r="N479" s="880">
        <f t="shared" si="215"/>
        <v>-58</v>
      </c>
      <c r="O479" s="962">
        <f>SUM(C479:N479)</f>
        <v>-688</v>
      </c>
      <c r="P479" s="962"/>
      <c r="Q479" s="875"/>
      <c r="R479" s="915"/>
      <c r="S479" s="875"/>
      <c r="T479" s="962"/>
      <c r="U479" s="896">
        <f>C479+D479+E479</f>
        <v>-176</v>
      </c>
      <c r="V479" s="896">
        <f>F479+G479+H479</f>
        <v>-171</v>
      </c>
      <c r="W479" s="896">
        <f>I479+J479+K479</f>
        <v>-170</v>
      </c>
      <c r="X479" s="896">
        <f>L479+M479+N479</f>
        <v>-171</v>
      </c>
      <c r="Y479" s="880">
        <f>SUM(U479:X479)</f>
        <v>-688</v>
      </c>
      <c r="Z479" s="873"/>
    </row>
    <row r="480" spans="1:26" x14ac:dyDescent="0.2">
      <c r="A480" s="907" t="s">
        <v>1027</v>
      </c>
      <c r="B480" s="871"/>
      <c r="C480" s="880">
        <f>+C357</f>
        <v>0</v>
      </c>
      <c r="D480" s="880">
        <f t="shared" ref="D480:N480" si="216">+D357</f>
        <v>0</v>
      </c>
      <c r="E480" s="880">
        <f t="shared" si="216"/>
        <v>0</v>
      </c>
      <c r="F480" s="880">
        <f t="shared" si="216"/>
        <v>0</v>
      </c>
      <c r="G480" s="880">
        <f t="shared" si="216"/>
        <v>0</v>
      </c>
      <c r="H480" s="880">
        <f t="shared" si="216"/>
        <v>0</v>
      </c>
      <c r="I480" s="880">
        <f t="shared" si="216"/>
        <v>0</v>
      </c>
      <c r="J480" s="880">
        <f t="shared" si="216"/>
        <v>0</v>
      </c>
      <c r="K480" s="880">
        <f t="shared" si="216"/>
        <v>0</v>
      </c>
      <c r="L480" s="880">
        <f t="shared" si="216"/>
        <v>0</v>
      </c>
      <c r="M480" s="880">
        <f t="shared" si="216"/>
        <v>0</v>
      </c>
      <c r="N480" s="880">
        <f t="shared" si="216"/>
        <v>0</v>
      </c>
      <c r="O480" s="962">
        <f>SUM(C480:N480)</f>
        <v>0</v>
      </c>
      <c r="P480" s="962"/>
      <c r="Q480" s="875"/>
      <c r="R480" s="915"/>
      <c r="S480" s="875"/>
      <c r="T480" s="962"/>
      <c r="U480" s="896">
        <f>C480+D480+E480</f>
        <v>0</v>
      </c>
      <c r="V480" s="896">
        <f>F480+G480+H480</f>
        <v>0</v>
      </c>
      <c r="W480" s="896">
        <f>I480+J480+K480</f>
        <v>0</v>
      </c>
      <c r="X480" s="896">
        <f>L480+M480+N480</f>
        <v>0</v>
      </c>
      <c r="Y480" s="880">
        <f>SUM(U480:X480)</f>
        <v>0</v>
      </c>
      <c r="Z480" s="873"/>
    </row>
    <row r="481" spans="1:26" x14ac:dyDescent="0.2">
      <c r="A481" s="907" t="s">
        <v>1023</v>
      </c>
      <c r="B481" s="871"/>
      <c r="C481" s="938">
        <f>+C359</f>
        <v>0</v>
      </c>
      <c r="D481" s="938">
        <f t="shared" ref="D481:N481" si="217">+D359</f>
        <v>0</v>
      </c>
      <c r="E481" s="938">
        <f t="shared" si="217"/>
        <v>0</v>
      </c>
      <c r="F481" s="938">
        <f t="shared" si="217"/>
        <v>0</v>
      </c>
      <c r="G481" s="938">
        <f t="shared" si="217"/>
        <v>0</v>
      </c>
      <c r="H481" s="938">
        <f t="shared" si="217"/>
        <v>0</v>
      </c>
      <c r="I481" s="938">
        <f t="shared" si="217"/>
        <v>0</v>
      </c>
      <c r="J481" s="938">
        <f t="shared" si="217"/>
        <v>0</v>
      </c>
      <c r="K481" s="938">
        <f t="shared" si="217"/>
        <v>0</v>
      </c>
      <c r="L481" s="938">
        <f t="shared" si="217"/>
        <v>0</v>
      </c>
      <c r="M481" s="938">
        <f t="shared" si="217"/>
        <v>0</v>
      </c>
      <c r="N481" s="938">
        <f t="shared" si="217"/>
        <v>0</v>
      </c>
      <c r="O481" s="963">
        <f>SUM(C481:N481)</f>
        <v>0</v>
      </c>
      <c r="P481" s="963"/>
      <c r="Q481" s="875"/>
      <c r="R481" s="915"/>
      <c r="S481" s="875"/>
      <c r="T481" s="963"/>
      <c r="U481" s="939">
        <f>C481+D481+E481</f>
        <v>0</v>
      </c>
      <c r="V481" s="939">
        <f>F481+G481+H481</f>
        <v>0</v>
      </c>
      <c r="W481" s="939">
        <f>I481+J481+K481</f>
        <v>0</v>
      </c>
      <c r="X481" s="939">
        <f>L481+M481+N481</f>
        <v>0</v>
      </c>
      <c r="Y481" s="938">
        <f>SUM(U481:X481)</f>
        <v>0</v>
      </c>
      <c r="Z481" s="873"/>
    </row>
    <row r="482" spans="1:26" x14ac:dyDescent="0.2">
      <c r="A482" s="909" t="s">
        <v>1037</v>
      </c>
      <c r="B482" s="871"/>
      <c r="C482" s="958">
        <f>SUM(C478:C481)</f>
        <v>-56</v>
      </c>
      <c r="D482" s="958">
        <f t="shared" ref="D482:O482" si="218">SUM(D478:D481)</f>
        <v>-62</v>
      </c>
      <c r="E482" s="958">
        <f t="shared" si="218"/>
        <v>-58</v>
      </c>
      <c r="F482" s="958">
        <f t="shared" si="218"/>
        <v>-56</v>
      </c>
      <c r="G482" s="958">
        <f t="shared" si="218"/>
        <v>-57</v>
      </c>
      <c r="H482" s="958">
        <f t="shared" si="218"/>
        <v>-58</v>
      </c>
      <c r="I482" s="958">
        <f t="shared" si="218"/>
        <v>-56</v>
      </c>
      <c r="J482" s="958">
        <f t="shared" si="218"/>
        <v>-56</v>
      </c>
      <c r="K482" s="958">
        <f t="shared" si="218"/>
        <v>-58</v>
      </c>
      <c r="L482" s="958">
        <f t="shared" si="218"/>
        <v>-57</v>
      </c>
      <c r="M482" s="958">
        <f t="shared" si="218"/>
        <v>-56</v>
      </c>
      <c r="N482" s="958">
        <f t="shared" si="218"/>
        <v>-58</v>
      </c>
      <c r="O482" s="958">
        <f t="shared" si="218"/>
        <v>-688</v>
      </c>
      <c r="P482" s="958"/>
      <c r="Q482" s="875"/>
      <c r="R482" s="915"/>
      <c r="S482" s="875"/>
      <c r="T482" s="958"/>
      <c r="U482" s="958">
        <f>SUM(U478:U481)</f>
        <v>-176</v>
      </c>
      <c r="V482" s="958">
        <f>SUM(V478:V481)</f>
        <v>-171</v>
      </c>
      <c r="W482" s="958">
        <f>SUM(W478:W481)</f>
        <v>-170</v>
      </c>
      <c r="X482" s="958">
        <f>SUM(X478:X481)</f>
        <v>-171</v>
      </c>
      <c r="Y482" s="958">
        <f>SUM(Y478:Y481)</f>
        <v>-688</v>
      </c>
      <c r="Z482" s="873"/>
    </row>
    <row r="483" spans="1:26" ht="3.95" customHeight="1" x14ac:dyDescent="0.2">
      <c r="A483" s="909"/>
      <c r="B483" s="871"/>
      <c r="C483" s="958"/>
      <c r="D483" s="958"/>
      <c r="E483" s="958"/>
      <c r="F483" s="958"/>
      <c r="G483" s="958"/>
      <c r="H483" s="958"/>
      <c r="I483" s="958"/>
      <c r="J483" s="958"/>
      <c r="K483" s="958"/>
      <c r="L483" s="958"/>
      <c r="M483" s="958"/>
      <c r="N483" s="958"/>
      <c r="O483" s="958"/>
      <c r="P483" s="958"/>
      <c r="Q483" s="875"/>
      <c r="R483" s="915"/>
      <c r="S483" s="875"/>
      <c r="T483" s="958"/>
      <c r="U483" s="958"/>
      <c r="V483" s="958"/>
      <c r="W483" s="958"/>
      <c r="X483" s="958"/>
      <c r="Y483" s="958"/>
      <c r="Z483" s="873"/>
    </row>
    <row r="484" spans="1:26" x14ac:dyDescent="0.2">
      <c r="A484" s="909" t="s">
        <v>1038</v>
      </c>
      <c r="B484" s="871"/>
      <c r="C484" s="929">
        <f t="shared" ref="C484:O484" si="219">+C431+C438+C445+C457+C464+C470+C476+C482</f>
        <v>32238</v>
      </c>
      <c r="D484" s="930">
        <f t="shared" si="219"/>
        <v>31056</v>
      </c>
      <c r="E484" s="930">
        <f t="shared" si="219"/>
        <v>35360</v>
      </c>
      <c r="F484" s="930">
        <f t="shared" si="219"/>
        <v>30</v>
      </c>
      <c r="G484" s="930">
        <f t="shared" si="219"/>
        <v>-112</v>
      </c>
      <c r="H484" s="930">
        <f t="shared" si="219"/>
        <v>13993</v>
      </c>
      <c r="I484" s="930">
        <f t="shared" si="219"/>
        <v>435</v>
      </c>
      <c r="J484" s="930">
        <f t="shared" si="219"/>
        <v>1499</v>
      </c>
      <c r="K484" s="930">
        <f t="shared" si="219"/>
        <v>1464</v>
      </c>
      <c r="L484" s="930">
        <f t="shared" si="219"/>
        <v>187</v>
      </c>
      <c r="M484" s="930">
        <f t="shared" si="219"/>
        <v>30067</v>
      </c>
      <c r="N484" s="930">
        <f t="shared" si="219"/>
        <v>36630</v>
      </c>
      <c r="O484" s="931">
        <f t="shared" si="219"/>
        <v>182847</v>
      </c>
      <c r="P484" s="898"/>
      <c r="Q484" s="875"/>
      <c r="R484" s="915"/>
      <c r="S484" s="875"/>
      <c r="T484" s="898"/>
      <c r="U484" s="929">
        <f>+U431+U438+U445+U457+U464+U470+U476+U482</f>
        <v>98654</v>
      </c>
      <c r="V484" s="930">
        <f>+V431+V438+V445+V457+V464+V470+V476+V482</f>
        <v>13911</v>
      </c>
      <c r="W484" s="930">
        <f>+W431+W438+W445+W457+W464+W470+W476+W482</f>
        <v>3398</v>
      </c>
      <c r="X484" s="930">
        <f>+X431+X438+X445+X457+X464+X470+X476+X482</f>
        <v>66884</v>
      </c>
      <c r="Y484" s="931">
        <f>+Y431+Y438+Y445+Y457+Y464+Y470+Y476+Y482</f>
        <v>182847</v>
      </c>
      <c r="Z484" s="873"/>
    </row>
    <row r="485" spans="1:26" ht="3.95" customHeight="1" x14ac:dyDescent="0.2">
      <c r="A485" s="909"/>
      <c r="B485" s="871"/>
      <c r="C485" s="958"/>
      <c r="D485" s="958"/>
      <c r="E485" s="958"/>
      <c r="F485" s="958"/>
      <c r="G485" s="958"/>
      <c r="H485" s="958"/>
      <c r="I485" s="958"/>
      <c r="J485" s="958"/>
      <c r="K485" s="958"/>
      <c r="L485" s="958"/>
      <c r="M485" s="958"/>
      <c r="N485" s="958"/>
      <c r="O485" s="958"/>
      <c r="P485" s="958"/>
      <c r="Q485" s="875"/>
      <c r="R485" s="915"/>
      <c r="S485" s="875"/>
      <c r="T485" s="958"/>
      <c r="U485" s="958"/>
      <c r="V485" s="958"/>
      <c r="W485" s="958"/>
      <c r="X485" s="958"/>
      <c r="Y485" s="958"/>
      <c r="Z485" s="873"/>
    </row>
    <row r="486" spans="1:26" x14ac:dyDescent="0.2">
      <c r="A486" s="912" t="s">
        <v>1039</v>
      </c>
      <c r="B486" s="871"/>
      <c r="C486" s="958"/>
      <c r="D486" s="958"/>
      <c r="E486" s="958"/>
      <c r="F486" s="958"/>
      <c r="G486" s="958"/>
      <c r="H486" s="958"/>
      <c r="I486" s="958"/>
      <c r="J486" s="958"/>
      <c r="K486" s="958"/>
      <c r="L486" s="958"/>
      <c r="M486" s="958"/>
      <c r="N486" s="958"/>
      <c r="O486" s="958"/>
      <c r="P486" s="958"/>
      <c r="Q486" s="875"/>
      <c r="R486" s="915"/>
      <c r="S486" s="875"/>
      <c r="T486" s="958"/>
      <c r="U486" s="958"/>
      <c r="V486" s="958"/>
      <c r="W486" s="958"/>
      <c r="X486" s="958"/>
      <c r="Y486" s="958"/>
      <c r="Z486" s="873"/>
    </row>
    <row r="487" spans="1:26" x14ac:dyDescent="0.2">
      <c r="A487" s="970" t="s">
        <v>1040</v>
      </c>
      <c r="B487" s="871"/>
      <c r="C487" s="964">
        <f t="shared" ref="C487:N487" si="220">+C74+C212</f>
        <v>289</v>
      </c>
      <c r="D487" s="964">
        <f t="shared" si="220"/>
        <v>287</v>
      </c>
      <c r="E487" s="964">
        <f t="shared" si="220"/>
        <v>289</v>
      </c>
      <c r="F487" s="964">
        <f t="shared" si="220"/>
        <v>287</v>
      </c>
      <c r="G487" s="964">
        <f t="shared" si="220"/>
        <v>285</v>
      </c>
      <c r="H487" s="964">
        <f t="shared" si="220"/>
        <v>846</v>
      </c>
      <c r="I487" s="964">
        <f t="shared" si="220"/>
        <v>847</v>
      </c>
      <c r="J487" s="964">
        <f t="shared" si="220"/>
        <v>711</v>
      </c>
      <c r="K487" s="964">
        <f t="shared" si="220"/>
        <v>710</v>
      </c>
      <c r="L487" s="964">
        <f t="shared" si="220"/>
        <v>681</v>
      </c>
      <c r="M487" s="964">
        <f t="shared" si="220"/>
        <v>703</v>
      </c>
      <c r="N487" s="964">
        <f t="shared" si="220"/>
        <v>704</v>
      </c>
      <c r="O487" s="962">
        <f>SUM(C487:N487)</f>
        <v>6639</v>
      </c>
      <c r="P487" s="962"/>
      <c r="Q487" s="875"/>
      <c r="R487" s="915"/>
      <c r="S487" s="875"/>
      <c r="T487" s="962"/>
      <c r="U487" s="896">
        <f>C487+D487+E487</f>
        <v>865</v>
      </c>
      <c r="V487" s="896">
        <f>F487+G487+H487</f>
        <v>1418</v>
      </c>
      <c r="W487" s="896">
        <f>I487+J487+K487</f>
        <v>2268</v>
      </c>
      <c r="X487" s="896">
        <f>L487+M487+N487</f>
        <v>2088</v>
      </c>
      <c r="Y487" s="880">
        <f>SUM(U487:X487)</f>
        <v>6639</v>
      </c>
      <c r="Z487" s="873"/>
    </row>
    <row r="488" spans="1:26" x14ac:dyDescent="0.2">
      <c r="A488" s="970" t="s">
        <v>1041</v>
      </c>
      <c r="B488" s="871"/>
      <c r="C488" s="964">
        <f>+C121+C249</f>
        <v>-28</v>
      </c>
      <c r="D488" s="964">
        <f t="shared" ref="D488:N488" si="221">+D121+D249</f>
        <v>-28</v>
      </c>
      <c r="E488" s="964">
        <f t="shared" si="221"/>
        <v>-28</v>
      </c>
      <c r="F488" s="964">
        <f t="shared" si="221"/>
        <v>-28</v>
      </c>
      <c r="G488" s="964">
        <f t="shared" si="221"/>
        <v>-28</v>
      </c>
      <c r="H488" s="964">
        <f t="shared" si="221"/>
        <v>-28</v>
      </c>
      <c r="I488" s="964">
        <f t="shared" si="221"/>
        <v>-28</v>
      </c>
      <c r="J488" s="964">
        <f t="shared" si="221"/>
        <v>-28</v>
      </c>
      <c r="K488" s="964">
        <f t="shared" si="221"/>
        <v>-28</v>
      </c>
      <c r="L488" s="964">
        <f t="shared" si="221"/>
        <v>-28</v>
      </c>
      <c r="M488" s="964">
        <f t="shared" si="221"/>
        <v>-28</v>
      </c>
      <c r="N488" s="964">
        <f t="shared" si="221"/>
        <v>-28</v>
      </c>
      <c r="O488" s="962">
        <f>SUM(C488:N488)</f>
        <v>-336</v>
      </c>
      <c r="P488" s="962"/>
      <c r="Q488" s="875"/>
      <c r="R488" s="915"/>
      <c r="S488" s="875"/>
      <c r="T488" s="962"/>
      <c r="U488" s="896">
        <f>C488+D488+E488</f>
        <v>-84</v>
      </c>
      <c r="V488" s="896">
        <f>F488+G488+H488</f>
        <v>-84</v>
      </c>
      <c r="W488" s="896">
        <f>I488+J488+K488</f>
        <v>-84</v>
      </c>
      <c r="X488" s="896">
        <f>L488+M488+N488</f>
        <v>-84</v>
      </c>
      <c r="Y488" s="880">
        <f>SUM(U488:X488)</f>
        <v>-336</v>
      </c>
      <c r="Z488" s="873"/>
    </row>
    <row r="489" spans="1:26" x14ac:dyDescent="0.2">
      <c r="A489" s="970" t="s">
        <v>1025</v>
      </c>
      <c r="B489" s="871"/>
      <c r="C489" s="965">
        <f>+C149</f>
        <v>0</v>
      </c>
      <c r="D489" s="965">
        <f t="shared" ref="D489:N489" si="222">+D149</f>
        <v>0</v>
      </c>
      <c r="E489" s="965">
        <f t="shared" si="222"/>
        <v>0</v>
      </c>
      <c r="F489" s="965">
        <f t="shared" si="222"/>
        <v>0</v>
      </c>
      <c r="G489" s="965">
        <f t="shared" si="222"/>
        <v>0</v>
      </c>
      <c r="H489" s="965">
        <f t="shared" si="222"/>
        <v>0</v>
      </c>
      <c r="I489" s="965">
        <f t="shared" si="222"/>
        <v>0</v>
      </c>
      <c r="J489" s="965">
        <f t="shared" si="222"/>
        <v>0</v>
      </c>
      <c r="K489" s="965">
        <f t="shared" si="222"/>
        <v>0</v>
      </c>
      <c r="L489" s="965">
        <f t="shared" si="222"/>
        <v>0</v>
      </c>
      <c r="M489" s="965">
        <f t="shared" si="222"/>
        <v>0</v>
      </c>
      <c r="N489" s="965">
        <f t="shared" si="222"/>
        <v>0</v>
      </c>
      <c r="O489" s="963">
        <f>SUM(C489:N489)</f>
        <v>0</v>
      </c>
      <c r="P489" s="963"/>
      <c r="Q489" s="875"/>
      <c r="R489" s="915"/>
      <c r="S489" s="875"/>
      <c r="T489" s="963"/>
      <c r="U489" s="939">
        <f>C489+D489+E489</f>
        <v>0</v>
      </c>
      <c r="V489" s="939">
        <f>F489+G489+H489</f>
        <v>0</v>
      </c>
      <c r="W489" s="939">
        <f>I489+J489+K489</f>
        <v>0</v>
      </c>
      <c r="X489" s="939">
        <f>L489+M489+N489</f>
        <v>0</v>
      </c>
      <c r="Y489" s="938">
        <f>SUM(U489:X489)</f>
        <v>0</v>
      </c>
      <c r="Z489" s="873"/>
    </row>
    <row r="490" spans="1:26" ht="3.95" customHeight="1" x14ac:dyDescent="0.2">
      <c r="A490" s="970"/>
      <c r="B490" s="871"/>
      <c r="C490" s="965"/>
      <c r="D490" s="965"/>
      <c r="E490" s="965"/>
      <c r="F490" s="965"/>
      <c r="G490" s="965"/>
      <c r="H490" s="965"/>
      <c r="I490" s="965"/>
      <c r="J490" s="965"/>
      <c r="K490" s="965"/>
      <c r="L490" s="965"/>
      <c r="M490" s="965"/>
      <c r="N490" s="965"/>
      <c r="O490" s="963"/>
      <c r="P490" s="963"/>
      <c r="Q490" s="875"/>
      <c r="R490" s="915"/>
      <c r="S490" s="875"/>
      <c r="T490" s="963"/>
      <c r="U490" s="939"/>
      <c r="V490" s="939"/>
      <c r="W490" s="939"/>
      <c r="X490" s="939"/>
      <c r="Y490" s="938"/>
      <c r="Z490" s="873"/>
    </row>
    <row r="491" spans="1:26" x14ac:dyDescent="0.2">
      <c r="A491" s="909" t="s">
        <v>1042</v>
      </c>
      <c r="B491" s="871"/>
      <c r="C491" s="929">
        <f>SUM(C486:C489)</f>
        <v>261</v>
      </c>
      <c r="D491" s="930">
        <f t="shared" ref="D491:O491" si="223">SUM(D486:D489)</f>
        <v>259</v>
      </c>
      <c r="E491" s="930">
        <f t="shared" si="223"/>
        <v>261</v>
      </c>
      <c r="F491" s="930">
        <f t="shared" si="223"/>
        <v>259</v>
      </c>
      <c r="G491" s="930">
        <f t="shared" si="223"/>
        <v>257</v>
      </c>
      <c r="H491" s="930">
        <f t="shared" si="223"/>
        <v>818</v>
      </c>
      <c r="I491" s="930">
        <f t="shared" si="223"/>
        <v>819</v>
      </c>
      <c r="J491" s="930">
        <f t="shared" si="223"/>
        <v>683</v>
      </c>
      <c r="K491" s="930">
        <f t="shared" si="223"/>
        <v>682</v>
      </c>
      <c r="L491" s="930">
        <f t="shared" si="223"/>
        <v>653</v>
      </c>
      <c r="M491" s="930">
        <f t="shared" si="223"/>
        <v>675</v>
      </c>
      <c r="N491" s="930">
        <f t="shared" si="223"/>
        <v>676</v>
      </c>
      <c r="O491" s="931">
        <f t="shared" si="223"/>
        <v>6303</v>
      </c>
      <c r="P491" s="898"/>
      <c r="Q491" s="875"/>
      <c r="R491" s="915"/>
      <c r="S491" s="875"/>
      <c r="T491" s="898"/>
      <c r="U491" s="929">
        <f>SUM(U486:U489)</f>
        <v>781</v>
      </c>
      <c r="V491" s="930">
        <f>SUM(V486:V489)</f>
        <v>1334</v>
      </c>
      <c r="W491" s="930">
        <f>SUM(W486:W489)</f>
        <v>2184</v>
      </c>
      <c r="X491" s="930">
        <f>SUM(X486:X489)</f>
        <v>2004</v>
      </c>
      <c r="Y491" s="931">
        <f>SUM(Y486:Y489)</f>
        <v>6303</v>
      </c>
      <c r="Z491" s="873"/>
    </row>
    <row r="492" spans="1:26" ht="3.95" customHeight="1" x14ac:dyDescent="0.2">
      <c r="A492" s="911"/>
      <c r="B492" s="871"/>
      <c r="C492" s="880"/>
      <c r="D492" s="880"/>
      <c r="E492" s="880"/>
      <c r="F492" s="880"/>
      <c r="G492" s="880"/>
      <c r="H492" s="880"/>
      <c r="I492" s="880"/>
      <c r="J492" s="880"/>
      <c r="K492" s="880"/>
      <c r="L492" s="880"/>
      <c r="M492" s="880"/>
      <c r="N492" s="880"/>
      <c r="O492" s="896"/>
      <c r="P492" s="896"/>
      <c r="Q492" s="875"/>
      <c r="R492" s="915"/>
      <c r="S492" s="875"/>
      <c r="T492" s="896"/>
      <c r="U492" s="896"/>
      <c r="V492" s="896"/>
      <c r="W492" s="896"/>
      <c r="X492" s="896"/>
      <c r="Y492" s="880"/>
      <c r="Z492" s="873"/>
    </row>
    <row r="493" spans="1:26" x14ac:dyDescent="0.2">
      <c r="A493" s="909" t="s">
        <v>1151</v>
      </c>
      <c r="B493" s="871"/>
      <c r="C493" s="966">
        <f t="shared" ref="C493:O493" si="224">+C484+C491</f>
        <v>32499</v>
      </c>
      <c r="D493" s="966">
        <f t="shared" si="224"/>
        <v>31315</v>
      </c>
      <c r="E493" s="966">
        <f t="shared" si="224"/>
        <v>35621</v>
      </c>
      <c r="F493" s="966">
        <f t="shared" si="224"/>
        <v>289</v>
      </c>
      <c r="G493" s="966">
        <f t="shared" si="224"/>
        <v>145</v>
      </c>
      <c r="H493" s="966">
        <f t="shared" si="224"/>
        <v>14811</v>
      </c>
      <c r="I493" s="966">
        <f t="shared" si="224"/>
        <v>1254</v>
      </c>
      <c r="J493" s="966">
        <f t="shared" si="224"/>
        <v>2182</v>
      </c>
      <c r="K493" s="966">
        <f t="shared" si="224"/>
        <v>2146</v>
      </c>
      <c r="L493" s="966">
        <f t="shared" si="224"/>
        <v>840</v>
      </c>
      <c r="M493" s="966">
        <f t="shared" si="224"/>
        <v>30742</v>
      </c>
      <c r="N493" s="966">
        <f t="shared" si="224"/>
        <v>37306</v>
      </c>
      <c r="O493" s="966">
        <f t="shared" si="224"/>
        <v>189150</v>
      </c>
      <c r="P493" s="966"/>
      <c r="Q493" s="875"/>
      <c r="R493" s="915"/>
      <c r="S493" s="875"/>
      <c r="T493" s="966"/>
      <c r="U493" s="966">
        <f>+U484+U491</f>
        <v>99435</v>
      </c>
      <c r="V493" s="966">
        <f>+V484+V491</f>
        <v>15245</v>
      </c>
      <c r="W493" s="966">
        <f>+W484+W491</f>
        <v>5582</v>
      </c>
      <c r="X493" s="966">
        <f>+X484+X491</f>
        <v>68888</v>
      </c>
      <c r="Y493" s="966">
        <f>+Y484+Y491</f>
        <v>189150</v>
      </c>
      <c r="Z493" s="873"/>
    </row>
    <row r="494" spans="1:26" ht="3.95" customHeight="1" x14ac:dyDescent="0.2">
      <c r="A494" s="909"/>
      <c r="B494" s="871"/>
      <c r="C494" s="966"/>
      <c r="D494" s="966"/>
      <c r="E494" s="966"/>
      <c r="F494" s="966"/>
      <c r="G494" s="966"/>
      <c r="H494" s="966"/>
      <c r="I494" s="966"/>
      <c r="J494" s="966"/>
      <c r="K494" s="966"/>
      <c r="L494" s="966"/>
      <c r="M494" s="966"/>
      <c r="N494" s="966"/>
      <c r="O494" s="966"/>
      <c r="P494" s="966"/>
      <c r="Q494" s="875"/>
      <c r="R494" s="915"/>
      <c r="S494" s="875"/>
      <c r="T494" s="966"/>
      <c r="U494" s="966"/>
      <c r="V494" s="966"/>
      <c r="W494" s="966"/>
      <c r="X494" s="966"/>
      <c r="Y494" s="966"/>
      <c r="Z494" s="873"/>
    </row>
    <row r="495" spans="1:26" x14ac:dyDescent="0.2">
      <c r="A495" s="907" t="s">
        <v>1153</v>
      </c>
      <c r="B495" s="871"/>
      <c r="C495" s="880">
        <f t="shared" ref="C495:O495" si="225">+C421+C434+C441+C448+C461+C467+C473+C479</f>
        <v>-13530</v>
      </c>
      <c r="D495" s="880">
        <f t="shared" si="225"/>
        <v>-13563</v>
      </c>
      <c r="E495" s="880">
        <f t="shared" si="225"/>
        <v>-13451</v>
      </c>
      <c r="F495" s="880">
        <f t="shared" si="225"/>
        <v>-13926</v>
      </c>
      <c r="G495" s="880">
        <f t="shared" si="225"/>
        <v>-13494</v>
      </c>
      <c r="H495" s="880">
        <f t="shared" si="225"/>
        <v>-13717</v>
      </c>
      <c r="I495" s="880">
        <f t="shared" si="225"/>
        <v>-16156</v>
      </c>
      <c r="J495" s="880">
        <f t="shared" si="225"/>
        <v>-14756</v>
      </c>
      <c r="K495" s="880">
        <f t="shared" si="225"/>
        <v>-15077</v>
      </c>
      <c r="L495" s="880">
        <f t="shared" si="225"/>
        <v>-15610</v>
      </c>
      <c r="M495" s="880">
        <f t="shared" si="225"/>
        <v>-14291</v>
      </c>
      <c r="N495" s="880">
        <f t="shared" si="225"/>
        <v>-14679</v>
      </c>
      <c r="O495" s="880">
        <f t="shared" si="225"/>
        <v>-172250</v>
      </c>
      <c r="P495" s="966"/>
      <c r="Q495" s="875"/>
      <c r="R495" s="915"/>
      <c r="S495" s="875"/>
      <c r="T495" s="966"/>
      <c r="U495" s="880">
        <f>+U421+U434+U441+U448+U461+U467+U473+U479</f>
        <v>-40544</v>
      </c>
      <c r="V495" s="880">
        <f>+V421+V434+V441+V448+V461+V467+V473+V479</f>
        <v>-41137</v>
      </c>
      <c r="W495" s="880">
        <f>+W421+W434+W441+W448+W461+W467+W473+W479</f>
        <v>-45989</v>
      </c>
      <c r="X495" s="880">
        <f>+X421+X434+X441+X448+X461+X467+X473+X479</f>
        <v>-44580</v>
      </c>
      <c r="Y495" s="880">
        <f>+Y421+Y434+Y441+Y448+Y461+Y467+Y473+Y479</f>
        <v>-172250</v>
      </c>
      <c r="Z495" s="873"/>
    </row>
    <row r="496" spans="1:26" x14ac:dyDescent="0.2">
      <c r="A496" s="907" t="s">
        <v>1152</v>
      </c>
      <c r="B496" s="871"/>
      <c r="C496" s="880">
        <f t="shared" ref="C496:O496" si="226">+C425+C435+C442+C450+C462+C468+C474+C480+C489</f>
        <v>-4028</v>
      </c>
      <c r="D496" s="880">
        <f t="shared" si="226"/>
        <v>-4028</v>
      </c>
      <c r="E496" s="880">
        <f t="shared" si="226"/>
        <v>-4034</v>
      </c>
      <c r="F496" s="880">
        <f t="shared" si="226"/>
        <v>-4081</v>
      </c>
      <c r="G496" s="880">
        <f t="shared" si="226"/>
        <v>-4081</v>
      </c>
      <c r="H496" s="880">
        <f t="shared" si="226"/>
        <v>-4084</v>
      </c>
      <c r="I496" s="880">
        <f t="shared" si="226"/>
        <v>-4086</v>
      </c>
      <c r="J496" s="880">
        <f t="shared" si="226"/>
        <v>-4105</v>
      </c>
      <c r="K496" s="880">
        <f t="shared" si="226"/>
        <v>-4117</v>
      </c>
      <c r="L496" s="880">
        <f t="shared" si="226"/>
        <v>-4212</v>
      </c>
      <c r="M496" s="880">
        <f t="shared" si="226"/>
        <v>-4212</v>
      </c>
      <c r="N496" s="880">
        <f t="shared" si="226"/>
        <v>-4211</v>
      </c>
      <c r="O496" s="880">
        <f t="shared" si="226"/>
        <v>-49279</v>
      </c>
      <c r="P496" s="966"/>
      <c r="Q496" s="875"/>
      <c r="R496" s="915"/>
      <c r="S496" s="875"/>
      <c r="T496" s="966"/>
      <c r="U496" s="880">
        <f>+U425+U435+U442+U450+U462+U468+U474+U480+U489</f>
        <v>-12090</v>
      </c>
      <c r="V496" s="880">
        <f>+V425+V435+V442+V450+V462+V468+V474+V480+V489</f>
        <v>-12246</v>
      </c>
      <c r="W496" s="880">
        <f>+W425+W435+W442+W450+W462+W468+W474+W480+W489</f>
        <v>-12308</v>
      </c>
      <c r="X496" s="880">
        <f>+X425+X435+X442+X450+X462+X468+X474+X480+X489</f>
        <v>-12635</v>
      </c>
      <c r="Y496" s="880">
        <f>+Y425+Y435+Y442+Y450+Y462+Y468+Y474+Y480+Y489</f>
        <v>-49279</v>
      </c>
      <c r="Z496" s="873"/>
    </row>
    <row r="497" spans="1:26" ht="3.95" customHeight="1" x14ac:dyDescent="0.2">
      <c r="A497" s="911"/>
      <c r="B497" s="871"/>
      <c r="C497" s="880"/>
      <c r="D497" s="880"/>
      <c r="E497" s="880"/>
      <c r="F497" s="880"/>
      <c r="G497" s="880"/>
      <c r="H497" s="880"/>
      <c r="I497" s="880"/>
      <c r="J497" s="880"/>
      <c r="K497" s="880"/>
      <c r="L497" s="880"/>
      <c r="M497" s="880"/>
      <c r="N497" s="880"/>
      <c r="O497" s="896"/>
      <c r="P497" s="896"/>
      <c r="Q497" s="875"/>
      <c r="R497" s="915"/>
      <c r="S497" s="875"/>
      <c r="T497" s="896"/>
      <c r="U497" s="896"/>
      <c r="V497" s="896"/>
      <c r="W497" s="896"/>
      <c r="X497" s="896"/>
      <c r="Y497" s="880"/>
      <c r="Z497" s="873"/>
    </row>
    <row r="498" spans="1:26" x14ac:dyDescent="0.2">
      <c r="A498" s="907" t="s">
        <v>1043</v>
      </c>
      <c r="C498" s="880">
        <f t="shared" ref="C498:O498" si="227">+C374-C493</f>
        <v>0</v>
      </c>
      <c r="D498" s="880">
        <f t="shared" si="227"/>
        <v>0</v>
      </c>
      <c r="E498" s="880">
        <f t="shared" si="227"/>
        <v>0</v>
      </c>
      <c r="F498" s="880">
        <f t="shared" si="227"/>
        <v>0</v>
      </c>
      <c r="G498" s="880">
        <f t="shared" si="227"/>
        <v>0</v>
      </c>
      <c r="H498" s="880">
        <f t="shared" si="227"/>
        <v>0</v>
      </c>
      <c r="I498" s="880">
        <f t="shared" si="227"/>
        <v>0</v>
      </c>
      <c r="J498" s="880">
        <f t="shared" si="227"/>
        <v>0</v>
      </c>
      <c r="K498" s="880">
        <f t="shared" si="227"/>
        <v>0</v>
      </c>
      <c r="L498" s="880">
        <f t="shared" si="227"/>
        <v>0</v>
      </c>
      <c r="M498" s="880">
        <f t="shared" si="227"/>
        <v>0</v>
      </c>
      <c r="N498" s="880">
        <f t="shared" si="227"/>
        <v>0</v>
      </c>
      <c r="O498" s="880">
        <f t="shared" si="227"/>
        <v>0</v>
      </c>
      <c r="P498" s="880"/>
      <c r="Q498" s="875"/>
      <c r="R498" s="915"/>
      <c r="S498" s="875"/>
      <c r="T498" s="880"/>
      <c r="U498" s="880">
        <f>+U374-U493</f>
        <v>0</v>
      </c>
      <c r="V498" s="880">
        <f>+V374-V493</f>
        <v>0</v>
      </c>
      <c r="W498" s="880">
        <f>+W374-W493</f>
        <v>0</v>
      </c>
      <c r="X498" s="880">
        <f>+X374-X493</f>
        <v>0</v>
      </c>
      <c r="Y498" s="880">
        <f>+Y374-Y493</f>
        <v>0</v>
      </c>
      <c r="Z498" s="873"/>
    </row>
    <row r="499" spans="1:26" x14ac:dyDescent="0.2">
      <c r="Q499" s="875"/>
      <c r="S499" s="875"/>
      <c r="U499" s="869"/>
      <c r="V499" s="869"/>
    </row>
    <row r="500" spans="1:26" x14ac:dyDescent="0.2">
      <c r="A500" s="912" t="s">
        <v>1014</v>
      </c>
      <c r="C500" s="893"/>
      <c r="D500" s="893"/>
      <c r="E500" s="893"/>
      <c r="F500" s="893"/>
      <c r="G500" s="893"/>
      <c r="H500" s="893"/>
      <c r="I500" s="893"/>
      <c r="J500" s="893"/>
      <c r="K500" s="893"/>
      <c r="L500" s="893"/>
      <c r="M500" s="893"/>
      <c r="N500" s="893"/>
      <c r="O500" s="893"/>
      <c r="P500" s="893"/>
      <c r="Q500" s="875"/>
      <c r="R500" s="917"/>
      <c r="S500" s="875"/>
      <c r="T500" s="893"/>
      <c r="U500" s="893"/>
      <c r="V500" s="893"/>
      <c r="W500" s="893"/>
      <c r="X500" s="893"/>
      <c r="Y500" s="893"/>
    </row>
    <row r="501" spans="1:26" x14ac:dyDescent="0.2">
      <c r="A501" s="909" t="s">
        <v>15</v>
      </c>
      <c r="C501" s="893"/>
      <c r="D501" s="893"/>
      <c r="E501" s="893"/>
      <c r="F501" s="893"/>
      <c r="G501" s="893"/>
      <c r="H501" s="893"/>
      <c r="I501" s="893"/>
      <c r="J501" s="893"/>
      <c r="K501" s="893"/>
      <c r="L501" s="893"/>
      <c r="M501" s="893"/>
      <c r="N501" s="893"/>
      <c r="O501" s="893"/>
      <c r="P501" s="893"/>
      <c r="Q501" s="875"/>
      <c r="R501" s="917"/>
      <c r="S501" s="875"/>
      <c r="T501" s="893"/>
      <c r="U501" s="893"/>
      <c r="V501" s="893"/>
      <c r="W501" s="893"/>
      <c r="X501" s="893"/>
      <c r="Y501" s="893"/>
    </row>
    <row r="502" spans="1:26" x14ac:dyDescent="0.2">
      <c r="A502" s="909" t="s">
        <v>1015</v>
      </c>
      <c r="B502" s="871"/>
      <c r="C502" s="896"/>
      <c r="D502" s="896"/>
      <c r="E502" s="896"/>
      <c r="F502" s="896"/>
      <c r="G502" s="896"/>
      <c r="H502" s="896"/>
      <c r="I502" s="896"/>
      <c r="J502" s="896"/>
      <c r="K502" s="896"/>
      <c r="L502" s="896"/>
      <c r="M502" s="896"/>
      <c r="N502" s="896"/>
      <c r="O502" s="896"/>
      <c r="P502" s="896"/>
      <c r="Q502" s="875"/>
      <c r="R502" s="960"/>
      <c r="S502" s="875"/>
      <c r="T502" s="896"/>
      <c r="U502" s="874"/>
      <c r="V502" s="874"/>
      <c r="W502" s="874"/>
      <c r="X502" s="874"/>
      <c r="Y502" s="880"/>
    </row>
    <row r="503" spans="1:26" x14ac:dyDescent="0.2">
      <c r="A503" s="907" t="s">
        <v>16</v>
      </c>
      <c r="B503" s="871"/>
      <c r="C503" s="880"/>
      <c r="D503" s="880"/>
      <c r="E503" s="880"/>
      <c r="F503" s="880"/>
      <c r="G503" s="880"/>
      <c r="H503" s="880"/>
      <c r="I503" s="880"/>
      <c r="J503" s="880"/>
      <c r="K503" s="880"/>
      <c r="L503" s="880"/>
      <c r="M503" s="880"/>
      <c r="N503" s="880"/>
      <c r="O503" s="143"/>
      <c r="P503" s="143"/>
      <c r="Q503" s="875"/>
      <c r="R503" s="915"/>
      <c r="S503" s="875"/>
      <c r="T503" s="143"/>
      <c r="U503" s="896"/>
      <c r="V503" s="896"/>
      <c r="W503" s="896"/>
      <c r="X503" s="896"/>
      <c r="Y503" s="873"/>
    </row>
    <row r="504" spans="1:26" x14ac:dyDescent="0.2">
      <c r="A504" s="907" t="s">
        <v>22</v>
      </c>
      <c r="B504" s="871"/>
      <c r="C504" s="128">
        <v>0</v>
      </c>
      <c r="D504" s="128">
        <v>0</v>
      </c>
      <c r="E504" s="128">
        <v>0</v>
      </c>
      <c r="F504" s="128">
        <v>0</v>
      </c>
      <c r="G504" s="128">
        <v>0</v>
      </c>
      <c r="H504" s="128">
        <v>0</v>
      </c>
      <c r="I504" s="128">
        <v>0</v>
      </c>
      <c r="J504" s="128">
        <v>0</v>
      </c>
      <c r="K504" s="128">
        <v>0</v>
      </c>
      <c r="L504" s="128">
        <v>0</v>
      </c>
      <c r="M504" s="128">
        <v>0</v>
      </c>
      <c r="N504" s="128">
        <v>0</v>
      </c>
      <c r="O504" s="143">
        <f>SUM(C504:N504)</f>
        <v>0</v>
      </c>
      <c r="P504" s="143"/>
      <c r="Q504" s="875"/>
      <c r="R504" s="915"/>
      <c r="S504" s="875"/>
      <c r="T504" s="143"/>
      <c r="U504" s="896">
        <f t="shared" ref="U504:U512" si="228">C504+D504+E504</f>
        <v>0</v>
      </c>
      <c r="V504" s="896">
        <f t="shared" ref="V504:V512" si="229">F504+G504+H504</f>
        <v>0</v>
      </c>
      <c r="W504" s="896">
        <f t="shared" ref="W504:W512" si="230">I504+J504+K504</f>
        <v>0</v>
      </c>
      <c r="X504" s="896">
        <f t="shared" ref="X504:X512" si="231">L504+M504+N504</f>
        <v>0</v>
      </c>
      <c r="Y504" s="880">
        <f t="shared" ref="Y504:Y512" si="232">SUM(U504:X504)</f>
        <v>0</v>
      </c>
    </row>
    <row r="505" spans="1:26" x14ac:dyDescent="0.2">
      <c r="A505" s="907" t="s">
        <v>17</v>
      </c>
      <c r="B505" s="871"/>
      <c r="C505" s="128">
        <v>0</v>
      </c>
      <c r="D505" s="128">
        <v>0</v>
      </c>
      <c r="E505" s="128">
        <v>0</v>
      </c>
      <c r="F505" s="128">
        <v>0</v>
      </c>
      <c r="G505" s="128">
        <v>0</v>
      </c>
      <c r="H505" s="128">
        <v>0</v>
      </c>
      <c r="I505" s="128">
        <v>0</v>
      </c>
      <c r="J505" s="128">
        <v>0</v>
      </c>
      <c r="K505" s="128">
        <v>0</v>
      </c>
      <c r="L505" s="128">
        <v>0</v>
      </c>
      <c r="M505" s="128">
        <v>0</v>
      </c>
      <c r="N505" s="128">
        <v>0</v>
      </c>
      <c r="O505" s="143">
        <f>SUM(C505:N505)</f>
        <v>0</v>
      </c>
      <c r="P505" s="143"/>
      <c r="Q505" s="875"/>
      <c r="R505" s="915"/>
      <c r="S505" s="875"/>
      <c r="T505" s="143"/>
      <c r="U505" s="896">
        <f t="shared" si="228"/>
        <v>0</v>
      </c>
      <c r="V505" s="896">
        <f t="shared" si="229"/>
        <v>0</v>
      </c>
      <c r="W505" s="896">
        <f t="shared" si="230"/>
        <v>0</v>
      </c>
      <c r="X505" s="896">
        <f t="shared" si="231"/>
        <v>0</v>
      </c>
      <c r="Y505" s="880">
        <f t="shared" si="232"/>
        <v>0</v>
      </c>
    </row>
    <row r="506" spans="1:26" x14ac:dyDescent="0.2">
      <c r="A506" s="907" t="s">
        <v>1228</v>
      </c>
      <c r="B506" s="871"/>
      <c r="C506" s="128">
        <v>0</v>
      </c>
      <c r="D506" s="128">
        <v>0</v>
      </c>
      <c r="E506" s="128">
        <v>0</v>
      </c>
      <c r="F506" s="128">
        <v>0</v>
      </c>
      <c r="G506" s="128">
        <v>0</v>
      </c>
      <c r="H506" s="128">
        <v>0</v>
      </c>
      <c r="I506" s="128">
        <v>0</v>
      </c>
      <c r="J506" s="128">
        <v>0</v>
      </c>
      <c r="K506" s="128">
        <v>0</v>
      </c>
      <c r="L506" s="128">
        <v>0</v>
      </c>
      <c r="M506" s="128">
        <v>0</v>
      </c>
      <c r="N506" s="128">
        <v>0</v>
      </c>
      <c r="O506" s="143">
        <f>SUM(C506:N506)</f>
        <v>0</v>
      </c>
      <c r="P506" s="143"/>
      <c r="Q506" s="875"/>
      <c r="R506" s="915"/>
      <c r="S506" s="875"/>
      <c r="T506" s="143"/>
      <c r="U506" s="896">
        <f t="shared" si="228"/>
        <v>0</v>
      </c>
      <c r="V506" s="896">
        <f t="shared" si="229"/>
        <v>0</v>
      </c>
      <c r="W506" s="896">
        <f t="shared" si="230"/>
        <v>0</v>
      </c>
      <c r="X506" s="896">
        <f t="shared" si="231"/>
        <v>0</v>
      </c>
      <c r="Y506" s="880">
        <f t="shared" si="232"/>
        <v>0</v>
      </c>
    </row>
    <row r="507" spans="1:26" x14ac:dyDescent="0.2">
      <c r="A507" s="970" t="s">
        <v>272</v>
      </c>
      <c r="B507" s="871"/>
      <c r="C507" s="128">
        <v>0</v>
      </c>
      <c r="D507" s="128">
        <v>0</v>
      </c>
      <c r="E507" s="128">
        <v>0</v>
      </c>
      <c r="F507" s="128">
        <v>0</v>
      </c>
      <c r="G507" s="128">
        <v>0</v>
      </c>
      <c r="H507" s="128">
        <v>5600</v>
      </c>
      <c r="I507" s="128">
        <v>0</v>
      </c>
      <c r="J507" s="128">
        <v>0</v>
      </c>
      <c r="K507" s="128">
        <v>0</v>
      </c>
      <c r="L507" s="128">
        <v>0</v>
      </c>
      <c r="M507" s="128">
        <v>0</v>
      </c>
      <c r="N507" s="128">
        <v>0</v>
      </c>
      <c r="O507" s="143">
        <f t="shared" ref="O507:O512" si="233">SUM(C507:N507)</f>
        <v>5600</v>
      </c>
      <c r="P507" s="143"/>
      <c r="Q507" s="886"/>
      <c r="R507" s="961"/>
      <c r="S507" s="886"/>
      <c r="T507" s="143"/>
      <c r="U507" s="896">
        <f t="shared" si="228"/>
        <v>0</v>
      </c>
      <c r="V507" s="896">
        <f t="shared" si="229"/>
        <v>5600</v>
      </c>
      <c r="W507" s="896">
        <f t="shared" si="230"/>
        <v>0</v>
      </c>
      <c r="X507" s="896">
        <f t="shared" si="231"/>
        <v>0</v>
      </c>
      <c r="Y507" s="880">
        <f t="shared" si="232"/>
        <v>5600</v>
      </c>
    </row>
    <row r="508" spans="1:26" x14ac:dyDescent="0.2">
      <c r="A508" s="970" t="s">
        <v>1229</v>
      </c>
      <c r="B508" s="871"/>
      <c r="C508" s="128">
        <v>0</v>
      </c>
      <c r="D508" s="128">
        <v>0</v>
      </c>
      <c r="E508" s="128">
        <v>0</v>
      </c>
      <c r="F508" s="128">
        <v>0</v>
      </c>
      <c r="G508" s="128">
        <v>0</v>
      </c>
      <c r="H508" s="128">
        <v>0</v>
      </c>
      <c r="I508" s="128">
        <v>0</v>
      </c>
      <c r="J508" s="128">
        <v>0</v>
      </c>
      <c r="K508" s="128">
        <v>0</v>
      </c>
      <c r="L508" s="128">
        <v>0</v>
      </c>
      <c r="M508" s="128">
        <v>0</v>
      </c>
      <c r="N508" s="128">
        <v>0</v>
      </c>
      <c r="O508" s="143">
        <f t="shared" si="233"/>
        <v>0</v>
      </c>
      <c r="P508" s="143"/>
      <c r="Q508" s="875"/>
      <c r="R508" s="915"/>
      <c r="S508" s="875"/>
      <c r="T508" s="143"/>
      <c r="U508" s="896">
        <f t="shared" si="228"/>
        <v>0</v>
      </c>
      <c r="V508" s="896">
        <f t="shared" si="229"/>
        <v>0</v>
      </c>
      <c r="W508" s="896">
        <f t="shared" si="230"/>
        <v>0</v>
      </c>
      <c r="X508" s="896">
        <f t="shared" si="231"/>
        <v>0</v>
      </c>
      <c r="Y508" s="880">
        <f t="shared" si="232"/>
        <v>0</v>
      </c>
    </row>
    <row r="509" spans="1:26" x14ac:dyDescent="0.2">
      <c r="A509" s="907" t="s">
        <v>19</v>
      </c>
      <c r="B509" s="871"/>
      <c r="C509" s="128">
        <v>0</v>
      </c>
      <c r="D509" s="128">
        <v>0</v>
      </c>
      <c r="E509" s="128">
        <v>0</v>
      </c>
      <c r="F509" s="128">
        <v>0</v>
      </c>
      <c r="G509" s="128">
        <v>0</v>
      </c>
      <c r="H509" s="128">
        <v>0</v>
      </c>
      <c r="I509" s="128">
        <v>0</v>
      </c>
      <c r="J509" s="128">
        <v>0</v>
      </c>
      <c r="K509" s="128">
        <v>0</v>
      </c>
      <c r="L509" s="128">
        <v>0</v>
      </c>
      <c r="M509" s="128">
        <v>0</v>
      </c>
      <c r="N509" s="128">
        <v>0</v>
      </c>
      <c r="O509" s="143">
        <f>SUM(C509:N509)</f>
        <v>0</v>
      </c>
      <c r="P509" s="143"/>
      <c r="Q509" s="875"/>
      <c r="R509" s="915"/>
      <c r="S509" s="875"/>
      <c r="T509" s="143"/>
      <c r="U509" s="896">
        <f t="shared" si="228"/>
        <v>0</v>
      </c>
      <c r="V509" s="896">
        <f t="shared" si="229"/>
        <v>0</v>
      </c>
      <c r="W509" s="896">
        <f t="shared" si="230"/>
        <v>0</v>
      </c>
      <c r="X509" s="896">
        <f t="shared" si="231"/>
        <v>0</v>
      </c>
      <c r="Y509" s="880">
        <f t="shared" si="232"/>
        <v>0</v>
      </c>
    </row>
    <row r="510" spans="1:26" x14ac:dyDescent="0.2">
      <c r="A510" s="907" t="s">
        <v>18</v>
      </c>
      <c r="B510" s="871"/>
      <c r="C510" s="128">
        <v>0</v>
      </c>
      <c r="D510" s="128">
        <v>0</v>
      </c>
      <c r="E510" s="128">
        <v>0</v>
      </c>
      <c r="F510" s="128">
        <v>0</v>
      </c>
      <c r="G510" s="128">
        <v>0</v>
      </c>
      <c r="H510" s="128">
        <v>0</v>
      </c>
      <c r="I510" s="128">
        <v>0</v>
      </c>
      <c r="J510" s="128">
        <v>0</v>
      </c>
      <c r="K510" s="128">
        <v>0</v>
      </c>
      <c r="L510" s="128">
        <v>0</v>
      </c>
      <c r="M510" s="128">
        <v>0</v>
      </c>
      <c r="N510" s="128">
        <v>0</v>
      </c>
      <c r="O510" s="143">
        <f t="shared" si="233"/>
        <v>0</v>
      </c>
      <c r="P510" s="143"/>
      <c r="Q510" s="875"/>
      <c r="R510" s="915"/>
      <c r="S510" s="875"/>
      <c r="T510" s="143"/>
      <c r="U510" s="896">
        <f t="shared" si="228"/>
        <v>0</v>
      </c>
      <c r="V510" s="896">
        <f t="shared" si="229"/>
        <v>0</v>
      </c>
      <c r="W510" s="896">
        <f t="shared" si="230"/>
        <v>0</v>
      </c>
      <c r="X510" s="896">
        <f t="shared" si="231"/>
        <v>0</v>
      </c>
      <c r="Y510" s="880">
        <f t="shared" si="232"/>
        <v>0</v>
      </c>
    </row>
    <row r="511" spans="1:26" x14ac:dyDescent="0.2">
      <c r="A511" s="907" t="s">
        <v>19</v>
      </c>
      <c r="B511" s="871"/>
      <c r="C511" s="128">
        <v>0</v>
      </c>
      <c r="D511" s="128">
        <v>0</v>
      </c>
      <c r="E511" s="128">
        <v>0</v>
      </c>
      <c r="F511" s="128">
        <v>0</v>
      </c>
      <c r="G511" s="128">
        <v>0</v>
      </c>
      <c r="H511" s="128">
        <v>0</v>
      </c>
      <c r="I511" s="128">
        <v>0</v>
      </c>
      <c r="J511" s="128">
        <v>0</v>
      </c>
      <c r="K511" s="128">
        <v>0</v>
      </c>
      <c r="L511" s="128">
        <v>0</v>
      </c>
      <c r="M511" s="128">
        <v>0</v>
      </c>
      <c r="N511" s="128">
        <v>0</v>
      </c>
      <c r="O511" s="143">
        <f t="shared" si="233"/>
        <v>0</v>
      </c>
      <c r="P511" s="143"/>
      <c r="Q511" s="875"/>
      <c r="R511" s="915"/>
      <c r="S511" s="875"/>
      <c r="T511" s="143"/>
      <c r="U511" s="896">
        <f t="shared" si="228"/>
        <v>0</v>
      </c>
      <c r="V511" s="896">
        <f t="shared" si="229"/>
        <v>0</v>
      </c>
      <c r="W511" s="896">
        <f t="shared" si="230"/>
        <v>0</v>
      </c>
      <c r="X511" s="896">
        <f t="shared" si="231"/>
        <v>0</v>
      </c>
      <c r="Y511" s="880">
        <f t="shared" si="232"/>
        <v>0</v>
      </c>
    </row>
    <row r="512" spans="1:26" x14ac:dyDescent="0.2">
      <c r="A512" s="907" t="s">
        <v>1230</v>
      </c>
      <c r="B512" s="871"/>
      <c r="C512" s="270">
        <v>0</v>
      </c>
      <c r="D512" s="270">
        <v>0</v>
      </c>
      <c r="E512" s="270">
        <v>0</v>
      </c>
      <c r="F512" s="270">
        <v>0</v>
      </c>
      <c r="G512" s="270">
        <v>0</v>
      </c>
      <c r="H512" s="270">
        <v>0</v>
      </c>
      <c r="I512" s="270">
        <v>0</v>
      </c>
      <c r="J512" s="270">
        <v>0</v>
      </c>
      <c r="K512" s="270">
        <v>0</v>
      </c>
      <c r="L512" s="270">
        <v>0</v>
      </c>
      <c r="M512" s="270">
        <v>0</v>
      </c>
      <c r="N512" s="270">
        <v>0</v>
      </c>
      <c r="O512" s="963">
        <f t="shared" si="233"/>
        <v>0</v>
      </c>
      <c r="P512" s="963"/>
      <c r="Q512" s="875"/>
      <c r="R512" s="915"/>
      <c r="S512" s="875"/>
      <c r="T512" s="963"/>
      <c r="U512" s="939">
        <f t="shared" si="228"/>
        <v>0</v>
      </c>
      <c r="V512" s="939">
        <f t="shared" si="229"/>
        <v>0</v>
      </c>
      <c r="W512" s="939">
        <f t="shared" si="230"/>
        <v>0</v>
      </c>
      <c r="X512" s="939">
        <f t="shared" si="231"/>
        <v>0</v>
      </c>
      <c r="Y512" s="938">
        <f t="shared" si="232"/>
        <v>0</v>
      </c>
    </row>
    <row r="513" spans="1:25" x14ac:dyDescent="0.2">
      <c r="A513" s="907" t="s">
        <v>21</v>
      </c>
      <c r="B513" s="871"/>
      <c r="C513" s="938">
        <f>SUM(C504:C512)</f>
        <v>0</v>
      </c>
      <c r="D513" s="938">
        <f t="shared" ref="D513:O513" si="234">SUM(D504:D512)</f>
        <v>0</v>
      </c>
      <c r="E513" s="938">
        <f t="shared" si="234"/>
        <v>0</v>
      </c>
      <c r="F513" s="938">
        <f t="shared" si="234"/>
        <v>0</v>
      </c>
      <c r="G513" s="938">
        <f t="shared" si="234"/>
        <v>0</v>
      </c>
      <c r="H513" s="938">
        <f t="shared" si="234"/>
        <v>5600</v>
      </c>
      <c r="I513" s="938">
        <f t="shared" si="234"/>
        <v>0</v>
      </c>
      <c r="J513" s="938">
        <f t="shared" si="234"/>
        <v>0</v>
      </c>
      <c r="K513" s="938">
        <f t="shared" si="234"/>
        <v>0</v>
      </c>
      <c r="L513" s="938">
        <f t="shared" si="234"/>
        <v>0</v>
      </c>
      <c r="M513" s="938">
        <f t="shared" si="234"/>
        <v>0</v>
      </c>
      <c r="N513" s="938">
        <f t="shared" si="234"/>
        <v>0</v>
      </c>
      <c r="O513" s="938">
        <f t="shared" si="234"/>
        <v>5600</v>
      </c>
      <c r="P513" s="896"/>
      <c r="Q513" s="875"/>
      <c r="R513" s="915"/>
      <c r="S513" s="875"/>
      <c r="T513" s="896"/>
      <c r="U513" s="938">
        <f>SUM(U504:U512)</f>
        <v>0</v>
      </c>
      <c r="V513" s="938">
        <f>SUM(V504:V512)</f>
        <v>5600</v>
      </c>
      <c r="W513" s="938">
        <f>SUM(W504:W512)</f>
        <v>0</v>
      </c>
      <c r="X513" s="938">
        <f>SUM(X504:X512)</f>
        <v>0</v>
      </c>
      <c r="Y513" s="938">
        <f>SUM(Y504:Y512)</f>
        <v>5600</v>
      </c>
    </row>
    <row r="514" spans="1:25" ht="3.95" customHeight="1" x14ac:dyDescent="0.2">
      <c r="A514" s="911"/>
      <c r="B514" s="871"/>
      <c r="C514" s="880"/>
      <c r="D514" s="880"/>
      <c r="E514" s="880"/>
      <c r="F514" s="880"/>
      <c r="G514" s="880"/>
      <c r="H514" s="880"/>
      <c r="I514" s="880"/>
      <c r="J514" s="880"/>
      <c r="K514" s="880"/>
      <c r="L514" s="880"/>
      <c r="M514" s="880"/>
      <c r="N514" s="880"/>
      <c r="O514" s="896"/>
      <c r="P514" s="896"/>
      <c r="Q514" s="875"/>
      <c r="R514" s="915"/>
      <c r="S514" s="875"/>
      <c r="T514" s="896"/>
      <c r="U514" s="896"/>
      <c r="V514" s="896"/>
      <c r="W514" s="896"/>
      <c r="X514" s="896"/>
      <c r="Y514" s="880"/>
    </row>
    <row r="515" spans="1:25" x14ac:dyDescent="0.2">
      <c r="A515" s="907" t="s">
        <v>23</v>
      </c>
      <c r="B515" s="871"/>
      <c r="C515" s="880"/>
      <c r="D515" s="880"/>
      <c r="E515" s="880"/>
      <c r="F515" s="880"/>
      <c r="G515" s="880"/>
      <c r="H515" s="880"/>
      <c r="I515" s="880"/>
      <c r="J515" s="880"/>
      <c r="K515" s="880"/>
      <c r="L515" s="880"/>
      <c r="M515" s="880"/>
      <c r="N515" s="880"/>
      <c r="O515" s="143"/>
      <c r="P515" s="143"/>
      <c r="Q515" s="875"/>
      <c r="R515" s="915"/>
      <c r="S515" s="875"/>
      <c r="T515" s="143"/>
      <c r="U515" s="896"/>
      <c r="V515" s="896"/>
      <c r="W515" s="896"/>
      <c r="X515" s="896"/>
      <c r="Y515" s="873"/>
    </row>
    <row r="516" spans="1:25" x14ac:dyDescent="0.2">
      <c r="A516" s="907" t="s">
        <v>34</v>
      </c>
      <c r="B516" s="871"/>
      <c r="C516" s="128">
        <v>0</v>
      </c>
      <c r="D516" s="128">
        <v>0</v>
      </c>
      <c r="E516" s="128">
        <v>0</v>
      </c>
      <c r="F516" s="128">
        <v>0</v>
      </c>
      <c r="G516" s="128">
        <v>0</v>
      </c>
      <c r="H516" s="128">
        <v>0</v>
      </c>
      <c r="I516" s="128">
        <v>0</v>
      </c>
      <c r="J516" s="128">
        <v>0</v>
      </c>
      <c r="K516" s="128">
        <v>0</v>
      </c>
      <c r="L516" s="128">
        <v>0</v>
      </c>
      <c r="M516" s="128">
        <v>0</v>
      </c>
      <c r="N516" s="128">
        <v>0</v>
      </c>
      <c r="O516" s="143">
        <f t="shared" ref="O516:O526" si="235">SUM(C516:N516)</f>
        <v>0</v>
      </c>
      <c r="P516" s="143"/>
      <c r="Q516" s="875"/>
      <c r="R516" s="915"/>
      <c r="S516" s="875"/>
      <c r="T516" s="143"/>
      <c r="U516" s="896">
        <f t="shared" ref="U516:U526" si="236">C516+D516+E516</f>
        <v>0</v>
      </c>
      <c r="V516" s="896">
        <f t="shared" ref="V516:V526" si="237">F516+G516+H516</f>
        <v>0</v>
      </c>
      <c r="W516" s="896">
        <f t="shared" ref="W516:W526" si="238">I516+J516+K516</f>
        <v>0</v>
      </c>
      <c r="X516" s="896">
        <f t="shared" ref="X516:X526" si="239">L516+M516+N516</f>
        <v>0</v>
      </c>
      <c r="Y516" s="880">
        <f t="shared" ref="Y516:Y526" si="240">SUM(U516:X516)</f>
        <v>0</v>
      </c>
    </row>
    <row r="517" spans="1:25" x14ac:dyDescent="0.2">
      <c r="A517" s="907" t="s">
        <v>17</v>
      </c>
      <c r="B517" s="871"/>
      <c r="C517" s="128">
        <v>0</v>
      </c>
      <c r="D517" s="128">
        <v>0</v>
      </c>
      <c r="E517" s="128">
        <v>0</v>
      </c>
      <c r="F517" s="128">
        <v>0</v>
      </c>
      <c r="G517" s="128">
        <v>0</v>
      </c>
      <c r="H517" s="128">
        <v>0</v>
      </c>
      <c r="I517" s="128">
        <v>0</v>
      </c>
      <c r="J517" s="128">
        <v>0</v>
      </c>
      <c r="K517" s="128">
        <v>0</v>
      </c>
      <c r="L517" s="128">
        <v>0</v>
      </c>
      <c r="M517" s="128">
        <v>0</v>
      </c>
      <c r="N517" s="128">
        <v>0</v>
      </c>
      <c r="O517" s="143">
        <f t="shared" si="235"/>
        <v>0</v>
      </c>
      <c r="P517" s="143"/>
      <c r="Q517" s="875"/>
      <c r="R517" s="915"/>
      <c r="S517" s="875"/>
      <c r="T517" s="143"/>
      <c r="U517" s="896">
        <f t="shared" si="236"/>
        <v>0</v>
      </c>
      <c r="V517" s="896">
        <f t="shared" si="237"/>
        <v>0</v>
      </c>
      <c r="W517" s="896">
        <f t="shared" si="238"/>
        <v>0</v>
      </c>
      <c r="X517" s="896">
        <f t="shared" si="239"/>
        <v>0</v>
      </c>
      <c r="Y517" s="880">
        <f t="shared" si="240"/>
        <v>0</v>
      </c>
    </row>
    <row r="518" spans="1:25" x14ac:dyDescent="0.2">
      <c r="A518" s="907" t="s">
        <v>35</v>
      </c>
      <c r="B518" s="871"/>
      <c r="C518" s="128">
        <v>0</v>
      </c>
      <c r="D518" s="128">
        <v>0</v>
      </c>
      <c r="E518" s="128">
        <v>0</v>
      </c>
      <c r="F518" s="128">
        <v>0</v>
      </c>
      <c r="G518" s="128">
        <v>0</v>
      </c>
      <c r="H518" s="128">
        <v>0</v>
      </c>
      <c r="I518" s="128">
        <v>0</v>
      </c>
      <c r="J518" s="128">
        <v>0</v>
      </c>
      <c r="K518" s="128">
        <v>0</v>
      </c>
      <c r="L518" s="128">
        <v>0</v>
      </c>
      <c r="M518" s="128">
        <v>0</v>
      </c>
      <c r="N518" s="128">
        <v>0</v>
      </c>
      <c r="O518" s="143">
        <f t="shared" si="235"/>
        <v>0</v>
      </c>
      <c r="P518" s="143"/>
      <c r="Q518" s="875"/>
      <c r="R518" s="915"/>
      <c r="S518" s="875"/>
      <c r="T518" s="143"/>
      <c r="U518" s="896">
        <f t="shared" si="236"/>
        <v>0</v>
      </c>
      <c r="V518" s="896">
        <f t="shared" si="237"/>
        <v>0</v>
      </c>
      <c r="W518" s="896">
        <f t="shared" si="238"/>
        <v>0</v>
      </c>
      <c r="X518" s="896">
        <f t="shared" si="239"/>
        <v>0</v>
      </c>
      <c r="Y518" s="880">
        <f t="shared" si="240"/>
        <v>0</v>
      </c>
    </row>
    <row r="519" spans="1:25" x14ac:dyDescent="0.2">
      <c r="A519" s="907" t="s">
        <v>36</v>
      </c>
      <c r="B519" s="871"/>
      <c r="C519" s="128">
        <v>0</v>
      </c>
      <c r="D519" s="128">
        <v>0</v>
      </c>
      <c r="E519" s="128">
        <v>0</v>
      </c>
      <c r="F519" s="128">
        <v>0</v>
      </c>
      <c r="G519" s="128">
        <v>0</v>
      </c>
      <c r="H519" s="128">
        <v>0</v>
      </c>
      <c r="I519" s="128">
        <v>0</v>
      </c>
      <c r="J519" s="128">
        <v>0</v>
      </c>
      <c r="K519" s="128">
        <v>0</v>
      </c>
      <c r="L519" s="128">
        <v>0</v>
      </c>
      <c r="M519" s="128">
        <v>0</v>
      </c>
      <c r="N519" s="128">
        <v>0</v>
      </c>
      <c r="O519" s="143">
        <f t="shared" si="235"/>
        <v>0</v>
      </c>
      <c r="P519" s="143"/>
      <c r="Q519" s="886"/>
      <c r="R519" s="961"/>
      <c r="S519" s="886"/>
      <c r="T519" s="143"/>
      <c r="U519" s="896">
        <f t="shared" si="236"/>
        <v>0</v>
      </c>
      <c r="V519" s="896">
        <f t="shared" si="237"/>
        <v>0</v>
      </c>
      <c r="W519" s="896">
        <f t="shared" si="238"/>
        <v>0</v>
      </c>
      <c r="X519" s="896">
        <f t="shared" si="239"/>
        <v>0</v>
      </c>
      <c r="Y519" s="880">
        <f t="shared" si="240"/>
        <v>0</v>
      </c>
    </row>
    <row r="520" spans="1:25" x14ac:dyDescent="0.2">
      <c r="A520" s="907" t="s">
        <v>37</v>
      </c>
      <c r="B520" s="871"/>
      <c r="C520" s="128">
        <v>0</v>
      </c>
      <c r="D520" s="128">
        <v>0</v>
      </c>
      <c r="E520" s="128">
        <v>0</v>
      </c>
      <c r="F520" s="128">
        <v>0</v>
      </c>
      <c r="G520" s="128">
        <v>0</v>
      </c>
      <c r="H520" s="128">
        <v>0</v>
      </c>
      <c r="I520" s="128">
        <v>0</v>
      </c>
      <c r="J520" s="128">
        <v>0</v>
      </c>
      <c r="K520" s="128">
        <v>-2880</v>
      </c>
      <c r="L520" s="128">
        <v>0</v>
      </c>
      <c r="M520" s="128">
        <v>0</v>
      </c>
      <c r="N520" s="128">
        <v>0</v>
      </c>
      <c r="O520" s="143">
        <f t="shared" si="235"/>
        <v>-2880</v>
      </c>
      <c r="P520" s="143"/>
      <c r="Q520" s="875"/>
      <c r="R520" s="915"/>
      <c r="S520" s="875"/>
      <c r="T520" s="143"/>
      <c r="U520" s="896">
        <f t="shared" si="236"/>
        <v>0</v>
      </c>
      <c r="V520" s="896">
        <f t="shared" si="237"/>
        <v>0</v>
      </c>
      <c r="W520" s="896">
        <f t="shared" si="238"/>
        <v>-2880</v>
      </c>
      <c r="X520" s="896">
        <f t="shared" si="239"/>
        <v>0</v>
      </c>
      <c r="Y520" s="880">
        <f t="shared" si="240"/>
        <v>-2880</v>
      </c>
    </row>
    <row r="521" spans="1:25" x14ac:dyDescent="0.2">
      <c r="A521" s="907" t="s">
        <v>907</v>
      </c>
      <c r="B521" s="871"/>
      <c r="C521" s="128">
        <v>0</v>
      </c>
      <c r="D521" s="128">
        <v>0</v>
      </c>
      <c r="E521" s="128">
        <v>0</v>
      </c>
      <c r="F521" s="128">
        <v>0</v>
      </c>
      <c r="G521" s="128">
        <v>0</v>
      </c>
      <c r="H521" s="683">
        <f>2773+400+10</f>
        <v>3183</v>
      </c>
      <c r="I521" s="128">
        <v>0</v>
      </c>
      <c r="J521" s="128">
        <v>0</v>
      </c>
      <c r="K521" s="128">
        <v>0</v>
      </c>
      <c r="L521" s="128">
        <v>0</v>
      </c>
      <c r="M521" s="128">
        <v>0</v>
      </c>
      <c r="N521" s="128">
        <v>0</v>
      </c>
      <c r="O521" s="143">
        <f t="shared" si="235"/>
        <v>3183</v>
      </c>
      <c r="P521" s="143"/>
      <c r="Q521" s="875"/>
      <c r="R521" s="915"/>
      <c r="S521" s="875"/>
      <c r="T521" s="143"/>
      <c r="U521" s="896">
        <f t="shared" si="236"/>
        <v>0</v>
      </c>
      <c r="V521" s="896">
        <f t="shared" si="237"/>
        <v>3183</v>
      </c>
      <c r="W521" s="896">
        <f t="shared" si="238"/>
        <v>0</v>
      </c>
      <c r="X521" s="896">
        <f t="shared" si="239"/>
        <v>0</v>
      </c>
      <c r="Y521" s="880">
        <f t="shared" si="240"/>
        <v>3183</v>
      </c>
    </row>
    <row r="522" spans="1:25" x14ac:dyDescent="0.2">
      <c r="A522" s="907" t="s">
        <v>1231</v>
      </c>
      <c r="B522" s="871"/>
      <c r="C522" s="128">
        <v>0</v>
      </c>
      <c r="D522" s="128">
        <v>0</v>
      </c>
      <c r="E522" s="128">
        <v>0</v>
      </c>
      <c r="F522" s="128">
        <v>0</v>
      </c>
      <c r="G522" s="128">
        <v>0</v>
      </c>
      <c r="H522" s="128">
        <v>0</v>
      </c>
      <c r="I522" s="128">
        <v>0</v>
      </c>
      <c r="J522" s="128">
        <v>0</v>
      </c>
      <c r="K522" s="128">
        <v>0</v>
      </c>
      <c r="L522" s="128">
        <v>0</v>
      </c>
      <c r="M522" s="128">
        <v>0</v>
      </c>
      <c r="N522" s="128">
        <v>-985</v>
      </c>
      <c r="O522" s="143">
        <f>SUM(C522:N522)</f>
        <v>-985</v>
      </c>
      <c r="P522" s="143"/>
      <c r="Q522" s="875"/>
      <c r="R522" s="915"/>
      <c r="S522" s="875"/>
      <c r="T522" s="143"/>
      <c r="U522" s="896">
        <f>C522+D522+E522</f>
        <v>0</v>
      </c>
      <c r="V522" s="896">
        <f>F522+G522+H522</f>
        <v>0</v>
      </c>
      <c r="W522" s="896">
        <f>I522+J522+K522</f>
        <v>0</v>
      </c>
      <c r="X522" s="896">
        <f>L522+M522+N522</f>
        <v>-985</v>
      </c>
      <c r="Y522" s="880">
        <f>SUM(U522:X522)</f>
        <v>-985</v>
      </c>
    </row>
    <row r="523" spans="1:25" x14ac:dyDescent="0.2">
      <c r="A523" s="907" t="s">
        <v>38</v>
      </c>
      <c r="B523" s="871"/>
      <c r="C523" s="128">
        <v>0</v>
      </c>
      <c r="D523" s="128">
        <v>0</v>
      </c>
      <c r="E523" s="128">
        <v>0</v>
      </c>
      <c r="F523" s="128">
        <v>0</v>
      </c>
      <c r="G523" s="128">
        <v>0</v>
      </c>
      <c r="H523" s="128">
        <v>0</v>
      </c>
      <c r="I523" s="128">
        <v>0</v>
      </c>
      <c r="J523" s="128">
        <v>0</v>
      </c>
      <c r="K523" s="128">
        <v>0</v>
      </c>
      <c r="L523" s="128">
        <v>0</v>
      </c>
      <c r="M523" s="128">
        <v>0</v>
      </c>
      <c r="N523" s="128">
        <v>-600</v>
      </c>
      <c r="O523" s="143">
        <f>SUM(C523:N523)</f>
        <v>-600</v>
      </c>
      <c r="P523" s="143"/>
      <c r="Q523" s="875"/>
      <c r="R523" s="915"/>
      <c r="S523" s="875"/>
      <c r="T523" s="143"/>
      <c r="U523" s="896">
        <f>C523+D523+E523</f>
        <v>0</v>
      </c>
      <c r="V523" s="896">
        <f>F523+G523+H523</f>
        <v>0</v>
      </c>
      <c r="W523" s="896">
        <f>I523+J523+K523</f>
        <v>0</v>
      </c>
      <c r="X523" s="896">
        <f>L523+M523+N523</f>
        <v>-600</v>
      </c>
      <c r="Y523" s="880">
        <f>SUM(U523:X523)</f>
        <v>-600</v>
      </c>
    </row>
    <row r="524" spans="1:25" x14ac:dyDescent="0.2">
      <c r="A524" s="907" t="s">
        <v>39</v>
      </c>
      <c r="B524" s="871"/>
      <c r="C524" s="128">
        <v>0</v>
      </c>
      <c r="D524" s="128">
        <v>0</v>
      </c>
      <c r="E524" s="128">
        <v>0</v>
      </c>
      <c r="F524" s="128">
        <v>0</v>
      </c>
      <c r="G524" s="128">
        <v>0</v>
      </c>
      <c r="H524" s="128">
        <v>0</v>
      </c>
      <c r="I524" s="128">
        <v>0</v>
      </c>
      <c r="J524" s="128">
        <v>0</v>
      </c>
      <c r="K524" s="128">
        <v>0</v>
      </c>
      <c r="L524" s="128">
        <v>0</v>
      </c>
      <c r="M524" s="128">
        <v>0</v>
      </c>
      <c r="N524" s="128">
        <v>0</v>
      </c>
      <c r="O524" s="143">
        <f>SUM(C524:N524)</f>
        <v>0</v>
      </c>
      <c r="P524" s="143"/>
      <c r="Q524" s="875"/>
      <c r="R524" s="915"/>
      <c r="S524" s="875"/>
      <c r="T524" s="143"/>
      <c r="U524" s="896">
        <f>C524+D524+E524</f>
        <v>0</v>
      </c>
      <c r="V524" s="896">
        <f>F524+G524+H524</f>
        <v>0</v>
      </c>
      <c r="W524" s="896">
        <f>I524+J524+K524</f>
        <v>0</v>
      </c>
      <c r="X524" s="896">
        <f>L524+M524+N524</f>
        <v>0</v>
      </c>
      <c r="Y524" s="880">
        <f>SUM(U524:X524)</f>
        <v>0</v>
      </c>
    </row>
    <row r="525" spans="1:25" x14ac:dyDescent="0.2">
      <c r="A525" s="907" t="s">
        <v>19</v>
      </c>
      <c r="B525" s="871"/>
      <c r="C525" s="128">
        <v>0</v>
      </c>
      <c r="D525" s="128">
        <v>0</v>
      </c>
      <c r="E525" s="128">
        <v>0</v>
      </c>
      <c r="F525" s="128">
        <v>0</v>
      </c>
      <c r="G525" s="128">
        <v>0</v>
      </c>
      <c r="H525" s="128">
        <v>0</v>
      </c>
      <c r="I525" s="128">
        <v>0</v>
      </c>
      <c r="J525" s="128">
        <v>0</v>
      </c>
      <c r="K525" s="128">
        <v>0</v>
      </c>
      <c r="L525" s="128">
        <v>0</v>
      </c>
      <c r="M525" s="128">
        <v>0</v>
      </c>
      <c r="N525" s="128">
        <v>0</v>
      </c>
      <c r="O525" s="143">
        <f t="shared" si="235"/>
        <v>0</v>
      </c>
      <c r="P525" s="143"/>
      <c r="Q525" s="875"/>
      <c r="R525" s="915"/>
      <c r="S525" s="875"/>
      <c r="T525" s="143"/>
      <c r="U525" s="896">
        <f t="shared" si="236"/>
        <v>0</v>
      </c>
      <c r="V525" s="896">
        <f t="shared" si="237"/>
        <v>0</v>
      </c>
      <c r="W525" s="896">
        <f t="shared" si="238"/>
        <v>0</v>
      </c>
      <c r="X525" s="896">
        <f t="shared" si="239"/>
        <v>0</v>
      </c>
      <c r="Y525" s="880">
        <f t="shared" si="240"/>
        <v>0</v>
      </c>
    </row>
    <row r="526" spans="1:25" x14ac:dyDescent="0.2">
      <c r="A526" s="907" t="s">
        <v>20</v>
      </c>
      <c r="B526" s="871"/>
      <c r="C526" s="270">
        <v>0</v>
      </c>
      <c r="D526" s="270">
        <v>0</v>
      </c>
      <c r="E526" s="270">
        <v>0</v>
      </c>
      <c r="F526" s="270">
        <v>0</v>
      </c>
      <c r="G526" s="270">
        <v>0</v>
      </c>
      <c r="H526" s="270">
        <v>0</v>
      </c>
      <c r="I526" s="270">
        <v>0</v>
      </c>
      <c r="J526" s="270">
        <v>0</v>
      </c>
      <c r="K526" s="270">
        <v>0</v>
      </c>
      <c r="L526" s="270">
        <v>0</v>
      </c>
      <c r="M526" s="270">
        <v>0</v>
      </c>
      <c r="N526" s="270">
        <v>0</v>
      </c>
      <c r="O526" s="963">
        <f t="shared" si="235"/>
        <v>0</v>
      </c>
      <c r="P526" s="963"/>
      <c r="Q526" s="875"/>
      <c r="R526" s="915"/>
      <c r="S526" s="875"/>
      <c r="T526" s="963"/>
      <c r="U526" s="939">
        <f t="shared" si="236"/>
        <v>0</v>
      </c>
      <c r="V526" s="939">
        <f t="shared" si="237"/>
        <v>0</v>
      </c>
      <c r="W526" s="939">
        <f t="shared" si="238"/>
        <v>0</v>
      </c>
      <c r="X526" s="939">
        <f t="shared" si="239"/>
        <v>0</v>
      </c>
      <c r="Y526" s="938">
        <f t="shared" si="240"/>
        <v>0</v>
      </c>
    </row>
    <row r="527" spans="1:25" x14ac:dyDescent="0.2">
      <c r="A527" s="907" t="s">
        <v>40</v>
      </c>
      <c r="B527" s="871"/>
      <c r="C527" s="938">
        <f t="shared" ref="C527:O527" si="241">SUM(C516:C526)</f>
        <v>0</v>
      </c>
      <c r="D527" s="938">
        <f t="shared" si="241"/>
        <v>0</v>
      </c>
      <c r="E527" s="938">
        <f t="shared" si="241"/>
        <v>0</v>
      </c>
      <c r="F527" s="938">
        <f t="shared" si="241"/>
        <v>0</v>
      </c>
      <c r="G527" s="938">
        <f t="shared" si="241"/>
        <v>0</v>
      </c>
      <c r="H527" s="938">
        <f t="shared" si="241"/>
        <v>3183</v>
      </c>
      <c r="I527" s="938">
        <f t="shared" si="241"/>
        <v>0</v>
      </c>
      <c r="J527" s="938">
        <f t="shared" si="241"/>
        <v>0</v>
      </c>
      <c r="K527" s="938">
        <f t="shared" si="241"/>
        <v>-2880</v>
      </c>
      <c r="L527" s="938">
        <f t="shared" si="241"/>
        <v>0</v>
      </c>
      <c r="M527" s="938">
        <f t="shared" si="241"/>
        <v>0</v>
      </c>
      <c r="N527" s="938">
        <f t="shared" si="241"/>
        <v>-1585</v>
      </c>
      <c r="O527" s="938">
        <f t="shared" si="241"/>
        <v>-1282</v>
      </c>
      <c r="P527" s="896"/>
      <c r="Q527" s="875"/>
      <c r="R527" s="915"/>
      <c r="S527" s="875"/>
      <c r="T527" s="896"/>
      <c r="U527" s="938">
        <f>SUM(U516:U526)</f>
        <v>0</v>
      </c>
      <c r="V527" s="938">
        <f>SUM(V516:V526)</f>
        <v>3183</v>
      </c>
      <c r="W527" s="938">
        <f>SUM(W516:W526)</f>
        <v>-2880</v>
      </c>
      <c r="X527" s="938">
        <f>SUM(X516:X526)</f>
        <v>-1585</v>
      </c>
      <c r="Y527" s="938">
        <f>SUM(Y516:Y526)</f>
        <v>-1282</v>
      </c>
    </row>
    <row r="528" spans="1:25" ht="3.95" customHeight="1" x14ac:dyDescent="0.2">
      <c r="A528" s="911"/>
      <c r="B528" s="871"/>
      <c r="C528" s="880"/>
      <c r="D528" s="880"/>
      <c r="E528" s="880"/>
      <c r="F528" s="880"/>
      <c r="G528" s="880"/>
      <c r="H528" s="880"/>
      <c r="I528" s="880"/>
      <c r="J528" s="880"/>
      <c r="K528" s="880"/>
      <c r="L528" s="880"/>
      <c r="M528" s="880"/>
      <c r="N528" s="880"/>
      <c r="O528" s="896"/>
      <c r="P528" s="896"/>
      <c r="Q528" s="875"/>
      <c r="R528" s="915"/>
      <c r="S528" s="875"/>
      <c r="T528" s="896"/>
      <c r="U528" s="896"/>
      <c r="V528" s="896"/>
      <c r="W528" s="896"/>
      <c r="X528" s="896"/>
      <c r="Y528" s="880"/>
    </row>
    <row r="529" spans="1:25" x14ac:dyDescent="0.2">
      <c r="A529" s="909" t="s">
        <v>44</v>
      </c>
      <c r="B529" s="871"/>
      <c r="C529" s="958">
        <f>+C513+C527</f>
        <v>0</v>
      </c>
      <c r="D529" s="958">
        <f t="shared" ref="D529:O529" si="242">+D513+D527</f>
        <v>0</v>
      </c>
      <c r="E529" s="958">
        <f t="shared" si="242"/>
        <v>0</v>
      </c>
      <c r="F529" s="958">
        <f t="shared" si="242"/>
        <v>0</v>
      </c>
      <c r="G529" s="958">
        <f t="shared" si="242"/>
        <v>0</v>
      </c>
      <c r="H529" s="958">
        <f t="shared" si="242"/>
        <v>8783</v>
      </c>
      <c r="I529" s="958">
        <f t="shared" si="242"/>
        <v>0</v>
      </c>
      <c r="J529" s="958">
        <f t="shared" si="242"/>
        <v>0</v>
      </c>
      <c r="K529" s="958">
        <f t="shared" si="242"/>
        <v>-2880</v>
      </c>
      <c r="L529" s="958">
        <f t="shared" si="242"/>
        <v>0</v>
      </c>
      <c r="M529" s="958">
        <f t="shared" si="242"/>
        <v>0</v>
      </c>
      <c r="N529" s="958">
        <f t="shared" si="242"/>
        <v>-1585</v>
      </c>
      <c r="O529" s="958">
        <f t="shared" si="242"/>
        <v>4318</v>
      </c>
      <c r="P529" s="958"/>
      <c r="Q529" s="875"/>
      <c r="R529" s="915"/>
      <c r="S529" s="875"/>
      <c r="T529" s="958"/>
      <c r="U529" s="958">
        <f>+U513+U527</f>
        <v>0</v>
      </c>
      <c r="V529" s="958">
        <f>+V513+V527</f>
        <v>8783</v>
      </c>
      <c r="W529" s="958">
        <f>+W513+W527</f>
        <v>-2880</v>
      </c>
      <c r="X529" s="958">
        <f>+X513+X527</f>
        <v>-1585</v>
      </c>
      <c r="Y529" s="958">
        <f>+Y513+Y527</f>
        <v>4318</v>
      </c>
    </row>
    <row r="530" spans="1:25" ht="6" customHeight="1" x14ac:dyDescent="0.2">
      <c r="A530" s="909"/>
      <c r="B530" s="871"/>
      <c r="C530" s="958"/>
      <c r="D530" s="958"/>
      <c r="E530" s="958"/>
      <c r="F530" s="958"/>
      <c r="G530" s="958"/>
      <c r="H530" s="958"/>
      <c r="I530" s="958"/>
      <c r="J530" s="958"/>
      <c r="K530" s="958"/>
      <c r="L530" s="958"/>
      <c r="M530" s="958"/>
      <c r="N530" s="958"/>
      <c r="O530" s="958"/>
      <c r="P530" s="958"/>
      <c r="Q530" s="875"/>
      <c r="R530" s="915"/>
      <c r="S530" s="875"/>
      <c r="T530" s="958"/>
      <c r="U530" s="958"/>
      <c r="V530" s="958"/>
      <c r="W530" s="958"/>
      <c r="X530" s="958"/>
      <c r="Y530" s="958"/>
    </row>
    <row r="531" spans="1:25" x14ac:dyDescent="0.2">
      <c r="A531" s="909" t="s">
        <v>591</v>
      </c>
      <c r="B531" s="871"/>
      <c r="C531" s="958"/>
      <c r="D531" s="958"/>
      <c r="E531" s="958"/>
      <c r="F531" s="958"/>
      <c r="G531" s="958"/>
      <c r="H531" s="958"/>
      <c r="I531" s="958"/>
      <c r="J531" s="958"/>
      <c r="K531" s="958"/>
      <c r="L531" s="958"/>
      <c r="M531" s="958"/>
      <c r="N531" s="958"/>
      <c r="O531" s="958"/>
      <c r="P531" s="958"/>
      <c r="Q531" s="875"/>
      <c r="R531" s="915"/>
      <c r="S531" s="875"/>
      <c r="T531" s="958"/>
      <c r="U531" s="958"/>
      <c r="V531" s="958"/>
      <c r="W531" s="958"/>
      <c r="X531" s="958"/>
      <c r="Y531" s="958"/>
    </row>
    <row r="532" spans="1:25" x14ac:dyDescent="0.2">
      <c r="A532" s="907" t="s">
        <v>41</v>
      </c>
      <c r="B532" s="871"/>
      <c r="C532" s="128">
        <v>0</v>
      </c>
      <c r="D532" s="128">
        <v>0</v>
      </c>
      <c r="E532" s="128">
        <v>0</v>
      </c>
      <c r="F532" s="128">
        <v>0</v>
      </c>
      <c r="G532" s="128">
        <v>0</v>
      </c>
      <c r="H532" s="128">
        <v>0</v>
      </c>
      <c r="I532" s="128">
        <v>0</v>
      </c>
      <c r="J532" s="128">
        <v>0</v>
      </c>
      <c r="K532" s="128">
        <v>0</v>
      </c>
      <c r="L532" s="128">
        <v>0</v>
      </c>
      <c r="M532" s="128">
        <v>0</v>
      </c>
      <c r="N532" s="128">
        <v>0</v>
      </c>
      <c r="O532" s="143">
        <f>SUM(C532:N532)</f>
        <v>0</v>
      </c>
      <c r="P532" s="143"/>
      <c r="Q532" s="875"/>
      <c r="R532" s="915"/>
      <c r="S532" s="875"/>
      <c r="T532" s="143"/>
      <c r="U532" s="896">
        <f>C532+D532+E532</f>
        <v>0</v>
      </c>
      <c r="V532" s="896">
        <f>F532+G532+H532</f>
        <v>0</v>
      </c>
      <c r="W532" s="896">
        <f>I532+J532+K532</f>
        <v>0</v>
      </c>
      <c r="X532" s="896">
        <f>L532+M532+N532</f>
        <v>0</v>
      </c>
      <c r="Y532" s="880">
        <f>SUM(U532:X532)</f>
        <v>0</v>
      </c>
    </row>
    <row r="533" spans="1:25" x14ac:dyDescent="0.2">
      <c r="A533" s="907" t="s">
        <v>20</v>
      </c>
      <c r="B533" s="871"/>
      <c r="C533" s="270">
        <v>0</v>
      </c>
      <c r="D533" s="270">
        <v>0</v>
      </c>
      <c r="E533" s="270">
        <v>0</v>
      </c>
      <c r="F533" s="270">
        <v>0</v>
      </c>
      <c r="G533" s="270">
        <v>0</v>
      </c>
      <c r="H533" s="270">
        <v>0</v>
      </c>
      <c r="I533" s="270">
        <v>0</v>
      </c>
      <c r="J533" s="270">
        <v>0</v>
      </c>
      <c r="K533" s="270">
        <v>0</v>
      </c>
      <c r="L533" s="270">
        <v>0</v>
      </c>
      <c r="M533" s="270">
        <v>0</v>
      </c>
      <c r="N533" s="270">
        <v>0</v>
      </c>
      <c r="O533" s="963">
        <f>SUM(C533:N533)</f>
        <v>0</v>
      </c>
      <c r="P533" s="963"/>
      <c r="Q533" s="875"/>
      <c r="R533" s="915"/>
      <c r="S533" s="875"/>
      <c r="T533" s="963"/>
      <c r="U533" s="939">
        <f>C533+D533+E533</f>
        <v>0</v>
      </c>
      <c r="V533" s="939">
        <f>F533+G533+H533</f>
        <v>0</v>
      </c>
      <c r="W533" s="939">
        <f>I533+J533+K533</f>
        <v>0</v>
      </c>
      <c r="X533" s="939">
        <f>L533+M533+N533</f>
        <v>0</v>
      </c>
      <c r="Y533" s="938">
        <f>SUM(U533:X533)</f>
        <v>0</v>
      </c>
    </row>
    <row r="534" spans="1:25" x14ac:dyDescent="0.2">
      <c r="A534" s="907" t="s">
        <v>40</v>
      </c>
      <c r="B534" s="871"/>
      <c r="C534" s="938">
        <f t="shared" ref="C534:O534" si="243">SUM(C532:C533)</f>
        <v>0</v>
      </c>
      <c r="D534" s="938">
        <f t="shared" si="243"/>
        <v>0</v>
      </c>
      <c r="E534" s="938">
        <f t="shared" si="243"/>
        <v>0</v>
      </c>
      <c r="F534" s="938">
        <f t="shared" si="243"/>
        <v>0</v>
      </c>
      <c r="G534" s="938">
        <f t="shared" si="243"/>
        <v>0</v>
      </c>
      <c r="H534" s="938">
        <f t="shared" si="243"/>
        <v>0</v>
      </c>
      <c r="I534" s="938">
        <f t="shared" si="243"/>
        <v>0</v>
      </c>
      <c r="J534" s="938">
        <f t="shared" si="243"/>
        <v>0</v>
      </c>
      <c r="K534" s="938">
        <f t="shared" si="243"/>
        <v>0</v>
      </c>
      <c r="L534" s="938">
        <f t="shared" si="243"/>
        <v>0</v>
      </c>
      <c r="M534" s="938">
        <f t="shared" si="243"/>
        <v>0</v>
      </c>
      <c r="N534" s="938">
        <f t="shared" si="243"/>
        <v>0</v>
      </c>
      <c r="O534" s="938">
        <f t="shared" si="243"/>
        <v>0</v>
      </c>
      <c r="P534" s="938"/>
      <c r="Q534" s="875"/>
      <c r="R534" s="915"/>
      <c r="S534" s="875"/>
      <c r="T534" s="896"/>
      <c r="U534" s="938">
        <f>SUM(U532:U533)</f>
        <v>0</v>
      </c>
      <c r="V534" s="938">
        <f>SUM(V532:V533)</f>
        <v>0</v>
      </c>
      <c r="W534" s="938">
        <f>SUM(W532:W533)</f>
        <v>0</v>
      </c>
      <c r="X534" s="938">
        <f>SUM(X532:X533)</f>
        <v>0</v>
      </c>
      <c r="Y534" s="938">
        <f>SUM(Y532:Y533)</f>
        <v>0</v>
      </c>
    </row>
    <row r="535" spans="1:25" ht="3.95" customHeight="1" x14ac:dyDescent="0.2">
      <c r="A535" s="909"/>
      <c r="B535" s="871"/>
      <c r="C535" s="958"/>
      <c r="D535" s="958"/>
      <c r="E535" s="958"/>
      <c r="F535" s="958"/>
      <c r="G535" s="958"/>
      <c r="H535" s="958"/>
      <c r="I535" s="958"/>
      <c r="J535" s="958"/>
      <c r="K535" s="958"/>
      <c r="L535" s="958"/>
      <c r="M535" s="958"/>
      <c r="N535" s="958"/>
      <c r="O535" s="958"/>
      <c r="P535" s="958"/>
      <c r="Q535" s="875"/>
      <c r="R535" s="915"/>
      <c r="S535" s="875"/>
      <c r="T535" s="958"/>
      <c r="U535" s="958"/>
      <c r="V535" s="958"/>
      <c r="W535" s="958"/>
      <c r="X535" s="958"/>
      <c r="Y535" s="958"/>
    </row>
    <row r="536" spans="1:25" x14ac:dyDescent="0.2">
      <c r="A536" s="909" t="s">
        <v>593</v>
      </c>
      <c r="B536" s="871"/>
      <c r="C536" s="958">
        <f>+C534</f>
        <v>0</v>
      </c>
      <c r="D536" s="958">
        <f t="shared" ref="D536:O536" si="244">+D534</f>
        <v>0</v>
      </c>
      <c r="E536" s="958">
        <f t="shared" si="244"/>
        <v>0</v>
      </c>
      <c r="F536" s="958">
        <f t="shared" si="244"/>
        <v>0</v>
      </c>
      <c r="G536" s="958">
        <f t="shared" si="244"/>
        <v>0</v>
      </c>
      <c r="H536" s="958">
        <f t="shared" si="244"/>
        <v>0</v>
      </c>
      <c r="I536" s="958">
        <f t="shared" si="244"/>
        <v>0</v>
      </c>
      <c r="J536" s="958">
        <f t="shared" si="244"/>
        <v>0</v>
      </c>
      <c r="K536" s="958">
        <f t="shared" si="244"/>
        <v>0</v>
      </c>
      <c r="L536" s="958">
        <f t="shared" si="244"/>
        <v>0</v>
      </c>
      <c r="M536" s="958">
        <f t="shared" si="244"/>
        <v>0</v>
      </c>
      <c r="N536" s="958">
        <f t="shared" si="244"/>
        <v>0</v>
      </c>
      <c r="O536" s="958">
        <f t="shared" si="244"/>
        <v>0</v>
      </c>
      <c r="P536" s="958"/>
      <c r="Q536" s="875"/>
      <c r="R536" s="915"/>
      <c r="S536" s="875"/>
      <c r="T536" s="958"/>
      <c r="U536" s="958">
        <f>+U534</f>
        <v>0</v>
      </c>
      <c r="V536" s="958">
        <f>+V534</f>
        <v>0</v>
      </c>
      <c r="W536" s="958">
        <f>+W534</f>
        <v>0</v>
      </c>
      <c r="X536" s="958">
        <f>+X534</f>
        <v>0</v>
      </c>
      <c r="Y536" s="958">
        <f>+Y534</f>
        <v>0</v>
      </c>
    </row>
    <row r="537" spans="1:25" ht="6" customHeight="1" x14ac:dyDescent="0.2">
      <c r="A537" s="909"/>
      <c r="B537" s="871"/>
      <c r="C537" s="958"/>
      <c r="D537" s="958"/>
      <c r="E537" s="958"/>
      <c r="F537" s="958"/>
      <c r="G537" s="958"/>
      <c r="H537" s="958"/>
      <c r="I537" s="958"/>
      <c r="J537" s="958"/>
      <c r="K537" s="958"/>
      <c r="L537" s="958"/>
      <c r="M537" s="958"/>
      <c r="N537" s="958"/>
      <c r="O537" s="958"/>
      <c r="P537" s="958"/>
      <c r="Q537" s="875"/>
      <c r="R537" s="915"/>
      <c r="S537" s="875"/>
      <c r="T537" s="958"/>
      <c r="U537" s="958"/>
      <c r="V537" s="958"/>
      <c r="W537" s="958"/>
      <c r="X537" s="958"/>
      <c r="Y537" s="958"/>
    </row>
    <row r="538" spans="1:25" x14ac:dyDescent="0.2">
      <c r="A538" s="909" t="s">
        <v>73</v>
      </c>
      <c r="B538" s="871"/>
      <c r="C538" s="958"/>
      <c r="D538" s="958"/>
      <c r="E538" s="958"/>
      <c r="F538" s="958"/>
      <c r="G538" s="958"/>
      <c r="H538" s="958"/>
      <c r="I538" s="958"/>
      <c r="J538" s="958"/>
      <c r="K538" s="958"/>
      <c r="L538" s="958"/>
      <c r="M538" s="958"/>
      <c r="N538" s="958"/>
      <c r="O538" s="958"/>
      <c r="P538" s="958"/>
      <c r="Q538" s="875"/>
      <c r="R538" s="915"/>
      <c r="S538" s="875"/>
      <c r="T538" s="958"/>
      <c r="U538" s="958"/>
      <c r="V538" s="958"/>
      <c r="W538" s="958"/>
      <c r="X538" s="958"/>
      <c r="Y538" s="958"/>
    </row>
    <row r="539" spans="1:25" x14ac:dyDescent="0.2">
      <c r="A539" s="907" t="s">
        <v>49</v>
      </c>
      <c r="B539" s="871"/>
      <c r="C539" s="128">
        <v>0</v>
      </c>
      <c r="D539" s="128">
        <v>0</v>
      </c>
      <c r="E539" s="128">
        <v>0</v>
      </c>
      <c r="F539" s="128">
        <v>0</v>
      </c>
      <c r="G539" s="128">
        <v>0</v>
      </c>
      <c r="H539" s="128">
        <v>0</v>
      </c>
      <c r="I539" s="128">
        <v>0</v>
      </c>
      <c r="J539" s="128">
        <v>0</v>
      </c>
      <c r="K539" s="128">
        <v>0</v>
      </c>
      <c r="L539" s="128">
        <v>0</v>
      </c>
      <c r="M539" s="128">
        <v>0</v>
      </c>
      <c r="N539" s="128">
        <v>0</v>
      </c>
      <c r="O539" s="143">
        <f>SUM(C539:N539)</f>
        <v>0</v>
      </c>
      <c r="P539" s="143"/>
      <c r="Q539" s="875"/>
      <c r="R539" s="915"/>
      <c r="S539" s="875"/>
      <c r="T539" s="143"/>
      <c r="U539" s="896">
        <f>C539+D539+E539</f>
        <v>0</v>
      </c>
      <c r="V539" s="896">
        <f>F539+G539+H539</f>
        <v>0</v>
      </c>
      <c r="W539" s="896">
        <f>I539+J539+K539</f>
        <v>0</v>
      </c>
      <c r="X539" s="896">
        <f>L539+M539+N539</f>
        <v>0</v>
      </c>
      <c r="Y539" s="880">
        <f>SUM(U539:X539)</f>
        <v>0</v>
      </c>
    </row>
    <row r="540" spans="1:25" x14ac:dyDescent="0.2">
      <c r="A540" s="907" t="s">
        <v>20</v>
      </c>
      <c r="B540" s="871"/>
      <c r="C540" s="270">
        <v>0</v>
      </c>
      <c r="D540" s="270">
        <v>0</v>
      </c>
      <c r="E540" s="270">
        <v>0</v>
      </c>
      <c r="F540" s="270">
        <v>0</v>
      </c>
      <c r="G540" s="270">
        <v>0</v>
      </c>
      <c r="H540" s="270">
        <v>0</v>
      </c>
      <c r="I540" s="270">
        <v>0</v>
      </c>
      <c r="J540" s="270">
        <v>0</v>
      </c>
      <c r="K540" s="270">
        <v>0</v>
      </c>
      <c r="L540" s="270">
        <v>0</v>
      </c>
      <c r="M540" s="270">
        <v>0</v>
      </c>
      <c r="N540" s="270">
        <v>0</v>
      </c>
      <c r="O540" s="963">
        <f>SUM(C540:N540)</f>
        <v>0</v>
      </c>
      <c r="P540" s="963"/>
      <c r="Q540" s="875"/>
      <c r="R540" s="915"/>
      <c r="S540" s="875"/>
      <c r="T540" s="963"/>
      <c r="U540" s="939">
        <f>C540+D540+E540</f>
        <v>0</v>
      </c>
      <c r="V540" s="939">
        <f>F540+G540+H540</f>
        <v>0</v>
      </c>
      <c r="W540" s="939">
        <f>I540+J540+K540</f>
        <v>0</v>
      </c>
      <c r="X540" s="939">
        <f>L540+M540+N540</f>
        <v>0</v>
      </c>
      <c r="Y540" s="938">
        <f>SUM(U540:X540)</f>
        <v>0</v>
      </c>
    </row>
    <row r="541" spans="1:25" x14ac:dyDescent="0.2">
      <c r="A541" s="907" t="s">
        <v>21</v>
      </c>
      <c r="B541" s="871"/>
      <c r="C541" s="938">
        <f t="shared" ref="C541:O541" si="245">SUM(C539:C540)</f>
        <v>0</v>
      </c>
      <c r="D541" s="938">
        <f t="shared" si="245"/>
        <v>0</v>
      </c>
      <c r="E541" s="938">
        <f t="shared" si="245"/>
        <v>0</v>
      </c>
      <c r="F541" s="938">
        <f t="shared" si="245"/>
        <v>0</v>
      </c>
      <c r="G541" s="938">
        <f t="shared" si="245"/>
        <v>0</v>
      </c>
      <c r="H541" s="938">
        <f t="shared" si="245"/>
        <v>0</v>
      </c>
      <c r="I541" s="938">
        <f t="shared" si="245"/>
        <v>0</v>
      </c>
      <c r="J541" s="938">
        <f t="shared" si="245"/>
        <v>0</v>
      </c>
      <c r="K541" s="938">
        <f t="shared" si="245"/>
        <v>0</v>
      </c>
      <c r="L541" s="938">
        <f t="shared" si="245"/>
        <v>0</v>
      </c>
      <c r="M541" s="938">
        <f t="shared" si="245"/>
        <v>0</v>
      </c>
      <c r="N541" s="938">
        <f t="shared" si="245"/>
        <v>0</v>
      </c>
      <c r="O541" s="938">
        <f t="shared" si="245"/>
        <v>0</v>
      </c>
      <c r="P541" s="938"/>
      <c r="Q541" s="875"/>
      <c r="R541" s="915"/>
      <c r="S541" s="875"/>
      <c r="T541" s="896"/>
      <c r="U541" s="938">
        <f>SUM(U539:U540)</f>
        <v>0</v>
      </c>
      <c r="V541" s="938">
        <f>SUM(V539:V540)</f>
        <v>0</v>
      </c>
      <c r="W541" s="938">
        <f>SUM(W539:W540)</f>
        <v>0</v>
      </c>
      <c r="X541" s="938">
        <f>SUM(X539:X540)</f>
        <v>0</v>
      </c>
      <c r="Y541" s="938">
        <f>SUM(Y539:Y540)</f>
        <v>0</v>
      </c>
    </row>
    <row r="542" spans="1:25" ht="3.95" customHeight="1" x14ac:dyDescent="0.2">
      <c r="A542" s="909"/>
      <c r="B542" s="871"/>
      <c r="C542" s="958"/>
      <c r="D542" s="958"/>
      <c r="E542" s="958"/>
      <c r="F542" s="958"/>
      <c r="G542" s="958"/>
      <c r="H542" s="958"/>
      <c r="I542" s="958"/>
      <c r="J542" s="958"/>
      <c r="K542" s="958"/>
      <c r="L542" s="958"/>
      <c r="M542" s="958"/>
      <c r="N542" s="958"/>
      <c r="O542" s="958"/>
      <c r="P542" s="958"/>
      <c r="Q542" s="875"/>
      <c r="R542" s="915"/>
      <c r="S542" s="875"/>
      <c r="T542" s="958"/>
      <c r="U542" s="958"/>
      <c r="V542" s="958"/>
      <c r="W542" s="958"/>
      <c r="X542" s="958"/>
      <c r="Y542" s="958"/>
    </row>
    <row r="543" spans="1:25" x14ac:dyDescent="0.2">
      <c r="A543" s="907" t="s">
        <v>41</v>
      </c>
      <c r="B543" s="871"/>
      <c r="C543" s="128">
        <v>0</v>
      </c>
      <c r="D543" s="128">
        <v>0</v>
      </c>
      <c r="E543" s="128">
        <v>0</v>
      </c>
      <c r="F543" s="128">
        <v>0</v>
      </c>
      <c r="G543" s="128">
        <v>0</v>
      </c>
      <c r="H543" s="128">
        <v>0</v>
      </c>
      <c r="I543" s="128">
        <v>0</v>
      </c>
      <c r="J543" s="128">
        <v>0</v>
      </c>
      <c r="K543" s="128">
        <v>0</v>
      </c>
      <c r="L543" s="128">
        <v>0</v>
      </c>
      <c r="M543" s="128">
        <v>0</v>
      </c>
      <c r="N543" s="128">
        <v>0</v>
      </c>
      <c r="O543" s="143">
        <f>SUM(C543:N543)</f>
        <v>0</v>
      </c>
      <c r="P543" s="143"/>
      <c r="Q543" s="875"/>
      <c r="R543" s="915"/>
      <c r="S543" s="875"/>
      <c r="T543" s="143"/>
      <c r="U543" s="896">
        <f>C543+D543+E543</f>
        <v>0</v>
      </c>
      <c r="V543" s="896">
        <f>F543+G543+H543</f>
        <v>0</v>
      </c>
      <c r="W543" s="896">
        <f>I543+J543+K543</f>
        <v>0</v>
      </c>
      <c r="X543" s="896">
        <f>L543+M543+N543</f>
        <v>0</v>
      </c>
      <c r="Y543" s="880">
        <f>SUM(U543:X543)</f>
        <v>0</v>
      </c>
    </row>
    <row r="544" spans="1:25" x14ac:dyDescent="0.2">
      <c r="A544" s="907" t="s">
        <v>20</v>
      </c>
      <c r="B544" s="871"/>
      <c r="C544" s="270">
        <v>0</v>
      </c>
      <c r="D544" s="270">
        <v>0</v>
      </c>
      <c r="E544" s="270">
        <v>0</v>
      </c>
      <c r="F544" s="270">
        <v>0</v>
      </c>
      <c r="G544" s="270">
        <v>0</v>
      </c>
      <c r="H544" s="270">
        <v>0</v>
      </c>
      <c r="I544" s="270">
        <v>0</v>
      </c>
      <c r="J544" s="270">
        <v>0</v>
      </c>
      <c r="K544" s="270">
        <v>0</v>
      </c>
      <c r="L544" s="270">
        <v>0</v>
      </c>
      <c r="M544" s="270">
        <v>0</v>
      </c>
      <c r="N544" s="270">
        <v>0</v>
      </c>
      <c r="O544" s="963">
        <f>SUM(C544:N544)</f>
        <v>0</v>
      </c>
      <c r="P544" s="963"/>
      <c r="Q544" s="875"/>
      <c r="R544" s="915"/>
      <c r="S544" s="875"/>
      <c r="T544" s="963"/>
      <c r="U544" s="939">
        <f>C544+D544+E544</f>
        <v>0</v>
      </c>
      <c r="V544" s="939">
        <f>F544+G544+H544</f>
        <v>0</v>
      </c>
      <c r="W544" s="939">
        <f>I544+J544+K544</f>
        <v>0</v>
      </c>
      <c r="X544" s="939">
        <f>L544+M544+N544</f>
        <v>0</v>
      </c>
      <c r="Y544" s="938">
        <f>SUM(U544:X544)</f>
        <v>0</v>
      </c>
    </row>
    <row r="545" spans="1:25" x14ac:dyDescent="0.2">
      <c r="A545" s="907" t="s">
        <v>40</v>
      </c>
      <c r="B545" s="871"/>
      <c r="C545" s="938">
        <f t="shared" ref="C545:O545" si="246">SUM(C543:C544)</f>
        <v>0</v>
      </c>
      <c r="D545" s="938">
        <f t="shared" si="246"/>
        <v>0</v>
      </c>
      <c r="E545" s="938">
        <f t="shared" si="246"/>
        <v>0</v>
      </c>
      <c r="F545" s="938">
        <f t="shared" si="246"/>
        <v>0</v>
      </c>
      <c r="G545" s="938">
        <f t="shared" si="246"/>
        <v>0</v>
      </c>
      <c r="H545" s="938">
        <f t="shared" si="246"/>
        <v>0</v>
      </c>
      <c r="I545" s="938">
        <f t="shared" si="246"/>
        <v>0</v>
      </c>
      <c r="J545" s="938">
        <f t="shared" si="246"/>
        <v>0</v>
      </c>
      <c r="K545" s="938">
        <f t="shared" si="246"/>
        <v>0</v>
      </c>
      <c r="L545" s="938">
        <f t="shared" si="246"/>
        <v>0</v>
      </c>
      <c r="M545" s="938">
        <f t="shared" si="246"/>
        <v>0</v>
      </c>
      <c r="N545" s="938">
        <f t="shared" si="246"/>
        <v>0</v>
      </c>
      <c r="O545" s="938">
        <f t="shared" si="246"/>
        <v>0</v>
      </c>
      <c r="P545" s="938"/>
      <c r="Q545" s="875"/>
      <c r="R545" s="915"/>
      <c r="S545" s="875"/>
      <c r="T545" s="896"/>
      <c r="U545" s="938">
        <f>SUM(U543:U544)</f>
        <v>0</v>
      </c>
      <c r="V545" s="938">
        <f>SUM(V543:V544)</f>
        <v>0</v>
      </c>
      <c r="W545" s="938">
        <f>SUM(W543:W544)</f>
        <v>0</v>
      </c>
      <c r="X545" s="938">
        <f>SUM(X543:X544)</f>
        <v>0</v>
      </c>
      <c r="Y545" s="938">
        <f>SUM(Y543:Y544)</f>
        <v>0</v>
      </c>
    </row>
    <row r="546" spans="1:25" ht="3.95" customHeight="1" x14ac:dyDescent="0.2">
      <c r="A546" s="909"/>
      <c r="B546" s="871"/>
      <c r="C546" s="958"/>
      <c r="D546" s="958"/>
      <c r="E546" s="958"/>
      <c r="F546" s="958"/>
      <c r="G546" s="958"/>
      <c r="H546" s="958"/>
      <c r="I546" s="958"/>
      <c r="J546" s="958"/>
      <c r="K546" s="958"/>
      <c r="L546" s="958"/>
      <c r="M546" s="958"/>
      <c r="N546" s="958"/>
      <c r="O546" s="958"/>
      <c r="P546" s="958"/>
      <c r="Q546" s="875"/>
      <c r="R546" s="915"/>
      <c r="S546" s="875"/>
      <c r="T546" s="958"/>
      <c r="U546" s="958"/>
      <c r="V546" s="958"/>
      <c r="W546" s="958"/>
      <c r="X546" s="958"/>
      <c r="Y546" s="958"/>
    </row>
    <row r="547" spans="1:25" x14ac:dyDescent="0.2">
      <c r="A547" s="909" t="s">
        <v>45</v>
      </c>
      <c r="B547" s="871"/>
      <c r="C547" s="958">
        <f>+C541+C545</f>
        <v>0</v>
      </c>
      <c r="D547" s="958">
        <f t="shared" ref="D547:O547" si="247">+D541+D545</f>
        <v>0</v>
      </c>
      <c r="E547" s="958">
        <f t="shared" si="247"/>
        <v>0</v>
      </c>
      <c r="F547" s="958">
        <f t="shared" si="247"/>
        <v>0</v>
      </c>
      <c r="G547" s="958">
        <f t="shared" si="247"/>
        <v>0</v>
      </c>
      <c r="H547" s="958">
        <f t="shared" si="247"/>
        <v>0</v>
      </c>
      <c r="I547" s="958">
        <f t="shared" si="247"/>
        <v>0</v>
      </c>
      <c r="J547" s="958">
        <f t="shared" si="247"/>
        <v>0</v>
      </c>
      <c r="K547" s="958">
        <f t="shared" si="247"/>
        <v>0</v>
      </c>
      <c r="L547" s="958">
        <f t="shared" si="247"/>
        <v>0</v>
      </c>
      <c r="M547" s="958">
        <f t="shared" si="247"/>
        <v>0</v>
      </c>
      <c r="N547" s="958">
        <f t="shared" si="247"/>
        <v>0</v>
      </c>
      <c r="O547" s="958">
        <f t="shared" si="247"/>
        <v>0</v>
      </c>
      <c r="P547" s="958"/>
      <c r="Q547" s="875"/>
      <c r="R547" s="915"/>
      <c r="S547" s="875"/>
      <c r="T547" s="958"/>
      <c r="U547" s="958">
        <f>+U541+U545</f>
        <v>0</v>
      </c>
      <c r="V547" s="958">
        <f>+V541+V545</f>
        <v>0</v>
      </c>
      <c r="W547" s="958">
        <f>+W541+W545</f>
        <v>0</v>
      </c>
      <c r="X547" s="958">
        <f>+X541+X545</f>
        <v>0</v>
      </c>
      <c r="Y547" s="958">
        <f>+Y541+Y545</f>
        <v>0</v>
      </c>
    </row>
    <row r="548" spans="1:25" ht="6" customHeight="1" x14ac:dyDescent="0.2">
      <c r="A548" s="909"/>
      <c r="B548" s="871"/>
      <c r="C548" s="958"/>
      <c r="D548" s="958"/>
      <c r="E548" s="958"/>
      <c r="F548" s="958"/>
      <c r="G548" s="958"/>
      <c r="H548" s="958"/>
      <c r="I548" s="958"/>
      <c r="J548" s="958"/>
      <c r="K548" s="958"/>
      <c r="L548" s="958"/>
      <c r="M548" s="958"/>
      <c r="N548" s="958"/>
      <c r="O548" s="958"/>
      <c r="P548" s="958"/>
      <c r="Q548" s="875"/>
      <c r="R548" s="915"/>
      <c r="S548" s="875"/>
      <c r="T548" s="958"/>
      <c r="U548" s="958"/>
      <c r="V548" s="958"/>
      <c r="W548" s="958"/>
      <c r="X548" s="958"/>
      <c r="Y548" s="958"/>
    </row>
    <row r="549" spans="1:25" x14ac:dyDescent="0.2">
      <c r="A549" s="909" t="s">
        <v>42</v>
      </c>
      <c r="B549" s="871"/>
      <c r="C549" s="958"/>
      <c r="D549" s="958"/>
      <c r="E549" s="958"/>
      <c r="F549" s="958"/>
      <c r="G549" s="958"/>
      <c r="H549" s="958"/>
      <c r="I549" s="958"/>
      <c r="J549" s="958"/>
      <c r="K549" s="958"/>
      <c r="L549" s="958"/>
      <c r="M549" s="958"/>
      <c r="N549" s="958"/>
      <c r="O549" s="958"/>
      <c r="P549" s="958"/>
      <c r="Q549" s="875"/>
      <c r="R549" s="915"/>
      <c r="S549" s="875"/>
      <c r="T549" s="958"/>
      <c r="U549" s="958"/>
      <c r="V549" s="958"/>
      <c r="W549" s="958"/>
      <c r="X549" s="958"/>
      <c r="Y549" s="958"/>
    </row>
    <row r="550" spans="1:25" x14ac:dyDescent="0.2">
      <c r="A550" s="907" t="s">
        <v>41</v>
      </c>
      <c r="B550" s="871"/>
      <c r="C550" s="128">
        <v>0</v>
      </c>
      <c r="D550" s="128">
        <v>0</v>
      </c>
      <c r="E550" s="128">
        <v>0</v>
      </c>
      <c r="F550" s="128">
        <v>0</v>
      </c>
      <c r="G550" s="128">
        <v>0</v>
      </c>
      <c r="H550" s="128">
        <v>0</v>
      </c>
      <c r="I550" s="128">
        <v>0</v>
      </c>
      <c r="J550" s="128">
        <v>0</v>
      </c>
      <c r="K550" s="128">
        <v>0</v>
      </c>
      <c r="L550" s="128">
        <v>0</v>
      </c>
      <c r="M550" s="128">
        <v>0</v>
      </c>
      <c r="N550" s="128">
        <v>0</v>
      </c>
      <c r="O550" s="143">
        <f>SUM(C550:N550)</f>
        <v>0</v>
      </c>
      <c r="P550" s="143"/>
      <c r="Q550" s="875"/>
      <c r="R550" s="915"/>
      <c r="S550" s="875"/>
      <c r="T550" s="143"/>
      <c r="U550" s="896">
        <f>C550+D550+E550</f>
        <v>0</v>
      </c>
      <c r="V550" s="896">
        <f>F550+G550+H550</f>
        <v>0</v>
      </c>
      <c r="W550" s="896">
        <f>I550+J550+K550</f>
        <v>0</v>
      </c>
      <c r="X550" s="896">
        <f>L550+M550+N550</f>
        <v>0</v>
      </c>
      <c r="Y550" s="880">
        <f>SUM(U550:X550)</f>
        <v>0</v>
      </c>
    </row>
    <row r="551" spans="1:25" x14ac:dyDescent="0.2">
      <c r="A551" s="907" t="s">
        <v>423</v>
      </c>
      <c r="B551" s="871"/>
      <c r="C551" s="128">
        <v>0</v>
      </c>
      <c r="D551" s="128">
        <v>0</v>
      </c>
      <c r="E551" s="128">
        <v>0</v>
      </c>
      <c r="F551" s="128">
        <v>0</v>
      </c>
      <c r="G551" s="128">
        <v>0</v>
      </c>
      <c r="H551" s="128">
        <v>0</v>
      </c>
      <c r="I551" s="128">
        <v>0</v>
      </c>
      <c r="J551" s="128">
        <v>0</v>
      </c>
      <c r="K551" s="128">
        <v>0</v>
      </c>
      <c r="L551" s="128">
        <v>0</v>
      </c>
      <c r="M551" s="128">
        <v>0</v>
      </c>
      <c r="N551" s="128">
        <v>0</v>
      </c>
      <c r="O551" s="143">
        <f>SUM(C551:N551)</f>
        <v>0</v>
      </c>
      <c r="P551" s="143"/>
      <c r="Q551" s="875"/>
      <c r="R551" s="915"/>
      <c r="S551" s="875"/>
      <c r="T551" s="143"/>
      <c r="U551" s="896">
        <f>C551+D551+E551</f>
        <v>0</v>
      </c>
      <c r="V551" s="896">
        <f>F551+G551+H551</f>
        <v>0</v>
      </c>
      <c r="W551" s="896">
        <f>I551+J551+K551</f>
        <v>0</v>
      </c>
      <c r="X551" s="896">
        <f>L551+M551+N551</f>
        <v>0</v>
      </c>
      <c r="Y551" s="880">
        <f>SUM(U551:X551)</f>
        <v>0</v>
      </c>
    </row>
    <row r="552" spans="1:25" x14ac:dyDescent="0.2">
      <c r="A552" s="907" t="s">
        <v>20</v>
      </c>
      <c r="B552" s="871"/>
      <c r="C552" s="270">
        <v>0</v>
      </c>
      <c r="D552" s="270">
        <v>0</v>
      </c>
      <c r="E552" s="270">
        <v>0</v>
      </c>
      <c r="F552" s="270">
        <v>0</v>
      </c>
      <c r="G552" s="270">
        <v>0</v>
      </c>
      <c r="H552" s="270">
        <v>0</v>
      </c>
      <c r="I552" s="270">
        <v>0</v>
      </c>
      <c r="J552" s="270">
        <v>0</v>
      </c>
      <c r="K552" s="270">
        <v>0</v>
      </c>
      <c r="L552" s="270">
        <v>0</v>
      </c>
      <c r="M552" s="270">
        <v>0</v>
      </c>
      <c r="N552" s="270">
        <v>0</v>
      </c>
      <c r="O552" s="963">
        <f>SUM(C552:N552)</f>
        <v>0</v>
      </c>
      <c r="P552" s="963"/>
      <c r="Q552" s="875"/>
      <c r="R552" s="915"/>
      <c r="S552" s="875"/>
      <c r="T552" s="963"/>
      <c r="U552" s="939">
        <f>C552+D552+E552</f>
        <v>0</v>
      </c>
      <c r="V552" s="939">
        <f>F552+G552+H552</f>
        <v>0</v>
      </c>
      <c r="W552" s="939">
        <f>I552+J552+K552</f>
        <v>0</v>
      </c>
      <c r="X552" s="939">
        <f>L552+M552+N552</f>
        <v>0</v>
      </c>
      <c r="Y552" s="938">
        <f>SUM(U552:X552)</f>
        <v>0</v>
      </c>
    </row>
    <row r="553" spans="1:25" x14ac:dyDescent="0.2">
      <c r="A553" s="907" t="s">
        <v>40</v>
      </c>
      <c r="B553" s="871"/>
      <c r="C553" s="938">
        <f t="shared" ref="C553:O553" si="248">SUM(C550:C552)</f>
        <v>0</v>
      </c>
      <c r="D553" s="938">
        <f t="shared" si="248"/>
        <v>0</v>
      </c>
      <c r="E553" s="938">
        <f t="shared" si="248"/>
        <v>0</v>
      </c>
      <c r="F553" s="938">
        <f t="shared" si="248"/>
        <v>0</v>
      </c>
      <c r="G553" s="938">
        <f t="shared" si="248"/>
        <v>0</v>
      </c>
      <c r="H553" s="938">
        <f t="shared" si="248"/>
        <v>0</v>
      </c>
      <c r="I553" s="938">
        <f t="shared" si="248"/>
        <v>0</v>
      </c>
      <c r="J553" s="938">
        <f t="shared" si="248"/>
        <v>0</v>
      </c>
      <c r="K553" s="938">
        <f t="shared" si="248"/>
        <v>0</v>
      </c>
      <c r="L553" s="938">
        <f t="shared" si="248"/>
        <v>0</v>
      </c>
      <c r="M553" s="938">
        <f t="shared" si="248"/>
        <v>0</v>
      </c>
      <c r="N553" s="938">
        <f t="shared" si="248"/>
        <v>0</v>
      </c>
      <c r="O553" s="938">
        <f t="shared" si="248"/>
        <v>0</v>
      </c>
      <c r="P553" s="938"/>
      <c r="Q553" s="875"/>
      <c r="R553" s="915"/>
      <c r="S553" s="875"/>
      <c r="T553" s="896"/>
      <c r="U553" s="938">
        <f>SUM(U550:U552)</f>
        <v>0</v>
      </c>
      <c r="V553" s="938">
        <f>SUM(V550:V552)</f>
        <v>0</v>
      </c>
      <c r="W553" s="938">
        <f>SUM(W550:W552)</f>
        <v>0</v>
      </c>
      <c r="X553" s="938">
        <f>SUM(X550:X552)</f>
        <v>0</v>
      </c>
      <c r="Y553" s="938">
        <f>SUM(Y550:Y552)</f>
        <v>0</v>
      </c>
    </row>
    <row r="554" spans="1:25" ht="3.95" customHeight="1" x14ac:dyDescent="0.2">
      <c r="A554" s="909"/>
      <c r="B554" s="871"/>
      <c r="C554" s="958"/>
      <c r="D554" s="958"/>
      <c r="E554" s="958"/>
      <c r="F554" s="958"/>
      <c r="G554" s="958"/>
      <c r="H554" s="958"/>
      <c r="I554" s="958"/>
      <c r="J554" s="958"/>
      <c r="K554" s="958"/>
      <c r="L554" s="958"/>
      <c r="M554" s="958"/>
      <c r="N554" s="958"/>
      <c r="O554" s="958"/>
      <c r="P554" s="958"/>
      <c r="Q554" s="875"/>
      <c r="R554" s="915"/>
      <c r="S554" s="875"/>
      <c r="T554" s="958"/>
      <c r="U554" s="958"/>
      <c r="V554" s="958"/>
      <c r="W554" s="958"/>
      <c r="X554" s="958"/>
      <c r="Y554" s="958"/>
    </row>
    <row r="555" spans="1:25" x14ac:dyDescent="0.2">
      <c r="A555" s="909" t="s">
        <v>46</v>
      </c>
      <c r="B555" s="871"/>
      <c r="C555" s="958">
        <f>+C553</f>
        <v>0</v>
      </c>
      <c r="D555" s="958">
        <f t="shared" ref="D555:O555" si="249">+D553</f>
        <v>0</v>
      </c>
      <c r="E555" s="958">
        <f t="shared" si="249"/>
        <v>0</v>
      </c>
      <c r="F555" s="958">
        <f t="shared" si="249"/>
        <v>0</v>
      </c>
      <c r="G555" s="958">
        <f t="shared" si="249"/>
        <v>0</v>
      </c>
      <c r="H555" s="958">
        <f t="shared" si="249"/>
        <v>0</v>
      </c>
      <c r="I555" s="958">
        <f t="shared" si="249"/>
        <v>0</v>
      </c>
      <c r="J555" s="958">
        <f t="shared" si="249"/>
        <v>0</v>
      </c>
      <c r="K555" s="958">
        <f t="shared" si="249"/>
        <v>0</v>
      </c>
      <c r="L555" s="958">
        <f t="shared" si="249"/>
        <v>0</v>
      </c>
      <c r="M555" s="958">
        <f t="shared" si="249"/>
        <v>0</v>
      </c>
      <c r="N555" s="958">
        <f t="shared" si="249"/>
        <v>0</v>
      </c>
      <c r="O555" s="958">
        <f t="shared" si="249"/>
        <v>0</v>
      </c>
      <c r="P555" s="958"/>
      <c r="Q555" s="875"/>
      <c r="R555" s="915"/>
      <c r="S555" s="875"/>
      <c r="T555" s="958"/>
      <c r="U555" s="958">
        <f>+U553</f>
        <v>0</v>
      </c>
      <c r="V555" s="958">
        <f>+V553</f>
        <v>0</v>
      </c>
      <c r="W555" s="958">
        <f>+W553</f>
        <v>0</v>
      </c>
      <c r="X555" s="958">
        <f>+X553</f>
        <v>0</v>
      </c>
      <c r="Y555" s="958">
        <f>+Y553</f>
        <v>0</v>
      </c>
    </row>
    <row r="556" spans="1:25" ht="6" customHeight="1" x14ac:dyDescent="0.2">
      <c r="A556" s="909"/>
      <c r="B556" s="871"/>
      <c r="C556" s="958"/>
      <c r="D556" s="958"/>
      <c r="E556" s="958"/>
      <c r="F556" s="958"/>
      <c r="G556" s="958"/>
      <c r="H556" s="958"/>
      <c r="I556" s="958"/>
      <c r="J556" s="958"/>
      <c r="K556" s="958"/>
      <c r="L556" s="958"/>
      <c r="M556" s="958"/>
      <c r="N556" s="958"/>
      <c r="O556" s="958"/>
      <c r="P556" s="958"/>
      <c r="Q556" s="875"/>
      <c r="R556" s="915"/>
      <c r="S556" s="875"/>
      <c r="T556" s="958"/>
      <c r="U556" s="958"/>
      <c r="V556" s="958"/>
      <c r="W556" s="958"/>
      <c r="X556" s="958"/>
      <c r="Y556" s="958"/>
    </row>
    <row r="557" spans="1:25" x14ac:dyDescent="0.2">
      <c r="A557" s="909" t="s">
        <v>1029</v>
      </c>
      <c r="B557" s="871"/>
      <c r="C557" s="958"/>
      <c r="D557" s="958"/>
      <c r="E557" s="958"/>
      <c r="F557" s="958"/>
      <c r="G557" s="958"/>
      <c r="H557" s="958"/>
      <c r="I557" s="958"/>
      <c r="J557" s="958"/>
      <c r="K557" s="958"/>
      <c r="L557" s="958"/>
      <c r="M557" s="958"/>
      <c r="N557" s="958"/>
      <c r="O557" s="958"/>
      <c r="P557" s="958"/>
      <c r="Q557" s="875"/>
      <c r="R557" s="915"/>
      <c r="S557" s="875"/>
      <c r="T557" s="958"/>
      <c r="U557" s="958"/>
      <c r="V557" s="958"/>
      <c r="W557" s="958"/>
      <c r="X557" s="958"/>
      <c r="Y557" s="958"/>
    </row>
    <row r="558" spans="1:25" x14ac:dyDescent="0.2">
      <c r="A558" s="907" t="s">
        <v>41</v>
      </c>
      <c r="B558" s="871"/>
      <c r="C558" s="128">
        <v>0</v>
      </c>
      <c r="D558" s="128">
        <v>0</v>
      </c>
      <c r="E558" s="128">
        <v>0</v>
      </c>
      <c r="F558" s="128">
        <v>0</v>
      </c>
      <c r="G558" s="128">
        <v>0</v>
      </c>
      <c r="H558" s="128">
        <v>0</v>
      </c>
      <c r="I558" s="128">
        <v>0</v>
      </c>
      <c r="J558" s="128">
        <v>0</v>
      </c>
      <c r="K558" s="128">
        <v>0</v>
      </c>
      <c r="L558" s="128">
        <v>0</v>
      </c>
      <c r="M558" s="128">
        <v>0</v>
      </c>
      <c r="N558" s="128">
        <v>0</v>
      </c>
      <c r="O558" s="143">
        <f>SUM(C558:N558)</f>
        <v>0</v>
      </c>
      <c r="P558" s="143"/>
      <c r="Q558" s="875"/>
      <c r="R558" s="915"/>
      <c r="S558" s="875"/>
      <c r="T558" s="143"/>
      <c r="U558" s="896">
        <f>C558+D558+E558</f>
        <v>0</v>
      </c>
      <c r="V558" s="896">
        <f>F558+G558+H558</f>
        <v>0</v>
      </c>
      <c r="W558" s="896">
        <f>I558+J558+K558</f>
        <v>0</v>
      </c>
      <c r="X558" s="896">
        <f>L558+M558+N558</f>
        <v>0</v>
      </c>
      <c r="Y558" s="880">
        <f>SUM(U558:X558)</f>
        <v>0</v>
      </c>
    </row>
    <row r="559" spans="1:25" x14ac:dyDescent="0.2">
      <c r="A559" s="907" t="s">
        <v>20</v>
      </c>
      <c r="B559" s="871"/>
      <c r="C559" s="270">
        <v>0</v>
      </c>
      <c r="D559" s="270">
        <v>0</v>
      </c>
      <c r="E559" s="270">
        <v>0</v>
      </c>
      <c r="F559" s="270">
        <v>0</v>
      </c>
      <c r="G559" s="270">
        <v>0</v>
      </c>
      <c r="H559" s="270">
        <v>0</v>
      </c>
      <c r="I559" s="270">
        <v>0</v>
      </c>
      <c r="J559" s="270">
        <v>0</v>
      </c>
      <c r="K559" s="270">
        <v>0</v>
      </c>
      <c r="L559" s="270">
        <v>0</v>
      </c>
      <c r="M559" s="270">
        <v>0</v>
      </c>
      <c r="N559" s="270">
        <v>0</v>
      </c>
      <c r="O559" s="963">
        <f>SUM(C559:N559)</f>
        <v>0</v>
      </c>
      <c r="P559" s="963"/>
      <c r="Q559" s="875"/>
      <c r="R559" s="915"/>
      <c r="S559" s="875"/>
      <c r="T559" s="963"/>
      <c r="U559" s="939">
        <f>C559+D559+E559</f>
        <v>0</v>
      </c>
      <c r="V559" s="939">
        <f>F559+G559+H559</f>
        <v>0</v>
      </c>
      <c r="W559" s="939">
        <f>I559+J559+K559</f>
        <v>0</v>
      </c>
      <c r="X559" s="939">
        <f>L559+M559+N559</f>
        <v>0</v>
      </c>
      <c r="Y559" s="938">
        <f>SUM(U559:X559)</f>
        <v>0</v>
      </c>
    </row>
    <row r="560" spans="1:25" x14ac:dyDescent="0.2">
      <c r="A560" s="907" t="s">
        <v>40</v>
      </c>
      <c r="B560" s="871"/>
      <c r="C560" s="938">
        <f t="shared" ref="C560:O560" si="250">SUM(C558:C559)</f>
        <v>0</v>
      </c>
      <c r="D560" s="938">
        <f t="shared" si="250"/>
        <v>0</v>
      </c>
      <c r="E560" s="938">
        <f t="shared" si="250"/>
        <v>0</v>
      </c>
      <c r="F560" s="938">
        <f t="shared" si="250"/>
        <v>0</v>
      </c>
      <c r="G560" s="938">
        <f t="shared" si="250"/>
        <v>0</v>
      </c>
      <c r="H560" s="938">
        <f t="shared" si="250"/>
        <v>0</v>
      </c>
      <c r="I560" s="938">
        <f t="shared" si="250"/>
        <v>0</v>
      </c>
      <c r="J560" s="938">
        <f t="shared" si="250"/>
        <v>0</v>
      </c>
      <c r="K560" s="938">
        <f t="shared" si="250"/>
        <v>0</v>
      </c>
      <c r="L560" s="938">
        <f t="shared" si="250"/>
        <v>0</v>
      </c>
      <c r="M560" s="938">
        <f t="shared" si="250"/>
        <v>0</v>
      </c>
      <c r="N560" s="938">
        <f t="shared" si="250"/>
        <v>0</v>
      </c>
      <c r="O560" s="938">
        <f t="shared" si="250"/>
        <v>0</v>
      </c>
      <c r="P560" s="938"/>
      <c r="Q560" s="875"/>
      <c r="R560" s="915"/>
      <c r="S560" s="875"/>
      <c r="T560" s="896"/>
      <c r="U560" s="938">
        <f>SUM(U558:U559)</f>
        <v>0</v>
      </c>
      <c r="V560" s="938">
        <f>SUM(V558:V559)</f>
        <v>0</v>
      </c>
      <c r="W560" s="938">
        <f>SUM(W558:W559)</f>
        <v>0</v>
      </c>
      <c r="X560" s="938">
        <f>SUM(X558:X559)</f>
        <v>0</v>
      </c>
      <c r="Y560" s="938">
        <f>SUM(Y558:Y559)</f>
        <v>0</v>
      </c>
    </row>
    <row r="561" spans="1:25" ht="6" customHeight="1" x14ac:dyDescent="0.2">
      <c r="A561" s="909"/>
      <c r="B561" s="871"/>
      <c r="C561" s="958"/>
      <c r="D561" s="958"/>
      <c r="E561" s="958"/>
      <c r="F561" s="958"/>
      <c r="G561" s="958"/>
      <c r="H561" s="958"/>
      <c r="I561" s="958"/>
      <c r="J561" s="958"/>
      <c r="K561" s="958"/>
      <c r="L561" s="958"/>
      <c r="M561" s="958"/>
      <c r="N561" s="958"/>
      <c r="O561" s="958"/>
      <c r="P561" s="958"/>
      <c r="Q561" s="875"/>
      <c r="R561" s="915"/>
      <c r="S561" s="875"/>
      <c r="T561" s="958"/>
      <c r="U561" s="958"/>
      <c r="V561" s="958"/>
      <c r="W561" s="958"/>
      <c r="X561" s="958"/>
      <c r="Y561" s="958"/>
    </row>
    <row r="562" spans="1:25" x14ac:dyDescent="0.2">
      <c r="A562" s="909" t="s">
        <v>47</v>
      </c>
      <c r="B562" s="871"/>
      <c r="C562" s="958">
        <f>+C560</f>
        <v>0</v>
      </c>
      <c r="D562" s="958">
        <f t="shared" ref="D562:O562" si="251">+D560</f>
        <v>0</v>
      </c>
      <c r="E562" s="958">
        <f t="shared" si="251"/>
        <v>0</v>
      </c>
      <c r="F562" s="958">
        <f t="shared" si="251"/>
        <v>0</v>
      </c>
      <c r="G562" s="958">
        <f t="shared" si="251"/>
        <v>0</v>
      </c>
      <c r="H562" s="958">
        <f t="shared" si="251"/>
        <v>0</v>
      </c>
      <c r="I562" s="958">
        <f t="shared" si="251"/>
        <v>0</v>
      </c>
      <c r="J562" s="958">
        <f t="shared" si="251"/>
        <v>0</v>
      </c>
      <c r="K562" s="958">
        <f t="shared" si="251"/>
        <v>0</v>
      </c>
      <c r="L562" s="958">
        <f t="shared" si="251"/>
        <v>0</v>
      </c>
      <c r="M562" s="958">
        <f t="shared" si="251"/>
        <v>0</v>
      </c>
      <c r="N562" s="958">
        <f t="shared" si="251"/>
        <v>0</v>
      </c>
      <c r="O562" s="958">
        <f t="shared" si="251"/>
        <v>0</v>
      </c>
      <c r="P562" s="958"/>
      <c r="Q562" s="875"/>
      <c r="R562" s="915"/>
      <c r="S562" s="875"/>
      <c r="T562" s="958"/>
      <c r="U562" s="958">
        <f>+U560</f>
        <v>0</v>
      </c>
      <c r="V562" s="958">
        <f>+V560</f>
        <v>0</v>
      </c>
      <c r="W562" s="958">
        <f>+W560</f>
        <v>0</v>
      </c>
      <c r="X562" s="958">
        <f>+X560</f>
        <v>0</v>
      </c>
      <c r="Y562" s="958">
        <f>+Y560</f>
        <v>0</v>
      </c>
    </row>
    <row r="563" spans="1:25" ht="6" customHeight="1" x14ac:dyDescent="0.2">
      <c r="A563" s="909"/>
      <c r="B563" s="871"/>
      <c r="C563" s="958"/>
      <c r="D563" s="958"/>
      <c r="E563" s="958"/>
      <c r="F563" s="958"/>
      <c r="G563" s="958"/>
      <c r="H563" s="958"/>
      <c r="I563" s="958"/>
      <c r="J563" s="958"/>
      <c r="K563" s="958"/>
      <c r="L563" s="958"/>
      <c r="M563" s="958"/>
      <c r="N563" s="958"/>
      <c r="O563" s="958"/>
      <c r="P563" s="958"/>
      <c r="Q563" s="875"/>
      <c r="R563" s="915"/>
      <c r="S563" s="875"/>
      <c r="T563" s="958"/>
      <c r="U563" s="958"/>
      <c r="V563" s="958"/>
      <c r="W563" s="958"/>
      <c r="X563" s="958"/>
      <c r="Y563" s="958"/>
    </row>
    <row r="564" spans="1:25" x14ac:dyDescent="0.2">
      <c r="A564" s="909" t="s">
        <v>43</v>
      </c>
      <c r="B564" s="871"/>
      <c r="C564" s="958"/>
      <c r="D564" s="958"/>
      <c r="E564" s="958"/>
      <c r="F564" s="958"/>
      <c r="G564" s="958"/>
      <c r="H564" s="958"/>
      <c r="I564" s="958"/>
      <c r="J564" s="958"/>
      <c r="K564" s="958"/>
      <c r="L564" s="958"/>
      <c r="M564" s="958"/>
      <c r="N564" s="958"/>
      <c r="O564" s="958"/>
      <c r="P564" s="958"/>
      <c r="Q564" s="875"/>
      <c r="R564" s="915"/>
      <c r="S564" s="875"/>
      <c r="T564" s="958"/>
      <c r="U564" s="958"/>
      <c r="V564" s="958"/>
      <c r="W564" s="958"/>
      <c r="X564" s="958"/>
      <c r="Y564" s="958"/>
    </row>
    <row r="565" spans="1:25" x14ac:dyDescent="0.2">
      <c r="A565" s="907" t="s">
        <v>41</v>
      </c>
      <c r="B565" s="871"/>
      <c r="C565" s="128">
        <v>0</v>
      </c>
      <c r="D565" s="128">
        <v>0</v>
      </c>
      <c r="E565" s="128">
        <v>0</v>
      </c>
      <c r="F565" s="128">
        <v>0</v>
      </c>
      <c r="G565" s="128">
        <v>0</v>
      </c>
      <c r="H565" s="128">
        <v>0</v>
      </c>
      <c r="I565" s="128">
        <v>0</v>
      </c>
      <c r="J565" s="128">
        <v>0</v>
      </c>
      <c r="K565" s="128">
        <v>0</v>
      </c>
      <c r="L565" s="128">
        <v>0</v>
      </c>
      <c r="M565" s="128">
        <v>0</v>
      </c>
      <c r="N565" s="128">
        <v>0</v>
      </c>
      <c r="O565" s="143">
        <f>SUM(C565:N565)</f>
        <v>0</v>
      </c>
      <c r="P565" s="143"/>
      <c r="Q565" s="875"/>
      <c r="R565" s="915"/>
      <c r="S565" s="875"/>
      <c r="T565" s="143"/>
      <c r="U565" s="896">
        <f>C565+D565+E565</f>
        <v>0</v>
      </c>
      <c r="V565" s="896">
        <f>F565+G565+H565</f>
        <v>0</v>
      </c>
      <c r="W565" s="896">
        <f>I565+J565+K565</f>
        <v>0</v>
      </c>
      <c r="X565" s="896">
        <f>L565+M565+N565</f>
        <v>0</v>
      </c>
      <c r="Y565" s="880">
        <f>SUM(U565:X565)</f>
        <v>0</v>
      </c>
    </row>
    <row r="566" spans="1:25" x14ac:dyDescent="0.2">
      <c r="A566" s="907" t="s">
        <v>20</v>
      </c>
      <c r="B566" s="871"/>
      <c r="C566" s="270">
        <v>0</v>
      </c>
      <c r="D566" s="270">
        <v>0</v>
      </c>
      <c r="E566" s="270">
        <v>0</v>
      </c>
      <c r="F566" s="270">
        <v>0</v>
      </c>
      <c r="G566" s="270">
        <v>0</v>
      </c>
      <c r="H566" s="270">
        <v>0</v>
      </c>
      <c r="I566" s="270">
        <v>0</v>
      </c>
      <c r="J566" s="270">
        <v>0</v>
      </c>
      <c r="K566" s="270">
        <v>0</v>
      </c>
      <c r="L566" s="270">
        <v>0</v>
      </c>
      <c r="M566" s="270">
        <v>0</v>
      </c>
      <c r="N566" s="270">
        <v>0</v>
      </c>
      <c r="O566" s="963">
        <f>SUM(C566:N566)</f>
        <v>0</v>
      </c>
      <c r="P566" s="963"/>
      <c r="Q566" s="875"/>
      <c r="R566" s="915"/>
      <c r="S566" s="875"/>
      <c r="T566" s="963"/>
      <c r="U566" s="939">
        <f>C566+D566+E566</f>
        <v>0</v>
      </c>
      <c r="V566" s="939">
        <f>F566+G566+H566</f>
        <v>0</v>
      </c>
      <c r="W566" s="939">
        <f>I566+J566+K566</f>
        <v>0</v>
      </c>
      <c r="X566" s="939">
        <f>L566+M566+N566</f>
        <v>0</v>
      </c>
      <c r="Y566" s="938">
        <f>SUM(U566:X566)</f>
        <v>0</v>
      </c>
    </row>
    <row r="567" spans="1:25" x14ac:dyDescent="0.2">
      <c r="A567" s="907" t="s">
        <v>40</v>
      </c>
      <c r="B567" s="871"/>
      <c r="C567" s="938">
        <f t="shared" ref="C567:O567" si="252">SUM(C565:C566)</f>
        <v>0</v>
      </c>
      <c r="D567" s="938">
        <f t="shared" si="252"/>
        <v>0</v>
      </c>
      <c r="E567" s="938">
        <f t="shared" si="252"/>
        <v>0</v>
      </c>
      <c r="F567" s="938">
        <f t="shared" si="252"/>
        <v>0</v>
      </c>
      <c r="G567" s="938">
        <f t="shared" si="252"/>
        <v>0</v>
      </c>
      <c r="H567" s="938">
        <f t="shared" si="252"/>
        <v>0</v>
      </c>
      <c r="I567" s="938">
        <f t="shared" si="252"/>
        <v>0</v>
      </c>
      <c r="J567" s="938">
        <f t="shared" si="252"/>
        <v>0</v>
      </c>
      <c r="K567" s="938">
        <f t="shared" si="252"/>
        <v>0</v>
      </c>
      <c r="L567" s="938">
        <f t="shared" si="252"/>
        <v>0</v>
      </c>
      <c r="M567" s="938">
        <f t="shared" si="252"/>
        <v>0</v>
      </c>
      <c r="N567" s="938">
        <f t="shared" si="252"/>
        <v>0</v>
      </c>
      <c r="O567" s="938">
        <f t="shared" si="252"/>
        <v>0</v>
      </c>
      <c r="P567" s="938"/>
      <c r="Q567" s="875"/>
      <c r="R567" s="915"/>
      <c r="S567" s="875"/>
      <c r="T567" s="896"/>
      <c r="U567" s="938">
        <f>SUM(U565:U566)</f>
        <v>0</v>
      </c>
      <c r="V567" s="938">
        <f>SUM(V565:V566)</f>
        <v>0</v>
      </c>
      <c r="W567" s="938">
        <f>SUM(W565:W566)</f>
        <v>0</v>
      </c>
      <c r="X567" s="938">
        <f>SUM(X565:X566)</f>
        <v>0</v>
      </c>
      <c r="Y567" s="938">
        <f>SUM(Y565:Y566)</f>
        <v>0</v>
      </c>
    </row>
    <row r="568" spans="1:25" ht="3.95" customHeight="1" x14ac:dyDescent="0.2">
      <c r="A568" s="909"/>
      <c r="B568" s="871"/>
      <c r="C568" s="958"/>
      <c r="D568" s="958"/>
      <c r="E568" s="958"/>
      <c r="F568" s="958"/>
      <c r="G568" s="958"/>
      <c r="H568" s="958"/>
      <c r="I568" s="958"/>
      <c r="J568" s="958"/>
      <c r="K568" s="958"/>
      <c r="L568" s="958"/>
      <c r="M568" s="958"/>
      <c r="N568" s="958"/>
      <c r="O568" s="958"/>
      <c r="P568" s="958"/>
      <c r="Q568" s="875"/>
      <c r="R568" s="915"/>
      <c r="S568" s="875"/>
      <c r="T568" s="958"/>
      <c r="U568" s="958"/>
      <c r="V568" s="958"/>
      <c r="W568" s="958"/>
      <c r="X568" s="958"/>
      <c r="Y568" s="958"/>
    </row>
    <row r="569" spans="1:25" x14ac:dyDescent="0.2">
      <c r="A569" s="909" t="s">
        <v>48</v>
      </c>
      <c r="B569" s="871"/>
      <c r="C569" s="958">
        <f>+C567</f>
        <v>0</v>
      </c>
      <c r="D569" s="958">
        <f t="shared" ref="D569:O569" si="253">+D567</f>
        <v>0</v>
      </c>
      <c r="E569" s="958">
        <f t="shared" si="253"/>
        <v>0</v>
      </c>
      <c r="F569" s="958">
        <f t="shared" si="253"/>
        <v>0</v>
      </c>
      <c r="G569" s="958">
        <f t="shared" si="253"/>
        <v>0</v>
      </c>
      <c r="H569" s="958">
        <f t="shared" si="253"/>
        <v>0</v>
      </c>
      <c r="I569" s="958">
        <f t="shared" si="253"/>
        <v>0</v>
      </c>
      <c r="J569" s="958">
        <f t="shared" si="253"/>
        <v>0</v>
      </c>
      <c r="K569" s="958">
        <f t="shared" si="253"/>
        <v>0</v>
      </c>
      <c r="L569" s="958">
        <f t="shared" si="253"/>
        <v>0</v>
      </c>
      <c r="M569" s="958">
        <f t="shared" si="253"/>
        <v>0</v>
      </c>
      <c r="N569" s="958">
        <f t="shared" si="253"/>
        <v>0</v>
      </c>
      <c r="O569" s="958">
        <f t="shared" si="253"/>
        <v>0</v>
      </c>
      <c r="P569" s="958"/>
      <c r="Q569" s="875"/>
      <c r="R569" s="915"/>
      <c r="S569" s="875"/>
      <c r="T569" s="958"/>
      <c r="U569" s="958">
        <f>+U567</f>
        <v>0</v>
      </c>
      <c r="V569" s="958">
        <f>+V567</f>
        <v>0</v>
      </c>
      <c r="W569" s="958">
        <f>+W567</f>
        <v>0</v>
      </c>
      <c r="X569" s="958">
        <f>+X567</f>
        <v>0</v>
      </c>
      <c r="Y569" s="958">
        <f>+Y567</f>
        <v>0</v>
      </c>
    </row>
    <row r="570" spans="1:25" ht="6" customHeight="1" x14ac:dyDescent="0.2">
      <c r="A570" s="909"/>
      <c r="B570" s="871"/>
      <c r="C570" s="958"/>
      <c r="D570" s="958"/>
      <c r="E570" s="958"/>
      <c r="F570" s="958"/>
      <c r="G570" s="958"/>
      <c r="H570" s="958"/>
      <c r="I570" s="958"/>
      <c r="J570" s="958"/>
      <c r="K570" s="958"/>
      <c r="L570" s="958"/>
      <c r="M570" s="958"/>
      <c r="N570" s="958"/>
      <c r="O570" s="958"/>
      <c r="P570" s="958"/>
      <c r="Q570" s="875"/>
      <c r="R570" s="915"/>
      <c r="S570" s="875"/>
      <c r="T570" s="958"/>
      <c r="U570" s="958"/>
      <c r="V570" s="958"/>
      <c r="W570" s="958"/>
      <c r="X570" s="958"/>
      <c r="Y570" s="958"/>
    </row>
    <row r="571" spans="1:25" x14ac:dyDescent="0.2">
      <c r="A571" s="909" t="s">
        <v>50</v>
      </c>
      <c r="B571" s="871"/>
      <c r="C571" s="958">
        <f>+C510+C524+C532+C539+C543+C550+C558+C565</f>
        <v>0</v>
      </c>
      <c r="D571" s="958">
        <f>+D510+D524+D532+D539+D543+D550+D558+D565</f>
        <v>0</v>
      </c>
      <c r="E571" s="958">
        <f t="shared" ref="E571:O571" si="254">+E510+E524+E532+E539+E543+E550+E558+E565</f>
        <v>0</v>
      </c>
      <c r="F571" s="958">
        <f t="shared" si="254"/>
        <v>0</v>
      </c>
      <c r="G571" s="958">
        <f t="shared" si="254"/>
        <v>0</v>
      </c>
      <c r="H571" s="958">
        <f t="shared" si="254"/>
        <v>0</v>
      </c>
      <c r="I571" s="958">
        <f t="shared" si="254"/>
        <v>0</v>
      </c>
      <c r="J571" s="958">
        <f t="shared" si="254"/>
        <v>0</v>
      </c>
      <c r="K571" s="958">
        <f t="shared" si="254"/>
        <v>0</v>
      </c>
      <c r="L571" s="958">
        <f t="shared" si="254"/>
        <v>0</v>
      </c>
      <c r="M571" s="958">
        <f t="shared" si="254"/>
        <v>0</v>
      </c>
      <c r="N571" s="958">
        <f t="shared" si="254"/>
        <v>0</v>
      </c>
      <c r="O571" s="958">
        <f t="shared" si="254"/>
        <v>0</v>
      </c>
      <c r="P571" s="958"/>
      <c r="Q571" s="875"/>
      <c r="R571" s="915"/>
      <c r="S571" s="875"/>
      <c r="T571" s="958"/>
      <c r="U571" s="958">
        <f>+U510+U524+U532+U539+U543+U550+U558+U565</f>
        <v>0</v>
      </c>
      <c r="V571" s="958">
        <f>+V510+V524+V532+V539+V543+V550+V558+V565</f>
        <v>0</v>
      </c>
      <c r="W571" s="958">
        <f>+W510+W524+W532+W539+W543+W550+W558+W565</f>
        <v>0</v>
      </c>
      <c r="X571" s="958">
        <f>+X510+X524+X532+X539+X543+X550+X558+X565</f>
        <v>0</v>
      </c>
      <c r="Y571" s="958">
        <f>+Y510+Y524+Y532+Y539+Y543+Y550+Y558+Y565</f>
        <v>0</v>
      </c>
    </row>
    <row r="572" spans="1:25" x14ac:dyDescent="0.2">
      <c r="A572" s="909"/>
      <c r="B572" s="871"/>
      <c r="C572" s="958"/>
      <c r="D572" s="958"/>
      <c r="E572" s="958"/>
      <c r="F572" s="958"/>
      <c r="G572" s="958"/>
      <c r="H572" s="958"/>
      <c r="I572" s="958"/>
      <c r="J572" s="958"/>
      <c r="K572" s="958"/>
      <c r="L572" s="958"/>
      <c r="M572" s="958"/>
      <c r="N572" s="958"/>
      <c r="O572" s="958"/>
      <c r="P572" s="958"/>
      <c r="Q572" s="875"/>
      <c r="R572" s="915"/>
      <c r="S572" s="875"/>
      <c r="T572" s="958"/>
      <c r="U572" s="958"/>
      <c r="V572" s="958"/>
      <c r="W572" s="958"/>
      <c r="X572" s="958"/>
      <c r="Y572" s="958"/>
    </row>
    <row r="573" spans="1:25" x14ac:dyDescent="0.2">
      <c r="A573" s="912" t="s">
        <v>1039</v>
      </c>
      <c r="B573" s="871"/>
      <c r="C573" s="958"/>
      <c r="D573" s="958"/>
      <c r="E573" s="958"/>
      <c r="F573" s="958"/>
      <c r="G573" s="958"/>
      <c r="H573" s="958"/>
      <c r="I573" s="958"/>
      <c r="J573" s="958"/>
      <c r="K573" s="958"/>
      <c r="L573" s="958"/>
      <c r="M573" s="958"/>
      <c r="N573" s="958"/>
      <c r="O573" s="958"/>
      <c r="P573" s="958"/>
      <c r="Q573" s="875"/>
      <c r="R573" s="915"/>
      <c r="S573" s="875"/>
      <c r="T573" s="958"/>
      <c r="U573" s="958"/>
      <c r="V573" s="958"/>
      <c r="W573" s="958"/>
      <c r="X573" s="958"/>
      <c r="Y573" s="958"/>
    </row>
    <row r="574" spans="1:25" x14ac:dyDescent="0.2">
      <c r="A574" s="907" t="s">
        <v>51</v>
      </c>
      <c r="B574" s="871"/>
      <c r="C574" s="128">
        <v>0</v>
      </c>
      <c r="D574" s="128">
        <v>0</v>
      </c>
      <c r="E574" s="128">
        <v>900</v>
      </c>
      <c r="F574" s="128">
        <v>0</v>
      </c>
      <c r="G574" s="128">
        <v>0</v>
      </c>
      <c r="H574" s="128">
        <v>1400</v>
      </c>
      <c r="I574" s="128">
        <v>0</v>
      </c>
      <c r="J574" s="128">
        <v>0</v>
      </c>
      <c r="K574" s="128">
        <v>2200</v>
      </c>
      <c r="L574" s="128">
        <v>0</v>
      </c>
      <c r="M574" s="128">
        <v>0</v>
      </c>
      <c r="N574" s="128">
        <v>2100</v>
      </c>
      <c r="O574" s="143">
        <f>SUM(C574:N574)</f>
        <v>6600</v>
      </c>
      <c r="P574" s="143"/>
      <c r="Q574" s="875"/>
      <c r="R574" s="915"/>
      <c r="S574" s="875"/>
      <c r="T574" s="143"/>
      <c r="U574" s="896">
        <f>C574+D574+E574</f>
        <v>900</v>
      </c>
      <c r="V574" s="896">
        <f>F574+G574+H574</f>
        <v>1400</v>
      </c>
      <c r="W574" s="896">
        <f>I574+J574+K574</f>
        <v>2200</v>
      </c>
      <c r="X574" s="896">
        <f>L574+M574+N574</f>
        <v>2100</v>
      </c>
      <c r="Y574" s="880">
        <f>SUM(U574:X574)</f>
        <v>6600</v>
      </c>
    </row>
    <row r="575" spans="1:25" x14ac:dyDescent="0.2">
      <c r="A575" s="907" t="s">
        <v>20</v>
      </c>
      <c r="B575" s="871"/>
      <c r="C575" s="270">
        <v>0</v>
      </c>
      <c r="D575" s="270">
        <v>0</v>
      </c>
      <c r="E575" s="270">
        <v>0</v>
      </c>
      <c r="F575" s="270">
        <v>0</v>
      </c>
      <c r="G575" s="270">
        <v>0</v>
      </c>
      <c r="H575" s="270">
        <v>0</v>
      </c>
      <c r="I575" s="270">
        <v>0</v>
      </c>
      <c r="J575" s="270">
        <v>0</v>
      </c>
      <c r="K575" s="270">
        <v>0</v>
      </c>
      <c r="L575" s="270">
        <v>0</v>
      </c>
      <c r="M575" s="270">
        <v>0</v>
      </c>
      <c r="N575" s="270">
        <v>0</v>
      </c>
      <c r="O575" s="963">
        <f>SUM(C575:N575)</f>
        <v>0</v>
      </c>
      <c r="P575" s="963"/>
      <c r="Q575" s="875"/>
      <c r="R575" s="915"/>
      <c r="S575" s="875"/>
      <c r="T575" s="963"/>
      <c r="U575" s="939">
        <f>C575+D575+E575</f>
        <v>0</v>
      </c>
      <c r="V575" s="939">
        <f>F575+G575+H575</f>
        <v>0</v>
      </c>
      <c r="W575" s="939">
        <f>I575+J575+K575</f>
        <v>0</v>
      </c>
      <c r="X575" s="939">
        <f>L575+M575+N575</f>
        <v>0</v>
      </c>
      <c r="Y575" s="938">
        <f>SUM(U575:X575)</f>
        <v>0</v>
      </c>
    </row>
    <row r="576" spans="1:25" x14ac:dyDescent="0.2">
      <c r="A576" s="907" t="s">
        <v>21</v>
      </c>
      <c r="B576" s="871"/>
      <c r="C576" s="938">
        <f t="shared" ref="C576:O576" si="255">SUM(C574:C575)</f>
        <v>0</v>
      </c>
      <c r="D576" s="938">
        <f t="shared" si="255"/>
        <v>0</v>
      </c>
      <c r="E576" s="938">
        <f t="shared" si="255"/>
        <v>900</v>
      </c>
      <c r="F576" s="938">
        <f t="shared" si="255"/>
        <v>0</v>
      </c>
      <c r="G576" s="938">
        <f t="shared" si="255"/>
        <v>0</v>
      </c>
      <c r="H576" s="938">
        <f t="shared" si="255"/>
        <v>1400</v>
      </c>
      <c r="I576" s="938">
        <f t="shared" si="255"/>
        <v>0</v>
      </c>
      <c r="J576" s="938">
        <f t="shared" si="255"/>
        <v>0</v>
      </c>
      <c r="K576" s="938">
        <f t="shared" si="255"/>
        <v>2200</v>
      </c>
      <c r="L576" s="938">
        <f t="shared" si="255"/>
        <v>0</v>
      </c>
      <c r="M576" s="938">
        <f t="shared" si="255"/>
        <v>0</v>
      </c>
      <c r="N576" s="938">
        <f t="shared" si="255"/>
        <v>2100</v>
      </c>
      <c r="O576" s="938">
        <f t="shared" si="255"/>
        <v>6600</v>
      </c>
      <c r="P576" s="938"/>
      <c r="Q576" s="875"/>
      <c r="R576" s="915"/>
      <c r="S576" s="875"/>
      <c r="T576" s="896"/>
      <c r="U576" s="938">
        <f>SUM(U574:U575)</f>
        <v>900</v>
      </c>
      <c r="V576" s="938">
        <f>SUM(V574:V575)</f>
        <v>1400</v>
      </c>
      <c r="W576" s="938">
        <f>SUM(W574:W575)</f>
        <v>2200</v>
      </c>
      <c r="X576" s="938">
        <f>SUM(X574:X575)</f>
        <v>2100</v>
      </c>
      <c r="Y576" s="938">
        <f>SUM(Y574:Y575)</f>
        <v>6600</v>
      </c>
    </row>
    <row r="577" spans="1:25" ht="3.95" customHeight="1" x14ac:dyDescent="0.2">
      <c r="A577" s="909"/>
      <c r="B577" s="871"/>
      <c r="C577" s="958"/>
      <c r="D577" s="958"/>
      <c r="E577" s="958"/>
      <c r="F577" s="958"/>
      <c r="G577" s="958"/>
      <c r="H577" s="958"/>
      <c r="I577" s="958"/>
      <c r="J577" s="958"/>
      <c r="K577" s="958"/>
      <c r="L577" s="958"/>
      <c r="M577" s="958"/>
      <c r="N577" s="958"/>
      <c r="O577" s="958"/>
      <c r="P577" s="958"/>
      <c r="Q577" s="875"/>
      <c r="R577" s="915"/>
      <c r="S577" s="875"/>
      <c r="T577" s="958"/>
      <c r="U577" s="958"/>
      <c r="V577" s="958"/>
      <c r="W577" s="958"/>
      <c r="X577" s="958"/>
      <c r="Y577" s="958"/>
    </row>
    <row r="578" spans="1:25" x14ac:dyDescent="0.2">
      <c r="A578" s="907" t="s">
        <v>52</v>
      </c>
      <c r="B578" s="871"/>
      <c r="C578" s="128">
        <v>0</v>
      </c>
      <c r="D578" s="128">
        <v>0</v>
      </c>
      <c r="E578" s="128">
        <v>0</v>
      </c>
      <c r="F578" s="128">
        <v>0</v>
      </c>
      <c r="G578" s="128">
        <v>0</v>
      </c>
      <c r="H578" s="128">
        <v>0</v>
      </c>
      <c r="I578" s="128">
        <v>0</v>
      </c>
      <c r="J578" s="128">
        <v>0</v>
      </c>
      <c r="K578" s="128">
        <v>0</v>
      </c>
      <c r="L578" s="128">
        <v>0</v>
      </c>
      <c r="M578" s="128">
        <v>0</v>
      </c>
      <c r="N578" s="128">
        <v>0</v>
      </c>
      <c r="O578" s="143">
        <f>SUM(C578:N578)</f>
        <v>0</v>
      </c>
      <c r="P578" s="143"/>
      <c r="Q578" s="875"/>
      <c r="R578" s="915"/>
      <c r="S578" s="875"/>
      <c r="T578" s="143"/>
      <c r="U578" s="896">
        <f>C578+D578+E578</f>
        <v>0</v>
      </c>
      <c r="V578" s="896">
        <f>F578+G578+H578</f>
        <v>0</v>
      </c>
      <c r="W578" s="896">
        <f>I578+J578+K578</f>
        <v>0</v>
      </c>
      <c r="X578" s="896">
        <f>L578+M578+N578</f>
        <v>0</v>
      </c>
      <c r="Y578" s="880">
        <f>SUM(U578:X578)</f>
        <v>0</v>
      </c>
    </row>
    <row r="579" spans="1:25" x14ac:dyDescent="0.2">
      <c r="A579" s="907" t="s">
        <v>20</v>
      </c>
      <c r="B579" s="871"/>
      <c r="C579" s="270">
        <v>0</v>
      </c>
      <c r="D579" s="270">
        <v>0</v>
      </c>
      <c r="E579" s="270">
        <v>0</v>
      </c>
      <c r="F579" s="270">
        <v>0</v>
      </c>
      <c r="G579" s="270">
        <v>0</v>
      </c>
      <c r="H579" s="270">
        <v>0</v>
      </c>
      <c r="I579" s="270">
        <v>0</v>
      </c>
      <c r="J579" s="270">
        <v>0</v>
      </c>
      <c r="K579" s="270">
        <v>0</v>
      </c>
      <c r="L579" s="270">
        <v>0</v>
      </c>
      <c r="M579" s="270">
        <v>0</v>
      </c>
      <c r="N579" s="270">
        <v>0</v>
      </c>
      <c r="O579" s="963">
        <f>SUM(C579:N579)</f>
        <v>0</v>
      </c>
      <c r="P579" s="963"/>
      <c r="Q579" s="875"/>
      <c r="R579" s="915"/>
      <c r="S579" s="875"/>
      <c r="T579" s="963"/>
      <c r="U579" s="939">
        <f>C579+D579+E579</f>
        <v>0</v>
      </c>
      <c r="V579" s="939">
        <f>F579+G579+H579</f>
        <v>0</v>
      </c>
      <c r="W579" s="939">
        <f>I579+J579+K579</f>
        <v>0</v>
      </c>
      <c r="X579" s="939">
        <f>L579+M579+N579</f>
        <v>0</v>
      </c>
      <c r="Y579" s="938">
        <f>SUM(U579:X579)</f>
        <v>0</v>
      </c>
    </row>
    <row r="580" spans="1:25" x14ac:dyDescent="0.2">
      <c r="A580" s="907" t="s">
        <v>40</v>
      </c>
      <c r="B580" s="871"/>
      <c r="C580" s="938">
        <f t="shared" ref="C580:O580" si="256">SUM(C578:C579)</f>
        <v>0</v>
      </c>
      <c r="D580" s="938">
        <f t="shared" si="256"/>
        <v>0</v>
      </c>
      <c r="E580" s="938">
        <f t="shared" si="256"/>
        <v>0</v>
      </c>
      <c r="F580" s="938">
        <f t="shared" si="256"/>
        <v>0</v>
      </c>
      <c r="G580" s="938">
        <f t="shared" si="256"/>
        <v>0</v>
      </c>
      <c r="H580" s="938">
        <f t="shared" si="256"/>
        <v>0</v>
      </c>
      <c r="I580" s="938">
        <f t="shared" si="256"/>
        <v>0</v>
      </c>
      <c r="J580" s="938">
        <f t="shared" si="256"/>
        <v>0</v>
      </c>
      <c r="K580" s="938">
        <f t="shared" si="256"/>
        <v>0</v>
      </c>
      <c r="L580" s="938">
        <f t="shared" si="256"/>
        <v>0</v>
      </c>
      <c r="M580" s="938">
        <f t="shared" si="256"/>
        <v>0</v>
      </c>
      <c r="N580" s="938">
        <f t="shared" si="256"/>
        <v>0</v>
      </c>
      <c r="O580" s="938">
        <f t="shared" si="256"/>
        <v>0</v>
      </c>
      <c r="P580" s="938"/>
      <c r="Q580" s="875"/>
      <c r="R580" s="915"/>
      <c r="S580" s="875"/>
      <c r="T580" s="896"/>
      <c r="U580" s="938">
        <f>SUM(U578:U579)</f>
        <v>0</v>
      </c>
      <c r="V580" s="938">
        <f>SUM(V578:V579)</f>
        <v>0</v>
      </c>
      <c r="W580" s="938">
        <f>SUM(W578:W579)</f>
        <v>0</v>
      </c>
      <c r="X580" s="938">
        <f>SUM(X578:X579)</f>
        <v>0</v>
      </c>
      <c r="Y580" s="938">
        <f>SUM(Y578:Y579)</f>
        <v>0</v>
      </c>
    </row>
    <row r="581" spans="1:25" ht="6" customHeight="1" x14ac:dyDescent="0.2">
      <c r="C581" s="958"/>
      <c r="D581" s="958"/>
      <c r="E581" s="958"/>
      <c r="F581" s="958"/>
      <c r="G581" s="958"/>
      <c r="H581" s="958"/>
      <c r="I581" s="958"/>
      <c r="J581" s="958"/>
      <c r="K581" s="958"/>
      <c r="L581" s="958"/>
      <c r="M581" s="958"/>
      <c r="N581" s="958"/>
      <c r="O581" s="958"/>
      <c r="P581" s="958"/>
      <c r="Q581" s="875"/>
      <c r="R581" s="915"/>
      <c r="S581" s="875"/>
      <c r="T581" s="958"/>
      <c r="U581" s="958"/>
      <c r="V581" s="958"/>
      <c r="W581" s="958"/>
      <c r="X581" s="958"/>
      <c r="Y581" s="958"/>
    </row>
    <row r="582" spans="1:25" x14ac:dyDescent="0.2">
      <c r="A582" s="909" t="s">
        <v>53</v>
      </c>
      <c r="C582" s="958">
        <f>+C576+C580</f>
        <v>0</v>
      </c>
      <c r="D582" s="958">
        <f t="shared" ref="D582:O582" si="257">+D576+D580</f>
        <v>0</v>
      </c>
      <c r="E582" s="958">
        <f t="shared" si="257"/>
        <v>900</v>
      </c>
      <c r="F582" s="958">
        <f t="shared" si="257"/>
        <v>0</v>
      </c>
      <c r="G582" s="958">
        <f t="shared" si="257"/>
        <v>0</v>
      </c>
      <c r="H582" s="958">
        <f t="shared" si="257"/>
        <v>1400</v>
      </c>
      <c r="I582" s="958">
        <f t="shared" si="257"/>
        <v>0</v>
      </c>
      <c r="J582" s="958">
        <f t="shared" si="257"/>
        <v>0</v>
      </c>
      <c r="K582" s="958">
        <f t="shared" si="257"/>
        <v>2200</v>
      </c>
      <c r="L582" s="958">
        <f t="shared" si="257"/>
        <v>0</v>
      </c>
      <c r="M582" s="958">
        <f t="shared" si="257"/>
        <v>0</v>
      </c>
      <c r="N582" s="958">
        <f t="shared" si="257"/>
        <v>2100</v>
      </c>
      <c r="O582" s="958">
        <f t="shared" si="257"/>
        <v>6600</v>
      </c>
      <c r="P582" s="958"/>
      <c r="Q582" s="875"/>
      <c r="R582" s="915"/>
      <c r="S582" s="875"/>
      <c r="T582" s="958"/>
      <c r="U582" s="958">
        <f>+U576+U580</f>
        <v>900</v>
      </c>
      <c r="V582" s="958">
        <f>+V576+V580</f>
        <v>1400</v>
      </c>
      <c r="W582" s="958">
        <f>+W576+W580</f>
        <v>2200</v>
      </c>
      <c r="X582" s="958">
        <f>+X576+X580</f>
        <v>2100</v>
      </c>
      <c r="Y582" s="958">
        <f>+Y576+Y580</f>
        <v>6600</v>
      </c>
    </row>
  </sheetData>
  <phoneticPr fontId="0" type="noConversion"/>
  <printOptions horizontalCentered="1"/>
  <pageMargins left="0.25" right="0.25" top="0.25" bottom="0.25" header="0" footer="0"/>
  <pageSetup paperSize="5" scale="60" orientation="landscape" r:id="rId1"/>
  <headerFooter alignWithMargins="0"/>
  <rowBreaks count="5" manualBreakCount="5">
    <brk id="161" max="16383" man="1"/>
    <brk id="209" max="16383" man="1"/>
    <brk id="331" max="16383" man="1"/>
    <brk id="414" max="16383" man="1"/>
    <brk id="498" max="16383" man="1"/>
  </rowBreaks>
  <colBreaks count="1" manualBreakCount="1">
    <brk id="26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1">
    <pageSetUpPr fitToPage="1"/>
  </sheetPr>
  <dimension ref="A1:AC52"/>
  <sheetViews>
    <sheetView showGridLines="0" workbookViewId="0">
      <pane xSplit="2" ySplit="4" topLeftCell="C5" activePane="bottomRight" state="frozen"/>
      <selection activeCell="W21" sqref="W21"/>
      <selection pane="topRight" activeCell="W21" sqref="W21"/>
      <selection pane="bottomLeft" activeCell="W21" sqref="W21"/>
      <selection pane="bottomRight" activeCell="C12" sqref="C12"/>
    </sheetView>
  </sheetViews>
  <sheetFormatPr defaultRowHeight="12.75" x14ac:dyDescent="0.2"/>
  <cols>
    <col min="1" max="1" width="45.7109375" style="137" customWidth="1"/>
    <col min="2" max="2" width="8.7109375" style="827" customWidth="1"/>
    <col min="3" max="14" width="8.7109375" style="137" customWidth="1"/>
    <col min="15" max="17" width="9.7109375" style="137" customWidth="1"/>
    <col min="18" max="16384" width="9.140625" style="137"/>
  </cols>
  <sheetData>
    <row r="1" spans="1:18" x14ac:dyDescent="0.2">
      <c r="A1" s="605" t="str">
        <f ca="1">CELL("FILENAME")</f>
        <v>C:\Users\Felienne\Enron\EnronSpreadsheets\[tracy_geaccone__40367__EMNNG02PL.xls]IncomeState</v>
      </c>
    </row>
    <row r="2" spans="1:18" x14ac:dyDescent="0.2">
      <c r="A2" s="398" t="s">
        <v>678</v>
      </c>
      <c r="C2" s="138" t="s">
        <v>1173</v>
      </c>
      <c r="D2" s="138" t="s">
        <v>1173</v>
      </c>
      <c r="E2" s="613"/>
      <c r="F2" s="138" t="s">
        <v>1173</v>
      </c>
      <c r="G2" s="499"/>
      <c r="H2" s="138" t="s">
        <v>1173</v>
      </c>
      <c r="I2" s="139"/>
      <c r="J2" s="139"/>
      <c r="K2" s="139"/>
      <c r="L2" s="139"/>
      <c r="M2" s="139"/>
      <c r="N2" s="139"/>
      <c r="O2" s="140"/>
      <c r="P2" s="140"/>
      <c r="Q2" s="140"/>
      <c r="R2" s="140"/>
    </row>
    <row r="3" spans="1:18" x14ac:dyDescent="0.2">
      <c r="A3" s="552" t="str">
        <f>IncomeState!A3</f>
        <v>2002 OPERATING PLAN</v>
      </c>
      <c r="B3" s="828">
        <f ca="1">NOW()</f>
        <v>41887.551126967592</v>
      </c>
      <c r="C3" s="613" t="str">
        <f>DataBase!C2</f>
        <v>PLAN</v>
      </c>
      <c r="D3" s="613" t="str">
        <f>DataBase!D2</f>
        <v>PLAN</v>
      </c>
      <c r="E3" s="613" t="str">
        <f>DataBase!E2</f>
        <v>PLAN</v>
      </c>
      <c r="F3" s="613" t="str">
        <f>DataBase!F2</f>
        <v>PLAN</v>
      </c>
      <c r="G3" s="613" t="str">
        <f>DataBase!G2</f>
        <v>PLAN</v>
      </c>
      <c r="H3" s="613" t="str">
        <f>DataBase!H2</f>
        <v>PLAN</v>
      </c>
      <c r="I3" s="613" t="str">
        <f>DataBase!I2</f>
        <v>PLAN</v>
      </c>
      <c r="J3" s="613" t="str">
        <f>DataBase!J2</f>
        <v>PLAN</v>
      </c>
      <c r="K3" s="613" t="str">
        <f>DataBase!K2</f>
        <v>PLAN</v>
      </c>
      <c r="L3" s="613" t="str">
        <f>DataBase!L2</f>
        <v>PLAN</v>
      </c>
      <c r="M3" s="613" t="str">
        <f>DataBase!M2</f>
        <v>PLAN</v>
      </c>
      <c r="N3" s="613" t="str">
        <f>DataBase!N2</f>
        <v>PLAN</v>
      </c>
      <c r="O3" s="613" t="str">
        <f>DataBase!O2</f>
        <v>TOTAL</v>
      </c>
      <c r="P3" s="602" t="str">
        <f>IncomeState!P6</f>
        <v>FEB.</v>
      </c>
      <c r="Q3" s="613" t="str">
        <f>IncomeState!Q6</f>
        <v>ESTIMATE</v>
      </c>
      <c r="R3" s="140"/>
    </row>
    <row r="4" spans="1:18" x14ac:dyDescent="0.2">
      <c r="A4" s="141"/>
      <c r="B4" s="829">
        <f ca="1">NOW()</f>
        <v>41887.551126967592</v>
      </c>
      <c r="C4" s="399" t="s">
        <v>1174</v>
      </c>
      <c r="D4" s="399" t="s">
        <v>1175</v>
      </c>
      <c r="E4" s="399" t="s">
        <v>1176</v>
      </c>
      <c r="F4" s="399" t="s">
        <v>1177</v>
      </c>
      <c r="G4" s="399" t="s">
        <v>1178</v>
      </c>
      <c r="H4" s="399" t="s">
        <v>1179</v>
      </c>
      <c r="I4" s="399" t="s">
        <v>1180</v>
      </c>
      <c r="J4" s="399" t="s">
        <v>1181</v>
      </c>
      <c r="K4" s="399" t="s">
        <v>1182</v>
      </c>
      <c r="L4" s="399" t="s">
        <v>1183</v>
      </c>
      <c r="M4" s="399" t="s">
        <v>1184</v>
      </c>
      <c r="N4" s="399" t="s">
        <v>1185</v>
      </c>
      <c r="O4" s="614" t="str">
        <f>DataBase!O3</f>
        <v>2002</v>
      </c>
      <c r="P4" s="614" t="str">
        <f>IncomeState!P7</f>
        <v>Y-T-D</v>
      </c>
      <c r="Q4" s="614" t="str">
        <f>IncomeState!Q7</f>
        <v>R.M.</v>
      </c>
      <c r="R4" s="140"/>
    </row>
    <row r="5" spans="1:18" ht="3.95" customHeight="1" x14ac:dyDescent="0.2"/>
    <row r="6" spans="1:18" ht="12" customHeight="1" x14ac:dyDescent="0.2">
      <c r="A6" s="397" t="s">
        <v>631</v>
      </c>
    </row>
    <row r="7" spans="1:18" x14ac:dyDescent="0.2">
      <c r="A7" s="147" t="s">
        <v>781</v>
      </c>
      <c r="C7" s="682">
        <f>DataBase!C74+DataBase!C212-SUM(C8:C10)</f>
        <v>289</v>
      </c>
      <c r="D7" s="682">
        <f>DataBase!D74+DataBase!D212-SUM(D8:D10)</f>
        <v>287</v>
      </c>
      <c r="E7" s="682">
        <f>DataBase!E74+DataBase!E212-SUM(E8:E10)</f>
        <v>289</v>
      </c>
      <c r="F7" s="682">
        <f>DataBase!F74+DataBase!F212-SUM(F8:F10)</f>
        <v>287</v>
      </c>
      <c r="G7" s="682">
        <f>DataBase!G74+DataBase!G212-SUM(G8:G10)</f>
        <v>285</v>
      </c>
      <c r="H7" s="682">
        <f>DataBase!H74+DataBase!H212-SUM(H8:H10)</f>
        <v>846</v>
      </c>
      <c r="I7" s="682">
        <f>DataBase!I74+DataBase!I212-SUM(I8:I10)</f>
        <v>847</v>
      </c>
      <c r="J7" s="682">
        <f>DataBase!J74+DataBase!J212-SUM(J8:J10)</f>
        <v>711</v>
      </c>
      <c r="K7" s="682">
        <f>DataBase!K74+DataBase!K212-SUM(K8:K10)</f>
        <v>710</v>
      </c>
      <c r="L7" s="682">
        <f>DataBase!L74+DataBase!L212-SUM(L8:L10)</f>
        <v>681</v>
      </c>
      <c r="M7" s="682">
        <f>DataBase!M74+DataBase!M212-SUM(M8:M10)</f>
        <v>703</v>
      </c>
      <c r="N7" s="682">
        <f>DataBase!N74+DataBase!N212-SUM(N8:N10)</f>
        <v>704</v>
      </c>
      <c r="O7" s="143">
        <f>SUM(C7:N7)</f>
        <v>6639</v>
      </c>
      <c r="P7" s="142">
        <f>SUM(C7:D7)</f>
        <v>576</v>
      </c>
      <c r="Q7" s="143">
        <f>(O7-P7)</f>
        <v>6063</v>
      </c>
    </row>
    <row r="8" spans="1:18" x14ac:dyDescent="0.2">
      <c r="A8" s="147" t="s">
        <v>2</v>
      </c>
      <c r="B8" s="845"/>
      <c r="C8" s="142">
        <v>0</v>
      </c>
      <c r="D8" s="142">
        <v>0</v>
      </c>
      <c r="E8" s="142">
        <v>0</v>
      </c>
      <c r="F8" s="142">
        <v>0</v>
      </c>
      <c r="G8" s="142">
        <v>0</v>
      </c>
      <c r="H8" s="142">
        <v>0</v>
      </c>
      <c r="I8" s="142">
        <v>0</v>
      </c>
      <c r="J8" s="142">
        <v>0</v>
      </c>
      <c r="K8" s="142">
        <v>0</v>
      </c>
      <c r="L8" s="142">
        <v>0</v>
      </c>
      <c r="M8" s="142">
        <v>0</v>
      </c>
      <c r="N8" s="142">
        <v>0</v>
      </c>
      <c r="O8" s="143">
        <f>SUM(C8:N8)</f>
        <v>0</v>
      </c>
      <c r="P8" s="142">
        <f>SUM(C8:D8)</f>
        <v>0</v>
      </c>
      <c r="Q8" s="143">
        <f>(O8-P8)</f>
        <v>0</v>
      </c>
    </row>
    <row r="9" spans="1:18" x14ac:dyDescent="0.2">
      <c r="A9" s="147" t="s">
        <v>1226</v>
      </c>
      <c r="B9" s="845"/>
      <c r="C9" s="142">
        <v>0</v>
      </c>
      <c r="D9" s="142">
        <v>0</v>
      </c>
      <c r="E9" s="142">
        <v>0</v>
      </c>
      <c r="F9" s="142">
        <v>0</v>
      </c>
      <c r="G9" s="142">
        <v>0</v>
      </c>
      <c r="H9" s="142">
        <v>0</v>
      </c>
      <c r="I9" s="142">
        <v>0</v>
      </c>
      <c r="J9" s="142">
        <v>0</v>
      </c>
      <c r="K9" s="142">
        <v>0</v>
      </c>
      <c r="L9" s="142">
        <v>0</v>
      </c>
      <c r="M9" s="142">
        <v>0</v>
      </c>
      <c r="N9" s="142">
        <v>0</v>
      </c>
      <c r="O9" s="143">
        <f>SUM(C9:N9)</f>
        <v>0</v>
      </c>
      <c r="P9" s="142">
        <f>SUM(C9:D9)</f>
        <v>0</v>
      </c>
      <c r="Q9" s="143">
        <f>(O9-P9)</f>
        <v>0</v>
      </c>
    </row>
    <row r="10" spans="1:18" x14ac:dyDescent="0.2">
      <c r="A10" s="147" t="s">
        <v>1187</v>
      </c>
      <c r="C10" s="271">
        <v>0</v>
      </c>
      <c r="D10" s="271">
        <v>0</v>
      </c>
      <c r="E10" s="271">
        <v>0</v>
      </c>
      <c r="F10" s="271">
        <v>0</v>
      </c>
      <c r="G10" s="271">
        <v>0</v>
      </c>
      <c r="H10" s="271">
        <v>0</v>
      </c>
      <c r="I10" s="271">
        <v>0</v>
      </c>
      <c r="J10" s="271">
        <v>0</v>
      </c>
      <c r="K10" s="271">
        <v>0</v>
      </c>
      <c r="L10" s="271">
        <v>0</v>
      </c>
      <c r="M10" s="271">
        <v>0</v>
      </c>
      <c r="N10" s="271">
        <v>0</v>
      </c>
      <c r="O10" s="144">
        <f>SUM(C10:N10)</f>
        <v>0</v>
      </c>
      <c r="P10" s="271">
        <f>SUM(C10:D10)</f>
        <v>0</v>
      </c>
      <c r="Q10" s="144">
        <f>(O10-P10)</f>
        <v>0</v>
      </c>
    </row>
    <row r="11" spans="1:18" ht="3.95" customHeight="1" x14ac:dyDescent="0.2">
      <c r="A11" s="145"/>
      <c r="C11" s="145"/>
      <c r="D11" s="145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P11" s="145"/>
    </row>
    <row r="12" spans="1:18" ht="12.75" customHeight="1" x14ac:dyDescent="0.2">
      <c r="A12" s="397" t="s">
        <v>782</v>
      </c>
      <c r="B12" s="845" t="s">
        <v>344</v>
      </c>
      <c r="C12" s="146">
        <f t="shared" ref="C12:P12" si="0">SUM(C7:C10)</f>
        <v>289</v>
      </c>
      <c r="D12" s="146">
        <f t="shared" si="0"/>
        <v>287</v>
      </c>
      <c r="E12" s="146">
        <f t="shared" si="0"/>
        <v>289</v>
      </c>
      <c r="F12" s="146">
        <f t="shared" si="0"/>
        <v>287</v>
      </c>
      <c r="G12" s="146">
        <f t="shared" si="0"/>
        <v>285</v>
      </c>
      <c r="H12" s="146">
        <f t="shared" si="0"/>
        <v>846</v>
      </c>
      <c r="I12" s="146">
        <f t="shared" si="0"/>
        <v>847</v>
      </c>
      <c r="J12" s="146">
        <f t="shared" si="0"/>
        <v>711</v>
      </c>
      <c r="K12" s="146">
        <f t="shared" si="0"/>
        <v>710</v>
      </c>
      <c r="L12" s="146">
        <f t="shared" si="0"/>
        <v>681</v>
      </c>
      <c r="M12" s="146">
        <f t="shared" si="0"/>
        <v>703</v>
      </c>
      <c r="N12" s="146">
        <f t="shared" si="0"/>
        <v>704</v>
      </c>
      <c r="O12" s="146">
        <f t="shared" si="0"/>
        <v>6639</v>
      </c>
      <c r="P12" s="146">
        <f t="shared" si="0"/>
        <v>576</v>
      </c>
      <c r="Q12" s="146">
        <f>SUM(Q7:Q10)</f>
        <v>6063</v>
      </c>
      <c r="R12" s="140"/>
    </row>
    <row r="13" spans="1:18" ht="6" customHeight="1" x14ac:dyDescent="0.2">
      <c r="A13" s="145"/>
      <c r="O13" s="143"/>
    </row>
    <row r="14" spans="1:18" x14ac:dyDescent="0.2">
      <c r="A14" s="397" t="s">
        <v>632</v>
      </c>
    </row>
    <row r="15" spans="1:18" x14ac:dyDescent="0.2">
      <c r="A15" s="147" t="s">
        <v>1111</v>
      </c>
      <c r="B15" s="677"/>
      <c r="C15" s="984">
        <f>DataBase!C265</f>
        <v>5</v>
      </c>
      <c r="D15" s="984">
        <f>DataBase!D265</f>
        <v>0</v>
      </c>
      <c r="E15" s="984">
        <f>DataBase!E265</f>
        <v>0</v>
      </c>
      <c r="F15" s="984">
        <f>DataBase!F265</f>
        <v>5</v>
      </c>
      <c r="G15" s="984">
        <f>DataBase!G265</f>
        <v>0</v>
      </c>
      <c r="H15" s="984">
        <f>DataBase!H265</f>
        <v>0</v>
      </c>
      <c r="I15" s="984">
        <f>DataBase!I265</f>
        <v>4</v>
      </c>
      <c r="J15" s="984">
        <f>DataBase!J265</f>
        <v>0</v>
      </c>
      <c r="K15" s="984">
        <f>DataBase!K265</f>
        <v>0</v>
      </c>
      <c r="L15" s="984">
        <f>DataBase!L265</f>
        <v>4</v>
      </c>
      <c r="M15" s="984">
        <f>DataBase!M265</f>
        <v>0</v>
      </c>
      <c r="N15" s="984">
        <f>DataBase!N265</f>
        <v>0</v>
      </c>
      <c r="O15" s="143">
        <f t="shared" ref="O15:O22" si="1">SUM(C15:N15)</f>
        <v>18</v>
      </c>
      <c r="P15" s="142">
        <f t="shared" ref="P15:P22" si="2">SUM(C15:D15)</f>
        <v>5</v>
      </c>
      <c r="Q15" s="143">
        <f>(O15-P15)</f>
        <v>13</v>
      </c>
      <c r="R15" s="143"/>
    </row>
    <row r="16" spans="1:18" x14ac:dyDescent="0.2">
      <c r="A16" s="148" t="s">
        <v>1000</v>
      </c>
      <c r="B16" s="677"/>
      <c r="C16" s="984">
        <f>DataBase!C266</f>
        <v>10</v>
      </c>
      <c r="D16" s="984">
        <f>DataBase!D266</f>
        <v>10</v>
      </c>
      <c r="E16" s="984">
        <f>DataBase!E266</f>
        <v>10</v>
      </c>
      <c r="F16" s="984">
        <f>DataBase!F266</f>
        <v>10</v>
      </c>
      <c r="G16" s="984">
        <f>DataBase!G266</f>
        <v>10</v>
      </c>
      <c r="H16" s="984">
        <f>DataBase!H266</f>
        <v>10</v>
      </c>
      <c r="I16" s="984">
        <f>DataBase!I266</f>
        <v>10</v>
      </c>
      <c r="J16" s="984">
        <f>DataBase!J266</f>
        <v>10</v>
      </c>
      <c r="K16" s="984">
        <f>DataBase!K266</f>
        <v>10</v>
      </c>
      <c r="L16" s="984">
        <f>DataBase!L266</f>
        <v>10</v>
      </c>
      <c r="M16" s="984">
        <f>DataBase!M266</f>
        <v>10</v>
      </c>
      <c r="N16" s="984">
        <f>DataBase!N266</f>
        <v>10</v>
      </c>
      <c r="O16" s="143">
        <f t="shared" si="1"/>
        <v>120</v>
      </c>
      <c r="P16" s="142">
        <f t="shared" si="2"/>
        <v>20</v>
      </c>
      <c r="Q16" s="143">
        <f>(O16-P16)</f>
        <v>100</v>
      </c>
      <c r="R16" s="143"/>
    </row>
    <row r="17" spans="1:24" x14ac:dyDescent="0.2">
      <c r="A17" s="148" t="s">
        <v>699</v>
      </c>
      <c r="B17" s="836" t="s">
        <v>339</v>
      </c>
      <c r="C17" s="143">
        <f>Trackers!D567</f>
        <v>0</v>
      </c>
      <c r="D17" s="143">
        <f>Trackers!E567</f>
        <v>0</v>
      </c>
      <c r="E17" s="143">
        <f>Trackers!F567</f>
        <v>0</v>
      </c>
      <c r="F17" s="143">
        <f>Trackers!G567</f>
        <v>0</v>
      </c>
      <c r="G17" s="143">
        <f>Trackers!H567</f>
        <v>0</v>
      </c>
      <c r="H17" s="143">
        <f>Trackers!I567</f>
        <v>0</v>
      </c>
      <c r="I17" s="143">
        <f>Trackers!J567</f>
        <v>0</v>
      </c>
      <c r="J17" s="143">
        <f>Trackers!K567</f>
        <v>0</v>
      </c>
      <c r="K17" s="143">
        <f>Trackers!L567</f>
        <v>0</v>
      </c>
      <c r="L17" s="143">
        <f>Trackers!M567</f>
        <v>0</v>
      </c>
      <c r="M17" s="143">
        <f>Trackers!N567</f>
        <v>0</v>
      </c>
      <c r="N17" s="143">
        <f>Trackers!O567</f>
        <v>0</v>
      </c>
      <c r="O17" s="143">
        <f t="shared" si="1"/>
        <v>0</v>
      </c>
      <c r="P17" s="142">
        <f t="shared" si="2"/>
        <v>0</v>
      </c>
      <c r="Q17" s="143">
        <f t="shared" ref="Q17:Q22" si="3">(O17-P17)</f>
        <v>0</v>
      </c>
    </row>
    <row r="18" spans="1:24" x14ac:dyDescent="0.2">
      <c r="A18" s="148" t="s">
        <v>274</v>
      </c>
      <c r="B18" s="836" t="s">
        <v>339</v>
      </c>
      <c r="C18" s="143">
        <f>Trackers!D156</f>
        <v>0</v>
      </c>
      <c r="D18" s="143">
        <f>Trackers!E156</f>
        <v>0</v>
      </c>
      <c r="E18" s="143">
        <f>Trackers!F156</f>
        <v>0</v>
      </c>
      <c r="F18" s="143">
        <f>Trackers!G156</f>
        <v>0</v>
      </c>
      <c r="G18" s="143">
        <f>Trackers!H156</f>
        <v>0</v>
      </c>
      <c r="H18" s="143">
        <f>Trackers!I156</f>
        <v>0</v>
      </c>
      <c r="I18" s="143">
        <f>Trackers!J156</f>
        <v>0</v>
      </c>
      <c r="J18" s="143">
        <f>Trackers!K156</f>
        <v>0</v>
      </c>
      <c r="K18" s="143">
        <f>Trackers!L156</f>
        <v>0</v>
      </c>
      <c r="L18" s="143">
        <f>Trackers!M156</f>
        <v>0</v>
      </c>
      <c r="M18" s="143">
        <f>Trackers!N156</f>
        <v>0</v>
      </c>
      <c r="N18" s="143">
        <f>Trackers!O156</f>
        <v>0</v>
      </c>
      <c r="O18" s="143">
        <f t="shared" si="1"/>
        <v>0</v>
      </c>
      <c r="P18" s="142">
        <f t="shared" si="2"/>
        <v>0</v>
      </c>
      <c r="Q18" s="143">
        <f t="shared" si="3"/>
        <v>0</v>
      </c>
    </row>
    <row r="19" spans="1:24" x14ac:dyDescent="0.2">
      <c r="A19" s="148" t="s">
        <v>700</v>
      </c>
      <c r="B19" s="836" t="s">
        <v>339</v>
      </c>
      <c r="C19" s="143">
        <f>Trackers!D218</f>
        <v>0</v>
      </c>
      <c r="D19" s="143">
        <f>Trackers!E218</f>
        <v>0</v>
      </c>
      <c r="E19" s="143">
        <f>Trackers!F218</f>
        <v>0</v>
      </c>
      <c r="F19" s="143">
        <f>Trackers!G218</f>
        <v>0</v>
      </c>
      <c r="G19" s="143">
        <f>Trackers!H218</f>
        <v>0</v>
      </c>
      <c r="H19" s="143">
        <f>Trackers!I218</f>
        <v>0</v>
      </c>
      <c r="I19" s="143">
        <f>Trackers!J218</f>
        <v>0</v>
      </c>
      <c r="J19" s="143">
        <f>Trackers!K218</f>
        <v>0</v>
      </c>
      <c r="K19" s="143">
        <f>Trackers!L218</f>
        <v>0</v>
      </c>
      <c r="L19" s="143">
        <f>Trackers!M218</f>
        <v>0</v>
      </c>
      <c r="M19" s="143">
        <f>Trackers!N218</f>
        <v>0</v>
      </c>
      <c r="N19" s="143">
        <f>Trackers!O218</f>
        <v>0</v>
      </c>
      <c r="O19" s="143">
        <f t="shared" si="1"/>
        <v>0</v>
      </c>
      <c r="P19" s="142">
        <f t="shared" si="2"/>
        <v>0</v>
      </c>
      <c r="Q19" s="143">
        <f t="shared" si="3"/>
        <v>0</v>
      </c>
    </row>
    <row r="20" spans="1:24" x14ac:dyDescent="0.2">
      <c r="A20" s="148" t="s">
        <v>348</v>
      </c>
      <c r="B20" s="836" t="s">
        <v>339</v>
      </c>
      <c r="C20" s="855">
        <f>Trackers!D678</f>
        <v>21</v>
      </c>
      <c r="D20" s="855">
        <f>Trackers!E678</f>
        <v>19</v>
      </c>
      <c r="E20" s="855">
        <f>Trackers!F678</f>
        <v>21</v>
      </c>
      <c r="F20" s="855">
        <f>Trackers!G678</f>
        <v>21</v>
      </c>
      <c r="G20" s="855">
        <f>Trackers!H678</f>
        <v>21</v>
      </c>
      <c r="H20" s="855">
        <f>Trackers!I678</f>
        <v>21</v>
      </c>
      <c r="I20" s="855">
        <f>Trackers!J678</f>
        <v>22</v>
      </c>
      <c r="J20" s="855">
        <f>Trackers!K678</f>
        <v>22</v>
      </c>
      <c r="K20" s="855">
        <f>Trackers!L678</f>
        <v>21</v>
      </c>
      <c r="L20" s="855">
        <f>Trackers!M678</f>
        <v>22</v>
      </c>
      <c r="M20" s="855">
        <f>Trackers!N678</f>
        <v>22</v>
      </c>
      <c r="N20" s="855">
        <f>Trackers!O678</f>
        <v>22</v>
      </c>
      <c r="O20" s="143">
        <f t="shared" si="1"/>
        <v>255</v>
      </c>
      <c r="P20" s="142">
        <f t="shared" si="2"/>
        <v>40</v>
      </c>
      <c r="Q20" s="143">
        <f t="shared" si="3"/>
        <v>215</v>
      </c>
    </row>
    <row r="21" spans="1:24" x14ac:dyDescent="0.2">
      <c r="A21" s="158" t="s">
        <v>1194</v>
      </c>
      <c r="B21" s="677"/>
      <c r="C21" s="984">
        <f>DataBase!C271</f>
        <v>0</v>
      </c>
      <c r="D21" s="984">
        <f>DataBase!D271</f>
        <v>0</v>
      </c>
      <c r="E21" s="984">
        <f>DataBase!E271</f>
        <v>0</v>
      </c>
      <c r="F21" s="984">
        <f>DataBase!F271</f>
        <v>0</v>
      </c>
      <c r="G21" s="984">
        <f>DataBase!G271</f>
        <v>0</v>
      </c>
      <c r="H21" s="984">
        <f>DataBase!H271</f>
        <v>0</v>
      </c>
      <c r="I21" s="984">
        <f>DataBase!I271</f>
        <v>0</v>
      </c>
      <c r="J21" s="984">
        <f>DataBase!J271</f>
        <v>0</v>
      </c>
      <c r="K21" s="984">
        <f>DataBase!K271</f>
        <v>0</v>
      </c>
      <c r="L21" s="984">
        <f>DataBase!L271</f>
        <v>0</v>
      </c>
      <c r="M21" s="984">
        <f>DataBase!M271</f>
        <v>0</v>
      </c>
      <c r="N21" s="984">
        <f>DataBase!N271</f>
        <v>0</v>
      </c>
      <c r="O21" s="143">
        <f t="shared" si="1"/>
        <v>0</v>
      </c>
      <c r="P21" s="142">
        <f t="shared" si="2"/>
        <v>0</v>
      </c>
      <c r="Q21" s="143">
        <f t="shared" si="3"/>
        <v>0</v>
      </c>
    </row>
    <row r="22" spans="1:24" x14ac:dyDescent="0.2">
      <c r="A22" s="147" t="s">
        <v>1187</v>
      </c>
      <c r="C22" s="271">
        <v>0</v>
      </c>
      <c r="D22" s="271">
        <v>0</v>
      </c>
      <c r="E22" s="271">
        <v>0</v>
      </c>
      <c r="F22" s="271">
        <v>0</v>
      </c>
      <c r="G22" s="271">
        <v>0</v>
      </c>
      <c r="H22" s="271">
        <v>0</v>
      </c>
      <c r="I22" s="271">
        <v>0</v>
      </c>
      <c r="J22" s="271">
        <v>0</v>
      </c>
      <c r="K22" s="271">
        <v>0</v>
      </c>
      <c r="L22" s="271">
        <v>0</v>
      </c>
      <c r="M22" s="271">
        <v>0</v>
      </c>
      <c r="N22" s="271">
        <v>0</v>
      </c>
      <c r="O22" s="144">
        <f t="shared" si="1"/>
        <v>0</v>
      </c>
      <c r="P22" s="271">
        <f t="shared" si="2"/>
        <v>0</v>
      </c>
      <c r="Q22" s="144">
        <f t="shared" si="3"/>
        <v>0</v>
      </c>
    </row>
    <row r="23" spans="1:24" ht="3.95" customHeight="1" x14ac:dyDescent="0.2">
      <c r="A23" s="400"/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P23" s="145"/>
    </row>
    <row r="24" spans="1:24" x14ac:dyDescent="0.2">
      <c r="A24" s="397" t="s">
        <v>783</v>
      </c>
      <c r="B24" s="830"/>
      <c r="C24" s="146">
        <f t="shared" ref="C24:N24" si="4">SUM(C15:C22)</f>
        <v>36</v>
      </c>
      <c r="D24" s="146">
        <f t="shared" si="4"/>
        <v>29</v>
      </c>
      <c r="E24" s="146">
        <f t="shared" si="4"/>
        <v>31</v>
      </c>
      <c r="F24" s="146">
        <f t="shared" si="4"/>
        <v>36</v>
      </c>
      <c r="G24" s="146">
        <f t="shared" si="4"/>
        <v>31</v>
      </c>
      <c r="H24" s="146">
        <f t="shared" si="4"/>
        <v>31</v>
      </c>
      <c r="I24" s="146">
        <f t="shared" si="4"/>
        <v>36</v>
      </c>
      <c r="J24" s="146">
        <f t="shared" si="4"/>
        <v>32</v>
      </c>
      <c r="K24" s="146">
        <f t="shared" si="4"/>
        <v>31</v>
      </c>
      <c r="L24" s="146">
        <f t="shared" si="4"/>
        <v>36</v>
      </c>
      <c r="M24" s="146">
        <f t="shared" si="4"/>
        <v>32</v>
      </c>
      <c r="N24" s="146">
        <f t="shared" si="4"/>
        <v>32</v>
      </c>
      <c r="O24" s="146">
        <f>SUM(O14:O22)</f>
        <v>393</v>
      </c>
      <c r="P24" s="146">
        <f>SUM(P14:P22)</f>
        <v>65</v>
      </c>
      <c r="Q24" s="146">
        <f>SUM(Q15:Q22)</f>
        <v>328</v>
      </c>
      <c r="R24" s="140"/>
      <c r="S24" s="140"/>
      <c r="T24" s="140"/>
      <c r="U24" s="140"/>
      <c r="V24" s="140"/>
      <c r="W24" s="140"/>
      <c r="X24" s="140"/>
    </row>
    <row r="25" spans="1:24" ht="6" customHeight="1" x14ac:dyDescent="0.2">
      <c r="A25" s="400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P25" s="145"/>
    </row>
    <row r="26" spans="1:24" x14ac:dyDescent="0.2">
      <c r="A26" s="397" t="s">
        <v>633</v>
      </c>
      <c r="B26" s="831"/>
    </row>
    <row r="27" spans="1:24" x14ac:dyDescent="0.2">
      <c r="A27" s="147" t="s">
        <v>229</v>
      </c>
      <c r="B27" s="677"/>
      <c r="C27" s="984">
        <f>DataBase!C281</f>
        <v>0</v>
      </c>
      <c r="D27" s="984">
        <f>DataBase!D281</f>
        <v>0</v>
      </c>
      <c r="E27" s="984">
        <f>DataBase!E281</f>
        <v>0</v>
      </c>
      <c r="F27" s="984">
        <f>DataBase!F281</f>
        <v>0</v>
      </c>
      <c r="G27" s="984">
        <f>DataBase!G281</f>
        <v>0</v>
      </c>
      <c r="H27" s="984">
        <f>DataBase!H281</f>
        <v>0</v>
      </c>
      <c r="I27" s="984">
        <f>DataBase!I281</f>
        <v>0</v>
      </c>
      <c r="J27" s="984">
        <f>DataBase!J281</f>
        <v>0</v>
      </c>
      <c r="K27" s="984">
        <f>DataBase!K281</f>
        <v>0</v>
      </c>
      <c r="L27" s="984">
        <f>DataBase!L281</f>
        <v>0</v>
      </c>
      <c r="M27" s="984">
        <f>DataBase!M281</f>
        <v>0</v>
      </c>
      <c r="N27" s="984">
        <f>DataBase!N281</f>
        <v>0</v>
      </c>
      <c r="O27" s="143">
        <f>SUM(C27:N27)</f>
        <v>0</v>
      </c>
      <c r="P27" s="142">
        <f t="shared" ref="P27:P47" si="5">SUM(C27:D27)</f>
        <v>0</v>
      </c>
      <c r="Q27" s="143">
        <f>(O27-P27)</f>
        <v>0</v>
      </c>
    </row>
    <row r="28" spans="1:24" x14ac:dyDescent="0.2">
      <c r="A28" s="148" t="s">
        <v>312</v>
      </c>
      <c r="B28" s="836" t="s">
        <v>751</v>
      </c>
      <c r="C28" s="984">
        <f>DataBase!C282</f>
        <v>37</v>
      </c>
      <c r="D28" s="984">
        <f>DataBase!D282</f>
        <v>15</v>
      </c>
      <c r="E28" s="984">
        <f>DataBase!E282</f>
        <v>46</v>
      </c>
      <c r="F28" s="984">
        <f>DataBase!F282</f>
        <v>106</v>
      </c>
      <c r="G28" s="984">
        <f>DataBase!G282</f>
        <v>186</v>
      </c>
      <c r="H28" s="984">
        <f>DataBase!H282</f>
        <v>254</v>
      </c>
      <c r="I28" s="984">
        <f>DataBase!I282</f>
        <v>6</v>
      </c>
      <c r="J28" s="984">
        <f>DataBase!J282</f>
        <v>97</v>
      </c>
      <c r="K28" s="984">
        <f>DataBase!K282</f>
        <v>180</v>
      </c>
      <c r="L28" s="984">
        <f>DataBase!L282</f>
        <v>257</v>
      </c>
      <c r="M28" s="984">
        <f>DataBase!M282</f>
        <v>200</v>
      </c>
      <c r="N28" s="984">
        <f>DataBase!N282</f>
        <v>192</v>
      </c>
      <c r="O28" s="143">
        <f>SUM(C28:N28)</f>
        <v>1576</v>
      </c>
      <c r="P28" s="142">
        <f>SUM(C28:D28)</f>
        <v>52</v>
      </c>
      <c r="Q28" s="143">
        <f>(O28-P28)</f>
        <v>1524</v>
      </c>
    </row>
    <row r="29" spans="1:24" x14ac:dyDescent="0.2">
      <c r="A29" s="148" t="s">
        <v>710</v>
      </c>
      <c r="B29" s="836" t="s">
        <v>751</v>
      </c>
      <c r="C29" s="984">
        <f>DataBase!C283</f>
        <v>22</v>
      </c>
      <c r="D29" s="984">
        <f>DataBase!D283</f>
        <v>9</v>
      </c>
      <c r="E29" s="984">
        <f>DataBase!E283</f>
        <v>28</v>
      </c>
      <c r="F29" s="984">
        <f>DataBase!F283</f>
        <v>64</v>
      </c>
      <c r="G29" s="984">
        <f>DataBase!G283</f>
        <v>113</v>
      </c>
      <c r="H29" s="984">
        <f>DataBase!H283</f>
        <v>154</v>
      </c>
      <c r="I29" s="984">
        <f>DataBase!I283</f>
        <v>4</v>
      </c>
      <c r="J29" s="984">
        <f>DataBase!J283</f>
        <v>59</v>
      </c>
      <c r="K29" s="984">
        <f>DataBase!K283</f>
        <v>109</v>
      </c>
      <c r="L29" s="984">
        <f>DataBase!L283</f>
        <v>156</v>
      </c>
      <c r="M29" s="984">
        <f>DataBase!M283</f>
        <v>121</v>
      </c>
      <c r="N29" s="984">
        <f>DataBase!N283</f>
        <v>116</v>
      </c>
      <c r="O29" s="143">
        <f t="shared" ref="O29:O47" si="6">SUM(C29:N29)</f>
        <v>955</v>
      </c>
      <c r="P29" s="142">
        <f t="shared" si="5"/>
        <v>31</v>
      </c>
      <c r="Q29" s="143">
        <f t="shared" ref="Q29:Q47" si="7">(O29-P29)</f>
        <v>924</v>
      </c>
    </row>
    <row r="30" spans="1:24" x14ac:dyDescent="0.2">
      <c r="A30" s="148" t="s">
        <v>709</v>
      </c>
      <c r="B30" s="836" t="s">
        <v>751</v>
      </c>
      <c r="C30" s="984">
        <f>DataBase!C284</f>
        <v>-7</v>
      </c>
      <c r="D30" s="984">
        <f>DataBase!D284</f>
        <v>-6</v>
      </c>
      <c r="E30" s="984">
        <f>DataBase!E284</f>
        <v>-7</v>
      </c>
      <c r="F30" s="984">
        <f>DataBase!F284</f>
        <v>-6</v>
      </c>
      <c r="G30" s="984">
        <f>DataBase!G284</f>
        <v>-7</v>
      </c>
      <c r="H30" s="984">
        <f>DataBase!H284</f>
        <v>-6</v>
      </c>
      <c r="I30" s="984">
        <f>DataBase!I284</f>
        <v>-7</v>
      </c>
      <c r="J30" s="984">
        <f>DataBase!J284</f>
        <v>-6</v>
      </c>
      <c r="K30" s="984">
        <f>DataBase!K284</f>
        <v>-7</v>
      </c>
      <c r="L30" s="984">
        <f>DataBase!L284</f>
        <v>-6</v>
      </c>
      <c r="M30" s="984">
        <f>DataBase!M284</f>
        <v>-7</v>
      </c>
      <c r="N30" s="984">
        <f>DataBase!N284</f>
        <v>-6</v>
      </c>
      <c r="O30" s="143">
        <f t="shared" si="6"/>
        <v>-78</v>
      </c>
      <c r="P30" s="142">
        <f t="shared" si="5"/>
        <v>-13</v>
      </c>
      <c r="Q30" s="143">
        <f t="shared" si="7"/>
        <v>-65</v>
      </c>
    </row>
    <row r="31" spans="1:24" x14ac:dyDescent="0.2">
      <c r="A31" s="859" t="s">
        <v>1224</v>
      </c>
      <c r="B31" s="836" t="s">
        <v>751</v>
      </c>
      <c r="C31" s="984">
        <f>DataBase!C138</f>
        <v>0</v>
      </c>
      <c r="D31" s="984">
        <f>DataBase!D138</f>
        <v>0</v>
      </c>
      <c r="E31" s="984">
        <f>DataBase!E138</f>
        <v>0</v>
      </c>
      <c r="F31" s="984">
        <f>DataBase!F138</f>
        <v>0</v>
      </c>
      <c r="G31" s="984">
        <f>DataBase!G138</f>
        <v>0</v>
      </c>
      <c r="H31" s="984">
        <f>DataBase!H138</f>
        <v>7600</v>
      </c>
      <c r="I31" s="984">
        <f>DataBase!I138</f>
        <v>0</v>
      </c>
      <c r="J31" s="984">
        <f>DataBase!J138</f>
        <v>0</v>
      </c>
      <c r="K31" s="984">
        <f>DataBase!K138</f>
        <v>0</v>
      </c>
      <c r="L31" s="984">
        <f>DataBase!L138</f>
        <v>0</v>
      </c>
      <c r="M31" s="984">
        <f>DataBase!M138</f>
        <v>0</v>
      </c>
      <c r="N31" s="984">
        <f>DataBase!N138</f>
        <v>0</v>
      </c>
      <c r="O31" s="143">
        <f t="shared" si="6"/>
        <v>7600</v>
      </c>
      <c r="P31" s="142">
        <f t="shared" si="5"/>
        <v>0</v>
      </c>
      <c r="Q31" s="143">
        <f t="shared" si="7"/>
        <v>7600</v>
      </c>
    </row>
    <row r="32" spans="1:24" x14ac:dyDescent="0.2">
      <c r="A32" s="859" t="s">
        <v>1225</v>
      </c>
      <c r="B32" s="836" t="s">
        <v>751</v>
      </c>
      <c r="C32" s="984">
        <f>DataBase!C139</f>
        <v>0</v>
      </c>
      <c r="D32" s="984">
        <f>DataBase!D139</f>
        <v>0</v>
      </c>
      <c r="E32" s="984">
        <f>DataBase!E139</f>
        <v>0</v>
      </c>
      <c r="F32" s="984">
        <f>DataBase!F139</f>
        <v>0</v>
      </c>
      <c r="G32" s="984">
        <f>DataBase!G139</f>
        <v>0</v>
      </c>
      <c r="H32" s="984">
        <f>DataBase!H139</f>
        <v>0</v>
      </c>
      <c r="I32" s="984">
        <f>DataBase!I139</f>
        <v>0</v>
      </c>
      <c r="J32" s="984">
        <f>DataBase!J139</f>
        <v>0</v>
      </c>
      <c r="K32" s="984">
        <f>DataBase!K139</f>
        <v>0</v>
      </c>
      <c r="L32" s="984">
        <f>DataBase!L139</f>
        <v>0</v>
      </c>
      <c r="M32" s="984">
        <f>DataBase!M139</f>
        <v>0</v>
      </c>
      <c r="N32" s="984">
        <f>DataBase!N139</f>
        <v>0</v>
      </c>
      <c r="O32" s="143">
        <f t="shared" si="6"/>
        <v>0</v>
      </c>
      <c r="P32" s="142">
        <f t="shared" si="5"/>
        <v>0</v>
      </c>
      <c r="Q32" s="143">
        <f t="shared" si="7"/>
        <v>0</v>
      </c>
    </row>
    <row r="33" spans="1:19" x14ac:dyDescent="0.2">
      <c r="A33" s="859" t="s">
        <v>1223</v>
      </c>
      <c r="B33" s="836" t="s">
        <v>751</v>
      </c>
      <c r="C33" s="984">
        <f>DataBase!C140</f>
        <v>0</v>
      </c>
      <c r="D33" s="984">
        <f>DataBase!D140</f>
        <v>0</v>
      </c>
      <c r="E33" s="984">
        <f>DataBase!E140</f>
        <v>0</v>
      </c>
      <c r="F33" s="984">
        <f>DataBase!F140</f>
        <v>0</v>
      </c>
      <c r="G33" s="984">
        <f>DataBase!G140</f>
        <v>0</v>
      </c>
      <c r="H33" s="984">
        <f>DataBase!H140</f>
        <v>0</v>
      </c>
      <c r="I33" s="984">
        <f>DataBase!I140</f>
        <v>0</v>
      </c>
      <c r="J33" s="984">
        <f>DataBase!J140</f>
        <v>0</v>
      </c>
      <c r="K33" s="984">
        <f>DataBase!K140</f>
        <v>0</v>
      </c>
      <c r="L33" s="984">
        <f>DataBase!L140</f>
        <v>0</v>
      </c>
      <c r="M33" s="984">
        <f>DataBase!M140</f>
        <v>0</v>
      </c>
      <c r="N33" s="984">
        <f>DataBase!N140</f>
        <v>5000</v>
      </c>
      <c r="O33" s="143">
        <f t="shared" si="6"/>
        <v>5000</v>
      </c>
      <c r="P33" s="142">
        <f t="shared" si="5"/>
        <v>0</v>
      </c>
      <c r="Q33" s="143">
        <f t="shared" si="7"/>
        <v>5000</v>
      </c>
    </row>
    <row r="34" spans="1:19" x14ac:dyDescent="0.2">
      <c r="A34" s="159" t="s">
        <v>230</v>
      </c>
      <c r="B34" s="677"/>
      <c r="C34" s="984">
        <f>DataBase!C76</f>
        <v>0</v>
      </c>
      <c r="D34" s="984">
        <f>DataBase!D76</f>
        <v>0</v>
      </c>
      <c r="E34" s="984">
        <f>DataBase!E76</f>
        <v>0</v>
      </c>
      <c r="F34" s="984">
        <f>DataBase!F76</f>
        <v>0</v>
      </c>
      <c r="G34" s="984">
        <f>DataBase!G76</f>
        <v>0</v>
      </c>
      <c r="H34" s="984">
        <f>DataBase!H76</f>
        <v>0</v>
      </c>
      <c r="I34" s="984">
        <f>DataBase!I76</f>
        <v>0</v>
      </c>
      <c r="J34" s="984">
        <f>DataBase!J76</f>
        <v>0</v>
      </c>
      <c r="K34" s="984">
        <f>DataBase!K76</f>
        <v>0</v>
      </c>
      <c r="L34" s="984">
        <f>DataBase!L76</f>
        <v>0</v>
      </c>
      <c r="M34" s="984">
        <f>DataBase!M76</f>
        <v>0</v>
      </c>
      <c r="N34" s="984">
        <f>DataBase!N76</f>
        <v>0</v>
      </c>
      <c r="O34" s="143">
        <f t="shared" si="6"/>
        <v>0</v>
      </c>
      <c r="P34" s="142">
        <f t="shared" si="5"/>
        <v>0</v>
      </c>
      <c r="Q34" s="143">
        <f t="shared" si="7"/>
        <v>0</v>
      </c>
    </row>
    <row r="35" spans="1:19" x14ac:dyDescent="0.2">
      <c r="A35" s="159" t="s">
        <v>405</v>
      </c>
      <c r="B35" s="677"/>
      <c r="C35" s="984">
        <f>DataBase!C77</f>
        <v>0</v>
      </c>
      <c r="D35" s="984">
        <f>DataBase!D77</f>
        <v>0</v>
      </c>
      <c r="E35" s="984">
        <f>DataBase!E77</f>
        <v>0</v>
      </c>
      <c r="F35" s="984">
        <f>DataBase!F77</f>
        <v>0</v>
      </c>
      <c r="G35" s="984">
        <f>DataBase!G77</f>
        <v>0</v>
      </c>
      <c r="H35" s="984">
        <f>DataBase!H77</f>
        <v>0</v>
      </c>
      <c r="I35" s="984">
        <f>DataBase!I77</f>
        <v>0</v>
      </c>
      <c r="J35" s="984">
        <f>DataBase!J77</f>
        <v>0</v>
      </c>
      <c r="K35" s="984">
        <f>DataBase!K77</f>
        <v>0</v>
      </c>
      <c r="L35" s="984">
        <f>DataBase!L77</f>
        <v>0</v>
      </c>
      <c r="M35" s="984">
        <f>DataBase!M77</f>
        <v>0</v>
      </c>
      <c r="N35" s="984">
        <f>DataBase!N77</f>
        <v>0</v>
      </c>
      <c r="O35" s="143">
        <f>SUM(C35:N35)</f>
        <v>0</v>
      </c>
      <c r="P35" s="142">
        <f t="shared" si="5"/>
        <v>0</v>
      </c>
      <c r="Q35" s="143">
        <f>(O35-P35)</f>
        <v>0</v>
      </c>
    </row>
    <row r="36" spans="1:19" x14ac:dyDescent="0.2">
      <c r="A36" s="159" t="s">
        <v>406</v>
      </c>
      <c r="B36" s="677"/>
      <c r="C36" s="984">
        <f>DataBase!C78</f>
        <v>0</v>
      </c>
      <c r="D36" s="984">
        <f>DataBase!D78</f>
        <v>0</v>
      </c>
      <c r="E36" s="984">
        <f>DataBase!E78</f>
        <v>0</v>
      </c>
      <c r="F36" s="984">
        <f>DataBase!F78</f>
        <v>0</v>
      </c>
      <c r="G36" s="984">
        <f>DataBase!G78</f>
        <v>0</v>
      </c>
      <c r="H36" s="984">
        <f>DataBase!H78</f>
        <v>0</v>
      </c>
      <c r="I36" s="984">
        <f>DataBase!I78</f>
        <v>0</v>
      </c>
      <c r="J36" s="984">
        <f>DataBase!J78</f>
        <v>0</v>
      </c>
      <c r="K36" s="984">
        <f>DataBase!K78</f>
        <v>0</v>
      </c>
      <c r="L36" s="984">
        <f>DataBase!L78</f>
        <v>0</v>
      </c>
      <c r="M36" s="984">
        <f>DataBase!M78</f>
        <v>0</v>
      </c>
      <c r="N36" s="984">
        <f>DataBase!N78</f>
        <v>0</v>
      </c>
      <c r="O36" s="143">
        <f>SUM(C36:N36)</f>
        <v>0</v>
      </c>
      <c r="P36" s="142">
        <f t="shared" si="5"/>
        <v>0</v>
      </c>
      <c r="Q36" s="143">
        <f>(O36-P36)</f>
        <v>0</v>
      </c>
    </row>
    <row r="37" spans="1:19" x14ac:dyDescent="0.2">
      <c r="A37" s="159" t="s">
        <v>728</v>
      </c>
      <c r="B37" s="677"/>
      <c r="C37" s="984">
        <f>DataBase!C141</f>
        <v>0</v>
      </c>
      <c r="D37" s="984">
        <f>DataBase!D141</f>
        <v>0</v>
      </c>
      <c r="E37" s="984">
        <f>DataBase!E141</f>
        <v>0</v>
      </c>
      <c r="F37" s="984">
        <f>DataBase!F141</f>
        <v>0</v>
      </c>
      <c r="G37" s="984">
        <f>DataBase!G141</f>
        <v>0</v>
      </c>
      <c r="H37" s="984">
        <f>DataBase!H141</f>
        <v>0</v>
      </c>
      <c r="I37" s="984">
        <f>DataBase!I141</f>
        <v>0</v>
      </c>
      <c r="J37" s="984">
        <f>DataBase!J141</f>
        <v>0</v>
      </c>
      <c r="K37" s="984">
        <f>DataBase!K141</f>
        <v>0</v>
      </c>
      <c r="L37" s="984">
        <f>DataBase!L141</f>
        <v>0</v>
      </c>
      <c r="M37" s="984">
        <f>DataBase!M141</f>
        <v>0</v>
      </c>
      <c r="N37" s="984">
        <f>DataBase!N141</f>
        <v>0</v>
      </c>
      <c r="O37" s="143">
        <f t="shared" si="6"/>
        <v>0</v>
      </c>
      <c r="P37" s="142">
        <f t="shared" si="5"/>
        <v>0</v>
      </c>
      <c r="Q37" s="143">
        <f t="shared" si="7"/>
        <v>0</v>
      </c>
    </row>
    <row r="38" spans="1:19" x14ac:dyDescent="0.2">
      <c r="A38" s="159" t="s">
        <v>364</v>
      </c>
      <c r="B38" s="677"/>
      <c r="C38" s="984">
        <f>DataBase!C142</f>
        <v>0</v>
      </c>
      <c r="D38" s="984">
        <f>DataBase!D142</f>
        <v>0</v>
      </c>
      <c r="E38" s="984">
        <f>DataBase!E142</f>
        <v>0</v>
      </c>
      <c r="F38" s="984">
        <f>DataBase!F142</f>
        <v>0</v>
      </c>
      <c r="G38" s="984">
        <f>DataBase!G142</f>
        <v>0</v>
      </c>
      <c r="H38" s="984">
        <f>DataBase!H142</f>
        <v>0</v>
      </c>
      <c r="I38" s="984">
        <f>DataBase!I142</f>
        <v>0</v>
      </c>
      <c r="J38" s="984">
        <f>DataBase!J142</f>
        <v>0</v>
      </c>
      <c r="K38" s="984">
        <f>DataBase!K142</f>
        <v>0</v>
      </c>
      <c r="L38" s="984">
        <f>DataBase!L142</f>
        <v>0</v>
      </c>
      <c r="M38" s="984">
        <f>DataBase!M142</f>
        <v>0</v>
      </c>
      <c r="N38" s="984">
        <f>DataBase!N142</f>
        <v>0</v>
      </c>
      <c r="O38" s="143">
        <f t="shared" ref="O38:O45" si="8">SUM(C38:N38)</f>
        <v>0</v>
      </c>
      <c r="P38" s="142">
        <f t="shared" si="5"/>
        <v>0</v>
      </c>
      <c r="Q38" s="143">
        <f t="shared" ref="Q38:Q45" si="9">(O38-P38)</f>
        <v>0</v>
      </c>
    </row>
    <row r="39" spans="1:19" x14ac:dyDescent="0.2">
      <c r="A39" s="159" t="s">
        <v>717</v>
      </c>
      <c r="B39" s="677"/>
      <c r="C39" s="984">
        <f>DataBase!C143</f>
        <v>0</v>
      </c>
      <c r="D39" s="984">
        <f>DataBase!D143</f>
        <v>0</v>
      </c>
      <c r="E39" s="984">
        <f>DataBase!E143</f>
        <v>0</v>
      </c>
      <c r="F39" s="984">
        <f>DataBase!F143</f>
        <v>0</v>
      </c>
      <c r="G39" s="984">
        <f>DataBase!G143</f>
        <v>0</v>
      </c>
      <c r="H39" s="984">
        <f>DataBase!H143</f>
        <v>0</v>
      </c>
      <c r="I39" s="984">
        <f>DataBase!I143</f>
        <v>0</v>
      </c>
      <c r="J39" s="984">
        <f>DataBase!J143</f>
        <v>0</v>
      </c>
      <c r="K39" s="984">
        <f>DataBase!K143</f>
        <v>0</v>
      </c>
      <c r="L39" s="984">
        <f>DataBase!L143</f>
        <v>0</v>
      </c>
      <c r="M39" s="984">
        <f>DataBase!M143</f>
        <v>0</v>
      </c>
      <c r="N39" s="984">
        <f>DataBase!N143</f>
        <v>0</v>
      </c>
      <c r="O39" s="143">
        <f t="shared" si="8"/>
        <v>0</v>
      </c>
      <c r="P39" s="142">
        <f t="shared" si="5"/>
        <v>0</v>
      </c>
      <c r="Q39" s="143">
        <f t="shared" si="9"/>
        <v>0</v>
      </c>
    </row>
    <row r="40" spans="1:19" x14ac:dyDescent="0.2">
      <c r="A40" s="159" t="s">
        <v>718</v>
      </c>
      <c r="B40" s="677"/>
      <c r="C40" s="984">
        <f>DataBase!C144</f>
        <v>0</v>
      </c>
      <c r="D40" s="984">
        <f>DataBase!D144</f>
        <v>0</v>
      </c>
      <c r="E40" s="984">
        <f>DataBase!E144</f>
        <v>0</v>
      </c>
      <c r="F40" s="984">
        <f>DataBase!F144</f>
        <v>0</v>
      </c>
      <c r="G40" s="984">
        <f>DataBase!G144</f>
        <v>0</v>
      </c>
      <c r="H40" s="984">
        <f>DataBase!H144</f>
        <v>0</v>
      </c>
      <c r="I40" s="984">
        <f>DataBase!I144</f>
        <v>0</v>
      </c>
      <c r="J40" s="984">
        <f>DataBase!J144</f>
        <v>0</v>
      </c>
      <c r="K40" s="984">
        <f>DataBase!K144</f>
        <v>0</v>
      </c>
      <c r="L40" s="984">
        <f>DataBase!L144</f>
        <v>0</v>
      </c>
      <c r="M40" s="984">
        <f>DataBase!M144</f>
        <v>0</v>
      </c>
      <c r="N40" s="984">
        <f>DataBase!N144</f>
        <v>0</v>
      </c>
      <c r="O40" s="143">
        <f t="shared" si="8"/>
        <v>0</v>
      </c>
      <c r="P40" s="142">
        <f t="shared" si="5"/>
        <v>0</v>
      </c>
      <c r="Q40" s="143">
        <f t="shared" si="9"/>
        <v>0</v>
      </c>
    </row>
    <row r="41" spans="1:19" x14ac:dyDescent="0.2">
      <c r="A41" s="159" t="s">
        <v>581</v>
      </c>
      <c r="B41" s="677"/>
      <c r="C41" s="984">
        <f>DataBase!C145</f>
        <v>0</v>
      </c>
      <c r="D41" s="984">
        <f>DataBase!D145</f>
        <v>0</v>
      </c>
      <c r="E41" s="984">
        <f>DataBase!E145</f>
        <v>0</v>
      </c>
      <c r="F41" s="984">
        <f>DataBase!F145</f>
        <v>0</v>
      </c>
      <c r="G41" s="984">
        <f>DataBase!G145</f>
        <v>0</v>
      </c>
      <c r="H41" s="984">
        <f>DataBase!H145</f>
        <v>0</v>
      </c>
      <c r="I41" s="984">
        <f>DataBase!I145</f>
        <v>0</v>
      </c>
      <c r="J41" s="984">
        <f>DataBase!J145</f>
        <v>0</v>
      </c>
      <c r="K41" s="984">
        <f>DataBase!K145</f>
        <v>0</v>
      </c>
      <c r="L41" s="984">
        <f>DataBase!L145</f>
        <v>0</v>
      </c>
      <c r="M41" s="984">
        <f>DataBase!M145</f>
        <v>0</v>
      </c>
      <c r="N41" s="984">
        <f>DataBase!N145</f>
        <v>0</v>
      </c>
      <c r="O41" s="143">
        <f t="shared" si="8"/>
        <v>0</v>
      </c>
      <c r="P41" s="142">
        <f t="shared" si="5"/>
        <v>0</v>
      </c>
      <c r="Q41" s="143">
        <f t="shared" si="9"/>
        <v>0</v>
      </c>
    </row>
    <row r="42" spans="1:19" x14ac:dyDescent="0.2">
      <c r="A42" s="159" t="s">
        <v>719</v>
      </c>
      <c r="B42" s="677"/>
      <c r="C42" s="984">
        <f>DataBase!C146</f>
        <v>0</v>
      </c>
      <c r="D42" s="984">
        <f>DataBase!D146</f>
        <v>0</v>
      </c>
      <c r="E42" s="984">
        <f>DataBase!E146</f>
        <v>0</v>
      </c>
      <c r="F42" s="984">
        <f>DataBase!F146</f>
        <v>0</v>
      </c>
      <c r="G42" s="984">
        <f>DataBase!G146</f>
        <v>0</v>
      </c>
      <c r="H42" s="984">
        <f>DataBase!H146</f>
        <v>1000</v>
      </c>
      <c r="I42" s="984">
        <f>DataBase!I146</f>
        <v>0</v>
      </c>
      <c r="J42" s="984">
        <f>DataBase!J146</f>
        <v>0</v>
      </c>
      <c r="K42" s="984">
        <f>DataBase!K146</f>
        <v>0</v>
      </c>
      <c r="L42" s="984">
        <f>DataBase!L146</f>
        <v>0</v>
      </c>
      <c r="M42" s="984">
        <f>DataBase!M146</f>
        <v>0</v>
      </c>
      <c r="N42" s="984">
        <f>DataBase!N146</f>
        <v>1000</v>
      </c>
      <c r="O42" s="143">
        <f t="shared" si="8"/>
        <v>2000</v>
      </c>
      <c r="P42" s="142">
        <f t="shared" si="5"/>
        <v>0</v>
      </c>
      <c r="Q42" s="143">
        <f t="shared" si="9"/>
        <v>2000</v>
      </c>
    </row>
    <row r="43" spans="1:19" x14ac:dyDescent="0.2">
      <c r="A43" s="159" t="s">
        <v>720</v>
      </c>
      <c r="B43" s="137"/>
      <c r="C43" s="984">
        <f>DataBase!C147</f>
        <v>0</v>
      </c>
      <c r="D43" s="984">
        <f>DataBase!D147</f>
        <v>0</v>
      </c>
      <c r="E43" s="984">
        <f>DataBase!E147</f>
        <v>0</v>
      </c>
      <c r="F43" s="984">
        <f>DataBase!F147</f>
        <v>0</v>
      </c>
      <c r="G43" s="984">
        <f>DataBase!G147</f>
        <v>0</v>
      </c>
      <c r="H43" s="984">
        <f>DataBase!H147</f>
        <v>0</v>
      </c>
      <c r="I43" s="984">
        <f>DataBase!I147</f>
        <v>0</v>
      </c>
      <c r="J43" s="984">
        <f>DataBase!J147</f>
        <v>0</v>
      </c>
      <c r="K43" s="984">
        <f>DataBase!K147</f>
        <v>0</v>
      </c>
      <c r="L43" s="984">
        <f>DataBase!L147</f>
        <v>0</v>
      </c>
      <c r="M43" s="984">
        <f>DataBase!M147</f>
        <v>0</v>
      </c>
      <c r="N43" s="984">
        <f>DataBase!N147</f>
        <v>0</v>
      </c>
      <c r="O43" s="143">
        <f t="shared" si="8"/>
        <v>0</v>
      </c>
      <c r="P43" s="142">
        <f t="shared" si="5"/>
        <v>0</v>
      </c>
      <c r="Q43" s="143">
        <f t="shared" si="9"/>
        <v>0</v>
      </c>
    </row>
    <row r="44" spans="1:19" x14ac:dyDescent="0.2">
      <c r="A44" s="159" t="s">
        <v>304</v>
      </c>
      <c r="B44" s="137"/>
      <c r="C44" s="984">
        <f>DataBase!C149</f>
        <v>0</v>
      </c>
      <c r="D44" s="984">
        <f>DataBase!D149</f>
        <v>0</v>
      </c>
      <c r="E44" s="984">
        <f>DataBase!E149</f>
        <v>0</v>
      </c>
      <c r="F44" s="984">
        <f>DataBase!F149</f>
        <v>0</v>
      </c>
      <c r="G44" s="984">
        <f>DataBase!G149</f>
        <v>0</v>
      </c>
      <c r="H44" s="984">
        <f>DataBase!H149</f>
        <v>0</v>
      </c>
      <c r="I44" s="984">
        <f>DataBase!I149</f>
        <v>0</v>
      </c>
      <c r="J44" s="984">
        <f>DataBase!J149</f>
        <v>0</v>
      </c>
      <c r="K44" s="984">
        <f>DataBase!K149</f>
        <v>0</v>
      </c>
      <c r="L44" s="984">
        <f>DataBase!L149</f>
        <v>0</v>
      </c>
      <c r="M44" s="984">
        <f>DataBase!M149</f>
        <v>0</v>
      </c>
      <c r="N44" s="984">
        <f>DataBase!N149</f>
        <v>0</v>
      </c>
      <c r="O44" s="143">
        <f>SUM(C44:N44)</f>
        <v>0</v>
      </c>
      <c r="P44" s="142">
        <f>SUM(C44:D44)</f>
        <v>0</v>
      </c>
      <c r="Q44" s="143">
        <f>(O44-P44)</f>
        <v>0</v>
      </c>
    </row>
    <row r="45" spans="1:19" x14ac:dyDescent="0.2">
      <c r="A45" s="159" t="s">
        <v>396</v>
      </c>
      <c r="B45" s="677"/>
      <c r="C45" s="984">
        <f>DataBase!C183</f>
        <v>0</v>
      </c>
      <c r="D45" s="984">
        <f>DataBase!D183</f>
        <v>0</v>
      </c>
      <c r="E45" s="984">
        <f>DataBase!E183</f>
        <v>0</v>
      </c>
      <c r="F45" s="984">
        <f>DataBase!F183</f>
        <v>0</v>
      </c>
      <c r="G45" s="984">
        <f>DataBase!G183</f>
        <v>0</v>
      </c>
      <c r="H45" s="984">
        <f>DataBase!H183</f>
        <v>0</v>
      </c>
      <c r="I45" s="984">
        <f>DataBase!I183</f>
        <v>0</v>
      </c>
      <c r="J45" s="984">
        <f>DataBase!J183</f>
        <v>0</v>
      </c>
      <c r="K45" s="984">
        <f>DataBase!K183</f>
        <v>0</v>
      </c>
      <c r="L45" s="984">
        <f>DataBase!L183</f>
        <v>0</v>
      </c>
      <c r="M45" s="984">
        <f>DataBase!M183</f>
        <v>0</v>
      </c>
      <c r="N45" s="984">
        <f>DataBase!N183</f>
        <v>0</v>
      </c>
      <c r="O45" s="143">
        <f t="shared" si="8"/>
        <v>0</v>
      </c>
      <c r="P45" s="142">
        <f t="shared" si="5"/>
        <v>0</v>
      </c>
      <c r="Q45" s="143">
        <f t="shared" si="9"/>
        <v>0</v>
      </c>
    </row>
    <row r="46" spans="1:19" x14ac:dyDescent="0.2">
      <c r="A46" s="861" t="s">
        <v>394</v>
      </c>
      <c r="B46" s="677"/>
      <c r="C46" s="142">
        <v>0</v>
      </c>
      <c r="D46" s="142">
        <v>0</v>
      </c>
      <c r="E46" s="142">
        <v>0</v>
      </c>
      <c r="F46" s="142">
        <v>0</v>
      </c>
      <c r="G46" s="142">
        <v>0</v>
      </c>
      <c r="H46" s="142">
        <v>0</v>
      </c>
      <c r="I46" s="142">
        <v>0</v>
      </c>
      <c r="J46" s="142">
        <v>0</v>
      </c>
      <c r="K46" s="142">
        <v>0</v>
      </c>
      <c r="L46" s="142">
        <v>0</v>
      </c>
      <c r="M46" s="142">
        <v>0</v>
      </c>
      <c r="N46" s="682">
        <v>0</v>
      </c>
      <c r="O46" s="143">
        <f t="shared" si="6"/>
        <v>0</v>
      </c>
      <c r="P46" s="142">
        <f t="shared" si="5"/>
        <v>0</v>
      </c>
      <c r="Q46" s="143">
        <f t="shared" si="7"/>
        <v>0</v>
      </c>
    </row>
    <row r="47" spans="1:19" x14ac:dyDescent="0.2">
      <c r="A47" s="147" t="s">
        <v>1187</v>
      </c>
      <c r="C47" s="271">
        <v>0</v>
      </c>
      <c r="D47" s="271">
        <v>0</v>
      </c>
      <c r="E47" s="271">
        <v>0</v>
      </c>
      <c r="F47" s="271">
        <v>0</v>
      </c>
      <c r="G47" s="271">
        <v>0</v>
      </c>
      <c r="H47" s="271">
        <v>0</v>
      </c>
      <c r="I47" s="271">
        <v>0</v>
      </c>
      <c r="J47" s="271">
        <v>0</v>
      </c>
      <c r="K47" s="271">
        <v>0</v>
      </c>
      <c r="L47" s="271">
        <v>0</v>
      </c>
      <c r="M47" s="271">
        <v>0</v>
      </c>
      <c r="N47" s="271">
        <v>0</v>
      </c>
      <c r="O47" s="144">
        <f t="shared" si="6"/>
        <v>0</v>
      </c>
      <c r="P47" s="271">
        <f t="shared" si="5"/>
        <v>0</v>
      </c>
      <c r="Q47" s="144">
        <f t="shared" si="7"/>
        <v>0</v>
      </c>
      <c r="R47" s="149"/>
      <c r="S47" s="149"/>
    </row>
    <row r="48" spans="1:19" ht="3.95" customHeight="1" x14ac:dyDescent="0.2">
      <c r="A48" s="145"/>
      <c r="B48" s="831"/>
      <c r="C48" s="145"/>
      <c r="D48" s="145"/>
      <c r="E48" s="145"/>
      <c r="F48" s="145"/>
      <c r="G48" s="145"/>
      <c r="H48" s="145"/>
      <c r="I48" s="145"/>
      <c r="J48" s="145"/>
      <c r="K48" s="145"/>
      <c r="L48" s="145"/>
      <c r="M48" s="145"/>
      <c r="N48" s="145"/>
      <c r="P48" s="145"/>
    </row>
    <row r="49" spans="1:29" x14ac:dyDescent="0.2">
      <c r="A49" s="397" t="s">
        <v>785</v>
      </c>
      <c r="B49" s="830"/>
      <c r="C49" s="146">
        <f t="shared" ref="C49:Q49" si="10">SUM(C27:C47)</f>
        <v>52</v>
      </c>
      <c r="D49" s="146">
        <f t="shared" si="10"/>
        <v>18</v>
      </c>
      <c r="E49" s="146">
        <f t="shared" si="10"/>
        <v>67</v>
      </c>
      <c r="F49" s="146">
        <f t="shared" si="10"/>
        <v>164</v>
      </c>
      <c r="G49" s="146">
        <f t="shared" si="10"/>
        <v>292</v>
      </c>
      <c r="H49" s="146">
        <f t="shared" si="10"/>
        <v>9002</v>
      </c>
      <c r="I49" s="146">
        <f t="shared" si="10"/>
        <v>3</v>
      </c>
      <c r="J49" s="146">
        <f t="shared" si="10"/>
        <v>150</v>
      </c>
      <c r="K49" s="146">
        <f t="shared" si="10"/>
        <v>282</v>
      </c>
      <c r="L49" s="146">
        <f t="shared" si="10"/>
        <v>407</v>
      </c>
      <c r="M49" s="146">
        <f t="shared" si="10"/>
        <v>314</v>
      </c>
      <c r="N49" s="146">
        <f t="shared" si="10"/>
        <v>6302</v>
      </c>
      <c r="O49" s="146">
        <f t="shared" si="10"/>
        <v>17053</v>
      </c>
      <c r="P49" s="146">
        <f t="shared" si="10"/>
        <v>70</v>
      </c>
      <c r="Q49" s="146">
        <f t="shared" si="10"/>
        <v>16983</v>
      </c>
      <c r="R49" s="140"/>
      <c r="S49" s="140"/>
      <c r="T49" s="140"/>
      <c r="U49" s="140"/>
      <c r="V49" s="140"/>
      <c r="W49" s="140"/>
      <c r="X49" s="140"/>
      <c r="Y49" s="140"/>
      <c r="Z49" s="140"/>
      <c r="AA49" s="140"/>
      <c r="AB49" s="140"/>
      <c r="AC49" s="140"/>
    </row>
    <row r="50" spans="1:29" ht="6" customHeight="1" x14ac:dyDescent="0.2">
      <c r="A50" s="145"/>
      <c r="B50" s="831"/>
    </row>
    <row r="51" spans="1:29" x14ac:dyDescent="0.2">
      <c r="A51" s="397" t="s">
        <v>787</v>
      </c>
      <c r="B51" s="830"/>
      <c r="C51" s="146">
        <f t="shared" ref="C51:Q51" si="11">(C12+C24+C49)</f>
        <v>377</v>
      </c>
      <c r="D51" s="146">
        <f t="shared" si="11"/>
        <v>334</v>
      </c>
      <c r="E51" s="146">
        <f t="shared" si="11"/>
        <v>387</v>
      </c>
      <c r="F51" s="146">
        <f t="shared" si="11"/>
        <v>487</v>
      </c>
      <c r="G51" s="146">
        <f t="shared" si="11"/>
        <v>608</v>
      </c>
      <c r="H51" s="146">
        <f t="shared" si="11"/>
        <v>9879</v>
      </c>
      <c r="I51" s="146">
        <f t="shared" si="11"/>
        <v>886</v>
      </c>
      <c r="J51" s="146">
        <f t="shared" si="11"/>
        <v>893</v>
      </c>
      <c r="K51" s="146">
        <f t="shared" si="11"/>
        <v>1023</v>
      </c>
      <c r="L51" s="146">
        <f t="shared" si="11"/>
        <v>1124</v>
      </c>
      <c r="M51" s="146">
        <f t="shared" si="11"/>
        <v>1049</v>
      </c>
      <c r="N51" s="146">
        <f t="shared" si="11"/>
        <v>7038</v>
      </c>
      <c r="O51" s="146">
        <f t="shared" si="11"/>
        <v>24085</v>
      </c>
      <c r="P51" s="146">
        <f t="shared" si="11"/>
        <v>711</v>
      </c>
      <c r="Q51" s="146">
        <f t="shared" si="11"/>
        <v>23374</v>
      </c>
      <c r="R51" s="150"/>
      <c r="S51" s="140"/>
    </row>
    <row r="52" spans="1:29" ht="12.75" customHeight="1" x14ac:dyDescent="0.2">
      <c r="A52" s="400"/>
    </row>
  </sheetData>
  <phoneticPr fontId="0" type="noConversion"/>
  <printOptions horizontalCentered="1" gridLinesSet="0"/>
  <pageMargins left="0.5" right="0.5" top="0.25" bottom="0.25" header="0" footer="0"/>
  <pageSetup paperSize="5" scale="89" orientation="landscape" horizontalDpi="1200" verticalDpi="12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2">
    <pageSetUpPr fitToPage="1"/>
  </sheetPr>
  <dimension ref="A1:W58"/>
  <sheetViews>
    <sheetView showGridLines="0" workbookViewId="0">
      <pane xSplit="2" ySplit="4" topLeftCell="C5" activePane="bottomRight" state="frozen"/>
      <selection activeCell="W21" sqref="W21"/>
      <selection pane="topRight" activeCell="W21" sqref="W21"/>
      <selection pane="bottomLeft" activeCell="W21" sqref="W21"/>
      <selection pane="bottomRight" activeCell="D11" sqref="D11"/>
    </sheetView>
  </sheetViews>
  <sheetFormatPr defaultRowHeight="12.75" x14ac:dyDescent="0.2"/>
  <cols>
    <col min="1" max="1" width="45.7109375" style="151" customWidth="1"/>
    <col min="2" max="2" width="8.7109375" style="820" customWidth="1"/>
    <col min="3" max="14" width="8.7109375" style="151" customWidth="1"/>
    <col min="15" max="17" width="9.7109375" style="151" customWidth="1"/>
    <col min="18" max="16384" width="9.140625" style="151"/>
  </cols>
  <sheetData>
    <row r="1" spans="1:21" x14ac:dyDescent="0.2">
      <c r="A1" s="605" t="str">
        <f ca="1">CELL("FILENAME")</f>
        <v>C:\Users\Felienne\Enron\EnronSpreadsheets\[tracy_geaccone__40367__EMNNG02PL.xls]IncomeState</v>
      </c>
      <c r="R1" s="152"/>
    </row>
    <row r="2" spans="1:21" x14ac:dyDescent="0.2">
      <c r="A2" s="401" t="s">
        <v>678</v>
      </c>
      <c r="C2" s="153" t="s">
        <v>1173</v>
      </c>
      <c r="D2" s="153" t="s">
        <v>1173</v>
      </c>
      <c r="E2" s="615"/>
      <c r="F2" s="153" t="s">
        <v>1173</v>
      </c>
      <c r="G2" s="500"/>
      <c r="H2" s="153" t="s">
        <v>1173</v>
      </c>
      <c r="I2" s="154"/>
      <c r="J2" s="154"/>
      <c r="K2" s="154"/>
      <c r="L2" s="154"/>
      <c r="M2" s="154"/>
      <c r="N2" s="154"/>
      <c r="O2" s="155"/>
      <c r="P2" s="155"/>
      <c r="Q2" s="155"/>
    </row>
    <row r="3" spans="1:21" x14ac:dyDescent="0.2">
      <c r="A3" s="552" t="str">
        <f>IncomeState!A3</f>
        <v>2002 OPERATING PLAN</v>
      </c>
      <c r="B3" s="821">
        <f ca="1">NOW()</f>
        <v>41887.551126967592</v>
      </c>
      <c r="C3" s="615" t="str">
        <f>DataBase!C2</f>
        <v>PLAN</v>
      </c>
      <c r="D3" s="615" t="str">
        <f>DataBase!D2</f>
        <v>PLAN</v>
      </c>
      <c r="E3" s="615" t="str">
        <f>DataBase!E2</f>
        <v>PLAN</v>
      </c>
      <c r="F3" s="615" t="str">
        <f>DataBase!F2</f>
        <v>PLAN</v>
      </c>
      <c r="G3" s="615" t="str">
        <f>DataBase!G2</f>
        <v>PLAN</v>
      </c>
      <c r="H3" s="615" t="str">
        <f>DataBase!H2</f>
        <v>PLAN</v>
      </c>
      <c r="I3" s="615" t="str">
        <f>DataBase!I2</f>
        <v>PLAN</v>
      </c>
      <c r="J3" s="615" t="str">
        <f>DataBase!J2</f>
        <v>PLAN</v>
      </c>
      <c r="K3" s="615" t="str">
        <f>DataBase!K2</f>
        <v>PLAN</v>
      </c>
      <c r="L3" s="615" t="str">
        <f>DataBase!L2</f>
        <v>PLAN</v>
      </c>
      <c r="M3" s="615" t="str">
        <f>DataBase!M2</f>
        <v>PLAN</v>
      </c>
      <c r="N3" s="615" t="str">
        <f>DataBase!N2</f>
        <v>PLAN</v>
      </c>
      <c r="O3" s="615" t="str">
        <f>DataBase!O2</f>
        <v>TOTAL</v>
      </c>
      <c r="P3" s="615" t="str">
        <f>IncomeState!P6</f>
        <v>FEB.</v>
      </c>
      <c r="Q3" s="615" t="str">
        <f>IncomeState!Q6</f>
        <v>ESTIMATE</v>
      </c>
    </row>
    <row r="4" spans="1:21" x14ac:dyDescent="0.2">
      <c r="A4" s="402"/>
      <c r="B4" s="822">
        <f ca="1">NOW()</f>
        <v>41887.551126967592</v>
      </c>
      <c r="C4" s="405" t="s">
        <v>1174</v>
      </c>
      <c r="D4" s="405" t="s">
        <v>1175</v>
      </c>
      <c r="E4" s="405" t="s">
        <v>1176</v>
      </c>
      <c r="F4" s="405" t="s">
        <v>1177</v>
      </c>
      <c r="G4" s="405" t="s">
        <v>1178</v>
      </c>
      <c r="H4" s="405" t="s">
        <v>1179</v>
      </c>
      <c r="I4" s="405" t="s">
        <v>1180</v>
      </c>
      <c r="J4" s="405" t="s">
        <v>1181</v>
      </c>
      <c r="K4" s="405" t="s">
        <v>1182</v>
      </c>
      <c r="L4" s="405" t="s">
        <v>1183</v>
      </c>
      <c r="M4" s="405" t="s">
        <v>1184</v>
      </c>
      <c r="N4" s="405" t="s">
        <v>1185</v>
      </c>
      <c r="O4" s="616" t="str">
        <f>DataBase!O3</f>
        <v>2002</v>
      </c>
      <c r="P4" s="616" t="str">
        <f>IncomeState!P7</f>
        <v>Y-T-D</v>
      </c>
      <c r="Q4" s="616" t="str">
        <f>IncomeState!Q7</f>
        <v>R.M.</v>
      </c>
    </row>
    <row r="5" spans="1:21" ht="3.95" customHeight="1" x14ac:dyDescent="0.2">
      <c r="A5" s="403"/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P5" s="156"/>
    </row>
    <row r="6" spans="1:21" x14ac:dyDescent="0.2">
      <c r="A6" s="404" t="s">
        <v>634</v>
      </c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</row>
    <row r="7" spans="1:21" x14ac:dyDescent="0.2">
      <c r="A7" s="159" t="s">
        <v>789</v>
      </c>
      <c r="B7" s="836" t="s">
        <v>339</v>
      </c>
      <c r="C7" s="157">
        <f>-Trackers!D408</f>
        <v>0</v>
      </c>
      <c r="D7" s="157">
        <f>-Trackers!E408</f>
        <v>0</v>
      </c>
      <c r="E7" s="157">
        <f>-Trackers!F408</f>
        <v>0</v>
      </c>
      <c r="F7" s="157">
        <f>-Trackers!G408</f>
        <v>0</v>
      </c>
      <c r="G7" s="157">
        <f>-Trackers!H408</f>
        <v>0</v>
      </c>
      <c r="H7" s="157">
        <f>-Trackers!I408</f>
        <v>0</v>
      </c>
      <c r="I7" s="157">
        <f>-Trackers!J408</f>
        <v>0</v>
      </c>
      <c r="J7" s="157">
        <f>-Trackers!K408</f>
        <v>0</v>
      </c>
      <c r="K7" s="157">
        <f>-Trackers!L408</f>
        <v>0</v>
      </c>
      <c r="L7" s="157">
        <f>-Trackers!M408</f>
        <v>0</v>
      </c>
      <c r="M7" s="157">
        <f>-Trackers!N408</f>
        <v>0</v>
      </c>
      <c r="N7" s="157">
        <f>-Trackers!O408</f>
        <v>0</v>
      </c>
      <c r="O7" s="157">
        <f t="shared" ref="O7:O19" si="0">SUM(C7:N7)</f>
        <v>0</v>
      </c>
      <c r="P7" s="160">
        <f>SUM(C7:D7)</f>
        <v>0</v>
      </c>
      <c r="Q7" s="157">
        <f t="shared" ref="Q7:Q19" si="1">(O7-P7)</f>
        <v>0</v>
      </c>
      <c r="R7" s="157"/>
      <c r="S7" s="157"/>
      <c r="T7" s="157"/>
      <c r="U7" s="157"/>
    </row>
    <row r="8" spans="1:21" x14ac:dyDescent="0.2">
      <c r="A8" s="159" t="s">
        <v>790</v>
      </c>
      <c r="B8" s="836" t="s">
        <v>339</v>
      </c>
      <c r="C8" s="157">
        <f>-Trackers!D461</f>
        <v>12</v>
      </c>
      <c r="D8" s="157">
        <f>-Trackers!E461</f>
        <v>10</v>
      </c>
      <c r="E8" s="157">
        <f>-Trackers!F461</f>
        <v>12</v>
      </c>
      <c r="F8" s="157">
        <f>-Trackers!G461</f>
        <v>11</v>
      </c>
      <c r="G8" s="157">
        <f>-Trackers!H461</f>
        <v>12</v>
      </c>
      <c r="H8" s="157">
        <f>-Trackers!I461</f>
        <v>12</v>
      </c>
      <c r="I8" s="157">
        <f>-Trackers!J461</f>
        <v>12</v>
      </c>
      <c r="J8" s="157">
        <f>-Trackers!K461</f>
        <v>12</v>
      </c>
      <c r="K8" s="157">
        <f>-Trackers!L461</f>
        <v>12</v>
      </c>
      <c r="L8" s="157">
        <f>-Trackers!M461</f>
        <v>6</v>
      </c>
      <c r="M8" s="157">
        <f>-Trackers!N461</f>
        <v>6</v>
      </c>
      <c r="N8" s="157">
        <f>-Trackers!O461</f>
        <v>6</v>
      </c>
      <c r="O8" s="157">
        <f t="shared" si="0"/>
        <v>123</v>
      </c>
      <c r="P8" s="160">
        <f t="shared" ref="P8:P19" si="2">SUM(C8:D8)</f>
        <v>22</v>
      </c>
      <c r="Q8" s="157">
        <f t="shared" si="1"/>
        <v>101</v>
      </c>
      <c r="R8" s="157"/>
    </row>
    <row r="9" spans="1:21" x14ac:dyDescent="0.2">
      <c r="A9" s="159" t="s">
        <v>791</v>
      </c>
      <c r="B9" s="836" t="s">
        <v>339</v>
      </c>
      <c r="C9" s="157">
        <f>-Trackers!D514</f>
        <v>0</v>
      </c>
      <c r="D9" s="157">
        <f>-Trackers!E514</f>
        <v>0</v>
      </c>
      <c r="E9" s="157">
        <f>-Trackers!F514</f>
        <v>0</v>
      </c>
      <c r="F9" s="157">
        <f>-Trackers!G514</f>
        <v>0</v>
      </c>
      <c r="G9" s="157">
        <f>-Trackers!H514</f>
        <v>0</v>
      </c>
      <c r="H9" s="157">
        <f>-Trackers!I514</f>
        <v>0</v>
      </c>
      <c r="I9" s="157">
        <f>-Trackers!J514</f>
        <v>0</v>
      </c>
      <c r="J9" s="157">
        <f>-Trackers!K514</f>
        <v>0</v>
      </c>
      <c r="K9" s="157">
        <f>-Trackers!L514</f>
        <v>0</v>
      </c>
      <c r="L9" s="157">
        <f>-Trackers!M514</f>
        <v>0</v>
      </c>
      <c r="M9" s="157">
        <f>-Trackers!N514</f>
        <v>0</v>
      </c>
      <c r="N9" s="157">
        <f>-Trackers!O514</f>
        <v>0</v>
      </c>
      <c r="O9" s="157">
        <f t="shared" si="0"/>
        <v>0</v>
      </c>
      <c r="P9" s="160">
        <f t="shared" si="2"/>
        <v>0</v>
      </c>
      <c r="Q9" s="157">
        <f t="shared" si="1"/>
        <v>0</v>
      </c>
      <c r="R9" s="157"/>
    </row>
    <row r="10" spans="1:21" x14ac:dyDescent="0.2">
      <c r="A10" s="148" t="s">
        <v>1001</v>
      </c>
      <c r="B10" s="836" t="s">
        <v>339</v>
      </c>
      <c r="C10" s="143">
        <f>-Trackers!D355</f>
        <v>0</v>
      </c>
      <c r="D10" s="143">
        <f>-Trackers!E355</f>
        <v>0</v>
      </c>
      <c r="E10" s="143">
        <f>-Trackers!F355</f>
        <v>0</v>
      </c>
      <c r="F10" s="143">
        <f>-Trackers!G355</f>
        <v>0</v>
      </c>
      <c r="G10" s="143">
        <f>-Trackers!H355</f>
        <v>0</v>
      </c>
      <c r="H10" s="143">
        <f>-Trackers!I355</f>
        <v>0</v>
      </c>
      <c r="I10" s="143">
        <f>-Trackers!J355</f>
        <v>0</v>
      </c>
      <c r="J10" s="143">
        <f>-Trackers!K355</f>
        <v>0</v>
      </c>
      <c r="K10" s="143">
        <f>-Trackers!L355</f>
        <v>0</v>
      </c>
      <c r="L10" s="143">
        <f>-Trackers!M355</f>
        <v>0</v>
      </c>
      <c r="M10" s="143">
        <f>-Trackers!N355</f>
        <v>0</v>
      </c>
      <c r="N10" s="143">
        <f>-Trackers!O355</f>
        <v>0</v>
      </c>
      <c r="O10" s="143">
        <f t="shared" si="0"/>
        <v>0</v>
      </c>
      <c r="P10" s="160">
        <f t="shared" si="2"/>
        <v>0</v>
      </c>
      <c r="Q10" s="143">
        <f t="shared" si="1"/>
        <v>0</v>
      </c>
      <c r="R10" s="157"/>
    </row>
    <row r="11" spans="1:21" x14ac:dyDescent="0.2">
      <c r="A11" s="148" t="s">
        <v>362</v>
      </c>
      <c r="B11" s="836" t="s">
        <v>339</v>
      </c>
      <c r="C11" s="143">
        <f>-Trackers!D66</f>
        <v>0</v>
      </c>
      <c r="D11" s="143">
        <f>-Trackers!E66</f>
        <v>1</v>
      </c>
      <c r="E11" s="143">
        <f>-Trackers!F66</f>
        <v>0</v>
      </c>
      <c r="F11" s="143">
        <f>-Trackers!G66</f>
        <v>1</v>
      </c>
      <c r="G11" s="143">
        <f>-Trackers!H66</f>
        <v>0</v>
      </c>
      <c r="H11" s="143">
        <f>-Trackers!I66</f>
        <v>1</v>
      </c>
      <c r="I11" s="143">
        <f>-Trackers!J66</f>
        <v>0</v>
      </c>
      <c r="J11" s="143">
        <f>-Trackers!K66</f>
        <v>1</v>
      </c>
      <c r="K11" s="143">
        <f>-Trackers!L66</f>
        <v>0</v>
      </c>
      <c r="L11" s="143">
        <f>-Trackers!M66</f>
        <v>1</v>
      </c>
      <c r="M11" s="143">
        <f>-Trackers!N66</f>
        <v>0</v>
      </c>
      <c r="N11" s="143">
        <f>-Trackers!O66</f>
        <v>1</v>
      </c>
      <c r="O11" s="143">
        <f>SUM(C11:N11)</f>
        <v>6</v>
      </c>
      <c r="P11" s="160">
        <f t="shared" si="2"/>
        <v>1</v>
      </c>
      <c r="Q11" s="143">
        <f>(O11-P11)</f>
        <v>5</v>
      </c>
      <c r="R11" s="157"/>
    </row>
    <row r="12" spans="1:21" x14ac:dyDescent="0.2">
      <c r="A12" s="148" t="s">
        <v>1056</v>
      </c>
      <c r="B12" s="836" t="s">
        <v>339</v>
      </c>
      <c r="C12" s="662">
        <f>-Trackers!D649</f>
        <v>0</v>
      </c>
      <c r="D12" s="662">
        <f>-Trackers!E649</f>
        <v>0</v>
      </c>
      <c r="E12" s="662">
        <f>-Trackers!F649</f>
        <v>0</v>
      </c>
      <c r="F12" s="662">
        <f>-Trackers!G649</f>
        <v>0</v>
      </c>
      <c r="G12" s="662">
        <f>-Trackers!H649</f>
        <v>0</v>
      </c>
      <c r="H12" s="662">
        <f>-Trackers!I649</f>
        <v>0</v>
      </c>
      <c r="I12" s="662">
        <f>-Trackers!J649</f>
        <v>0</v>
      </c>
      <c r="J12" s="662">
        <f>-Trackers!K649</f>
        <v>0</v>
      </c>
      <c r="K12" s="662">
        <f>-Trackers!L649</f>
        <v>0</v>
      </c>
      <c r="L12" s="662">
        <f>-Trackers!M649</f>
        <v>0</v>
      </c>
      <c r="M12" s="662">
        <f>-Trackers!N649</f>
        <v>0</v>
      </c>
      <c r="N12" s="662">
        <f>-Trackers!O649</f>
        <v>0</v>
      </c>
      <c r="O12" s="157">
        <f t="shared" si="0"/>
        <v>0</v>
      </c>
      <c r="P12" s="160">
        <f t="shared" si="2"/>
        <v>0</v>
      </c>
      <c r="Q12" s="157">
        <f t="shared" si="1"/>
        <v>0</v>
      </c>
      <c r="R12" s="157"/>
      <c r="S12" s="157"/>
      <c r="T12" s="157"/>
      <c r="U12" s="157"/>
    </row>
    <row r="13" spans="1:21" x14ac:dyDescent="0.2">
      <c r="A13" s="159" t="s">
        <v>1057</v>
      </c>
      <c r="B13" s="836" t="s">
        <v>339</v>
      </c>
      <c r="C13" s="143">
        <f>-Trackers!D620</f>
        <v>8</v>
      </c>
      <c r="D13" s="143">
        <f>-Trackers!E620</f>
        <v>8</v>
      </c>
      <c r="E13" s="143">
        <f>-Trackers!F620</f>
        <v>11</v>
      </c>
      <c r="F13" s="143">
        <f>-Trackers!G620</f>
        <v>12</v>
      </c>
      <c r="G13" s="143">
        <f>-Trackers!H620</f>
        <v>12</v>
      </c>
      <c r="H13" s="143">
        <f>-Trackers!I620</f>
        <v>0</v>
      </c>
      <c r="I13" s="143">
        <f>-Trackers!J620</f>
        <v>0</v>
      </c>
      <c r="J13" s="143">
        <f>-Trackers!K620</f>
        <v>0</v>
      </c>
      <c r="K13" s="143">
        <f>-Trackers!L620</f>
        <v>0</v>
      </c>
      <c r="L13" s="143">
        <f>-Trackers!M620</f>
        <v>0</v>
      </c>
      <c r="M13" s="143">
        <f>-Trackers!N620</f>
        <v>0</v>
      </c>
      <c r="N13" s="143">
        <f>-Trackers!O620</f>
        <v>1</v>
      </c>
      <c r="O13" s="157">
        <f t="shared" si="0"/>
        <v>52</v>
      </c>
      <c r="P13" s="160">
        <f t="shared" si="2"/>
        <v>16</v>
      </c>
      <c r="Q13" s="157">
        <f t="shared" si="1"/>
        <v>36</v>
      </c>
      <c r="R13" s="157"/>
      <c r="S13" s="157"/>
      <c r="T13" s="157"/>
      <c r="U13" s="157"/>
    </row>
    <row r="14" spans="1:21" x14ac:dyDescent="0.2">
      <c r="A14" s="159" t="s">
        <v>1058</v>
      </c>
      <c r="B14" s="824"/>
      <c r="C14" s="160">
        <v>1</v>
      </c>
      <c r="D14" s="160">
        <v>2</v>
      </c>
      <c r="E14" s="160">
        <v>3</v>
      </c>
      <c r="F14" s="160">
        <v>3</v>
      </c>
      <c r="G14" s="160">
        <v>0</v>
      </c>
      <c r="H14" s="160">
        <v>0</v>
      </c>
      <c r="I14" s="160">
        <v>0</v>
      </c>
      <c r="J14" s="160">
        <v>0</v>
      </c>
      <c r="K14" s="160">
        <v>0</v>
      </c>
      <c r="L14" s="160">
        <v>0</v>
      </c>
      <c r="M14" s="160">
        <v>0</v>
      </c>
      <c r="N14" s="160">
        <v>1</v>
      </c>
      <c r="O14" s="157">
        <f t="shared" si="0"/>
        <v>10</v>
      </c>
      <c r="P14" s="160">
        <f t="shared" si="2"/>
        <v>3</v>
      </c>
      <c r="Q14" s="157">
        <f t="shared" si="1"/>
        <v>7</v>
      </c>
      <c r="R14" s="157"/>
      <c r="S14" s="157"/>
      <c r="T14" s="157"/>
      <c r="U14" s="157"/>
    </row>
    <row r="15" spans="1:21" x14ac:dyDescent="0.2">
      <c r="A15" s="159" t="s">
        <v>637</v>
      </c>
      <c r="B15" s="846" t="s">
        <v>751</v>
      </c>
      <c r="C15" s="1010">
        <f>-10+10</f>
        <v>0</v>
      </c>
      <c r="D15" s="1010">
        <f>-4+4</f>
        <v>0</v>
      </c>
      <c r="E15" s="1010">
        <f>-12+12</f>
        <v>0</v>
      </c>
      <c r="F15" s="1010">
        <f>-28+28</f>
        <v>0</v>
      </c>
      <c r="G15" s="1010">
        <f>-50+50</f>
        <v>0</v>
      </c>
      <c r="H15" s="1010">
        <f>-68+68</f>
        <v>0</v>
      </c>
      <c r="I15" s="1010">
        <f>-2+2</f>
        <v>0</v>
      </c>
      <c r="J15" s="1010">
        <f>-26+26</f>
        <v>0</v>
      </c>
      <c r="K15" s="1010">
        <f>-48+48</f>
        <v>0</v>
      </c>
      <c r="L15" s="1010">
        <f>-69+69</f>
        <v>0</v>
      </c>
      <c r="M15" s="1010">
        <f>-53+53</f>
        <v>0</v>
      </c>
      <c r="N15" s="1010">
        <f>-51+51</f>
        <v>0</v>
      </c>
      <c r="O15" s="157">
        <f t="shared" si="0"/>
        <v>0</v>
      </c>
      <c r="P15" s="160">
        <f t="shared" si="2"/>
        <v>0</v>
      </c>
      <c r="Q15" s="157">
        <f t="shared" si="1"/>
        <v>0</v>
      </c>
      <c r="R15" s="157"/>
      <c r="S15" s="157"/>
      <c r="T15" s="157"/>
      <c r="U15" s="157"/>
    </row>
    <row r="16" spans="1:21" x14ac:dyDescent="0.2">
      <c r="A16" s="159" t="s">
        <v>638</v>
      </c>
      <c r="B16" s="824"/>
      <c r="C16" s="160">
        <v>0</v>
      </c>
      <c r="D16" s="160">
        <v>0</v>
      </c>
      <c r="E16" s="160">
        <v>0</v>
      </c>
      <c r="F16" s="160">
        <v>0</v>
      </c>
      <c r="G16" s="160">
        <v>0</v>
      </c>
      <c r="H16" s="160">
        <v>0</v>
      </c>
      <c r="I16" s="160">
        <v>0</v>
      </c>
      <c r="J16" s="160">
        <v>0</v>
      </c>
      <c r="K16" s="634">
        <v>0</v>
      </c>
      <c r="L16" s="160">
        <v>0</v>
      </c>
      <c r="M16" s="160">
        <v>0</v>
      </c>
      <c r="N16" s="634">
        <v>0</v>
      </c>
      <c r="O16" s="157">
        <f t="shared" si="0"/>
        <v>0</v>
      </c>
      <c r="P16" s="160">
        <f t="shared" si="2"/>
        <v>0</v>
      </c>
      <c r="Q16" s="157">
        <f>(O16-P16)</f>
        <v>0</v>
      </c>
      <c r="R16" s="157"/>
      <c r="S16" s="157"/>
      <c r="T16" s="157"/>
      <c r="U16" s="157"/>
    </row>
    <row r="17" spans="1:21" x14ac:dyDescent="0.2">
      <c r="A17" s="159" t="s">
        <v>1226</v>
      </c>
      <c r="B17" s="825"/>
      <c r="C17" s="160">
        <v>0</v>
      </c>
      <c r="D17" s="160">
        <v>0</v>
      </c>
      <c r="E17" s="160">
        <v>0</v>
      </c>
      <c r="F17" s="160">
        <v>0</v>
      </c>
      <c r="G17" s="160">
        <v>0</v>
      </c>
      <c r="H17" s="160">
        <v>0</v>
      </c>
      <c r="I17" s="160">
        <v>0</v>
      </c>
      <c r="J17" s="160">
        <v>0</v>
      </c>
      <c r="K17" s="160">
        <f>-1+1</f>
        <v>0</v>
      </c>
      <c r="L17" s="160">
        <v>0</v>
      </c>
      <c r="M17" s="160">
        <v>0</v>
      </c>
      <c r="N17" s="160">
        <v>0</v>
      </c>
      <c r="O17" s="157">
        <f t="shared" si="0"/>
        <v>0</v>
      </c>
      <c r="P17" s="160">
        <f t="shared" si="2"/>
        <v>0</v>
      </c>
      <c r="Q17" s="157">
        <f t="shared" si="1"/>
        <v>0</v>
      </c>
      <c r="R17" s="157"/>
      <c r="S17" s="157"/>
      <c r="T17" s="157"/>
      <c r="U17" s="157"/>
    </row>
    <row r="18" spans="1:21" x14ac:dyDescent="0.2">
      <c r="A18" s="159" t="s">
        <v>695</v>
      </c>
      <c r="B18" s="825"/>
      <c r="C18" s="160">
        <v>0</v>
      </c>
      <c r="D18" s="160">
        <v>0</v>
      </c>
      <c r="E18" s="160">
        <v>0</v>
      </c>
      <c r="F18" s="160">
        <v>0</v>
      </c>
      <c r="G18" s="160">
        <v>0</v>
      </c>
      <c r="H18" s="160">
        <v>0</v>
      </c>
      <c r="I18" s="160">
        <v>0</v>
      </c>
      <c r="J18" s="160">
        <v>0</v>
      </c>
      <c r="K18" s="160">
        <v>0</v>
      </c>
      <c r="L18" s="160">
        <v>0</v>
      </c>
      <c r="M18" s="160">
        <v>0</v>
      </c>
      <c r="N18" s="160">
        <v>0</v>
      </c>
      <c r="O18" s="157">
        <f>SUM(C18:N18)</f>
        <v>0</v>
      </c>
      <c r="P18" s="160">
        <f t="shared" si="2"/>
        <v>0</v>
      </c>
      <c r="Q18" s="157">
        <f>(O18-P18)</f>
        <v>0</v>
      </c>
      <c r="R18" s="157"/>
      <c r="S18" s="157"/>
      <c r="T18" s="157"/>
      <c r="U18" s="157"/>
    </row>
    <row r="19" spans="1:21" x14ac:dyDescent="0.2">
      <c r="A19" s="159" t="s">
        <v>1187</v>
      </c>
      <c r="C19" s="272">
        <v>0</v>
      </c>
      <c r="D19" s="272">
        <v>0</v>
      </c>
      <c r="E19" s="272">
        <v>0</v>
      </c>
      <c r="F19" s="272">
        <v>0</v>
      </c>
      <c r="G19" s="272">
        <v>0</v>
      </c>
      <c r="H19" s="272">
        <v>0</v>
      </c>
      <c r="I19" s="272">
        <v>0</v>
      </c>
      <c r="J19" s="272">
        <v>0</v>
      </c>
      <c r="K19" s="272">
        <v>0</v>
      </c>
      <c r="L19" s="272">
        <v>0</v>
      </c>
      <c r="M19" s="272">
        <v>0</v>
      </c>
      <c r="N19" s="272">
        <v>0</v>
      </c>
      <c r="O19" s="161">
        <f t="shared" si="0"/>
        <v>0</v>
      </c>
      <c r="P19" s="272">
        <f t="shared" si="2"/>
        <v>0</v>
      </c>
      <c r="Q19" s="161">
        <f t="shared" si="1"/>
        <v>0</v>
      </c>
      <c r="R19" s="157"/>
      <c r="S19" s="157"/>
      <c r="T19" s="157"/>
      <c r="U19" s="157"/>
    </row>
    <row r="20" spans="1:21" ht="3.95" customHeight="1" x14ac:dyDescent="0.2">
      <c r="A20" s="403"/>
      <c r="C20" s="160"/>
      <c r="D20" s="160"/>
      <c r="E20" s="160"/>
      <c r="F20" s="160"/>
      <c r="G20" s="160"/>
      <c r="H20" s="160"/>
      <c r="I20" s="160"/>
      <c r="J20" s="160"/>
      <c r="K20" s="160"/>
      <c r="L20" s="160"/>
      <c r="M20" s="160"/>
      <c r="N20" s="160"/>
      <c r="O20" s="157"/>
      <c r="P20" s="160"/>
      <c r="Q20" s="157"/>
      <c r="R20" s="157"/>
      <c r="S20" s="157"/>
      <c r="T20" s="157"/>
      <c r="U20" s="157"/>
    </row>
    <row r="21" spans="1:21" x14ac:dyDescent="0.2">
      <c r="A21" s="406" t="s">
        <v>639</v>
      </c>
      <c r="B21" s="826"/>
      <c r="C21" s="162">
        <f>SUM(C7:C20)</f>
        <v>21</v>
      </c>
      <c r="D21" s="162">
        <f t="shared" ref="D21:Q21" si="3">SUM(D7:D20)</f>
        <v>21</v>
      </c>
      <c r="E21" s="162">
        <f t="shared" si="3"/>
        <v>26</v>
      </c>
      <c r="F21" s="162">
        <f t="shared" si="3"/>
        <v>27</v>
      </c>
      <c r="G21" s="162">
        <f t="shared" si="3"/>
        <v>24</v>
      </c>
      <c r="H21" s="162">
        <f t="shared" si="3"/>
        <v>13</v>
      </c>
      <c r="I21" s="162">
        <f t="shared" si="3"/>
        <v>12</v>
      </c>
      <c r="J21" s="162">
        <f t="shared" si="3"/>
        <v>13</v>
      </c>
      <c r="K21" s="162">
        <f t="shared" si="3"/>
        <v>12</v>
      </c>
      <c r="L21" s="162">
        <f t="shared" si="3"/>
        <v>7</v>
      </c>
      <c r="M21" s="162">
        <f t="shared" si="3"/>
        <v>6</v>
      </c>
      <c r="N21" s="162">
        <f t="shared" si="3"/>
        <v>9</v>
      </c>
      <c r="O21" s="162">
        <f t="shared" si="3"/>
        <v>191</v>
      </c>
      <c r="P21" s="162">
        <f t="shared" si="3"/>
        <v>42</v>
      </c>
      <c r="Q21" s="162">
        <f t="shared" si="3"/>
        <v>149</v>
      </c>
      <c r="R21" s="163"/>
      <c r="S21" s="163"/>
      <c r="T21" s="163"/>
      <c r="U21" s="157"/>
    </row>
    <row r="22" spans="1:21" x14ac:dyDescent="0.2">
      <c r="A22" s="404"/>
      <c r="B22" s="826"/>
      <c r="C22" s="162"/>
      <c r="D22" s="162"/>
      <c r="E22" s="162"/>
      <c r="F22" s="162"/>
      <c r="G22" s="162"/>
      <c r="H22" s="162"/>
      <c r="I22" s="162"/>
      <c r="J22" s="162"/>
      <c r="K22" s="162"/>
      <c r="L22" s="162"/>
      <c r="M22" s="162"/>
      <c r="N22" s="162"/>
      <c r="O22" s="162"/>
      <c r="P22" s="162"/>
      <c r="Q22" s="162"/>
      <c r="R22" s="163"/>
      <c r="S22" s="163"/>
      <c r="T22" s="163"/>
      <c r="U22" s="157"/>
    </row>
    <row r="23" spans="1:21" x14ac:dyDescent="0.2">
      <c r="A23" s="404" t="s">
        <v>640</v>
      </c>
      <c r="B23" s="826"/>
      <c r="C23" s="162"/>
      <c r="D23" s="162"/>
      <c r="E23" s="162"/>
      <c r="F23" s="162"/>
      <c r="G23" s="162"/>
      <c r="H23" s="162"/>
      <c r="I23" s="162"/>
      <c r="J23" s="162"/>
      <c r="K23" s="162"/>
      <c r="L23" s="162"/>
      <c r="M23" s="162"/>
      <c r="N23" s="162"/>
      <c r="O23" s="162"/>
      <c r="P23" s="162"/>
      <c r="Q23" s="162"/>
      <c r="R23" s="163"/>
      <c r="S23" s="163"/>
      <c r="T23" s="163"/>
      <c r="U23" s="157"/>
    </row>
    <row r="24" spans="1:21" x14ac:dyDescent="0.2">
      <c r="A24" s="544" t="s">
        <v>641</v>
      </c>
      <c r="B24" s="826"/>
      <c r="C24" s="160">
        <v>-1000</v>
      </c>
      <c r="D24" s="160">
        <v>-1000</v>
      </c>
      <c r="E24" s="160">
        <v>-1100</v>
      </c>
      <c r="F24" s="160">
        <v>-1100</v>
      </c>
      <c r="G24" s="160">
        <v>-1200</v>
      </c>
      <c r="H24" s="160">
        <v>-1100</v>
      </c>
      <c r="I24" s="160">
        <v>-1100</v>
      </c>
      <c r="J24" s="160">
        <v>-1100</v>
      </c>
      <c r="K24" s="160">
        <v>-1000</v>
      </c>
      <c r="L24" s="160">
        <v>-1000</v>
      </c>
      <c r="M24" s="160">
        <v>-900</v>
      </c>
      <c r="N24" s="160">
        <v>-900</v>
      </c>
      <c r="O24" s="157">
        <f t="shared" ref="O24:O30" si="4">SUM(C24:N24)</f>
        <v>-12500</v>
      </c>
      <c r="P24" s="160">
        <f t="shared" ref="P24:P30" si="5">SUM(C24:D24)</f>
        <v>-2000</v>
      </c>
      <c r="Q24" s="157">
        <f t="shared" ref="Q24:Q30" si="6">(O24-P24)</f>
        <v>-10500</v>
      </c>
      <c r="R24" s="163"/>
      <c r="S24" s="163"/>
      <c r="T24" s="163"/>
      <c r="U24" s="157"/>
    </row>
    <row r="25" spans="1:21" x14ac:dyDescent="0.2">
      <c r="A25" s="544" t="s">
        <v>384</v>
      </c>
      <c r="B25" s="826"/>
      <c r="C25" s="160">
        <f>573+1458</f>
        <v>2031</v>
      </c>
      <c r="D25" s="160">
        <f>573+1458</f>
        <v>2031</v>
      </c>
      <c r="E25" s="160">
        <f>573+1458</f>
        <v>2031</v>
      </c>
      <c r="F25" s="160">
        <v>2031</v>
      </c>
      <c r="G25" s="160">
        <v>2031</v>
      </c>
      <c r="H25" s="160">
        <v>2031</v>
      </c>
      <c r="I25" s="160">
        <v>2031</v>
      </c>
      <c r="J25" s="160">
        <v>2031</v>
      </c>
      <c r="K25" s="160">
        <v>2031</v>
      </c>
      <c r="L25" s="160">
        <v>2031</v>
      </c>
      <c r="M25" s="160">
        <v>2031</v>
      </c>
      <c r="N25" s="160">
        <v>2031</v>
      </c>
      <c r="O25" s="157">
        <f t="shared" si="4"/>
        <v>24372</v>
      </c>
      <c r="P25" s="160">
        <f t="shared" si="5"/>
        <v>4062</v>
      </c>
      <c r="Q25" s="157">
        <f t="shared" si="6"/>
        <v>20310</v>
      </c>
      <c r="R25" s="163"/>
      <c r="S25" s="163"/>
      <c r="T25" s="163"/>
      <c r="U25" s="157"/>
    </row>
    <row r="26" spans="1:21" x14ac:dyDescent="0.2">
      <c r="A26" s="544" t="s">
        <v>642</v>
      </c>
      <c r="B26" s="826"/>
      <c r="C26" s="160">
        <v>27</v>
      </c>
      <c r="D26" s="160">
        <v>27</v>
      </c>
      <c r="E26" s="160">
        <v>27</v>
      </c>
      <c r="F26" s="160">
        <v>27</v>
      </c>
      <c r="G26" s="160">
        <v>27</v>
      </c>
      <c r="H26" s="160">
        <v>27</v>
      </c>
      <c r="I26" s="160">
        <v>27</v>
      </c>
      <c r="J26" s="160">
        <v>27</v>
      </c>
      <c r="K26" s="160">
        <v>27</v>
      </c>
      <c r="L26" s="160">
        <v>27</v>
      </c>
      <c r="M26" s="160">
        <v>27</v>
      </c>
      <c r="N26" s="160">
        <v>28</v>
      </c>
      <c r="O26" s="157">
        <f t="shared" si="4"/>
        <v>325</v>
      </c>
      <c r="P26" s="160">
        <f t="shared" si="5"/>
        <v>54</v>
      </c>
      <c r="Q26" s="157">
        <f t="shared" si="6"/>
        <v>271</v>
      </c>
      <c r="R26" s="163"/>
      <c r="S26" s="163"/>
      <c r="T26" s="163"/>
      <c r="U26" s="157"/>
    </row>
    <row r="27" spans="1:21" x14ac:dyDescent="0.2">
      <c r="A27" s="544" t="s">
        <v>383</v>
      </c>
      <c r="B27" s="826"/>
      <c r="C27" s="160">
        <v>844</v>
      </c>
      <c r="D27" s="160">
        <v>844</v>
      </c>
      <c r="E27" s="160">
        <v>844</v>
      </c>
      <c r="F27" s="160">
        <v>843</v>
      </c>
      <c r="G27" s="160">
        <v>844</v>
      </c>
      <c r="H27" s="160">
        <v>844</v>
      </c>
      <c r="I27" s="160">
        <v>844</v>
      </c>
      <c r="J27" s="160">
        <v>843</v>
      </c>
      <c r="K27" s="160">
        <v>844</v>
      </c>
      <c r="L27" s="160">
        <v>844</v>
      </c>
      <c r="M27" s="160">
        <v>844</v>
      </c>
      <c r="N27" s="160">
        <v>843</v>
      </c>
      <c r="O27" s="157">
        <f t="shared" si="4"/>
        <v>10125</v>
      </c>
      <c r="P27" s="160">
        <f t="shared" si="5"/>
        <v>1688</v>
      </c>
      <c r="Q27" s="157">
        <f t="shared" si="6"/>
        <v>8437</v>
      </c>
      <c r="R27" s="163"/>
      <c r="S27" s="163"/>
      <c r="T27" s="163"/>
      <c r="U27" s="157"/>
    </row>
    <row r="28" spans="1:21" x14ac:dyDescent="0.2">
      <c r="A28" s="544" t="s">
        <v>642</v>
      </c>
      <c r="B28" s="826"/>
      <c r="C28" s="160">
        <v>11</v>
      </c>
      <c r="D28" s="160">
        <v>11</v>
      </c>
      <c r="E28" s="160">
        <v>11</v>
      </c>
      <c r="F28" s="160">
        <v>11</v>
      </c>
      <c r="G28" s="160">
        <v>11</v>
      </c>
      <c r="H28" s="160">
        <v>11</v>
      </c>
      <c r="I28" s="160">
        <v>11</v>
      </c>
      <c r="J28" s="160">
        <v>11</v>
      </c>
      <c r="K28" s="160">
        <v>11</v>
      </c>
      <c r="L28" s="160">
        <v>10</v>
      </c>
      <c r="M28" s="160">
        <v>11</v>
      </c>
      <c r="N28" s="160">
        <v>11</v>
      </c>
      <c r="O28" s="157">
        <f t="shared" si="4"/>
        <v>131</v>
      </c>
      <c r="P28" s="160">
        <f t="shared" si="5"/>
        <v>22</v>
      </c>
      <c r="Q28" s="157">
        <f t="shared" si="6"/>
        <v>109</v>
      </c>
      <c r="R28" s="163"/>
      <c r="S28" s="163"/>
      <c r="T28" s="163"/>
      <c r="U28" s="157"/>
    </row>
    <row r="29" spans="1:21" x14ac:dyDescent="0.2">
      <c r="A29" s="544" t="s">
        <v>382</v>
      </c>
      <c r="B29" s="826"/>
      <c r="C29" s="160">
        <v>0</v>
      </c>
      <c r="D29" s="160">
        <v>0</v>
      </c>
      <c r="E29" s="160">
        <v>0</v>
      </c>
      <c r="F29" s="160">
        <v>0</v>
      </c>
      <c r="G29" s="160">
        <v>0</v>
      </c>
      <c r="H29" s="160">
        <v>0</v>
      </c>
      <c r="I29" s="160">
        <v>0</v>
      </c>
      <c r="J29" s="160">
        <v>0</v>
      </c>
      <c r="K29" s="160">
        <v>0</v>
      </c>
      <c r="L29" s="160">
        <v>0</v>
      </c>
      <c r="M29" s="160">
        <v>0</v>
      </c>
      <c r="N29" s="160">
        <v>0</v>
      </c>
      <c r="O29" s="157">
        <f t="shared" si="4"/>
        <v>0</v>
      </c>
      <c r="P29" s="160">
        <f t="shared" si="5"/>
        <v>0</v>
      </c>
      <c r="Q29" s="157">
        <f t="shared" si="6"/>
        <v>0</v>
      </c>
      <c r="R29" s="163"/>
      <c r="S29" s="163"/>
      <c r="T29" s="163"/>
      <c r="U29" s="157"/>
    </row>
    <row r="30" spans="1:21" x14ac:dyDescent="0.2">
      <c r="A30" s="159" t="s">
        <v>1187</v>
      </c>
      <c r="B30" s="826"/>
      <c r="C30" s="272">
        <v>0</v>
      </c>
      <c r="D30" s="272">
        <v>0</v>
      </c>
      <c r="E30" s="272">
        <v>0</v>
      </c>
      <c r="F30" s="272">
        <v>0</v>
      </c>
      <c r="G30" s="272">
        <v>0</v>
      </c>
      <c r="H30" s="272">
        <v>0</v>
      </c>
      <c r="I30" s="272">
        <v>0</v>
      </c>
      <c r="J30" s="272">
        <v>0</v>
      </c>
      <c r="K30" s="272">
        <v>0</v>
      </c>
      <c r="L30" s="272">
        <v>0</v>
      </c>
      <c r="M30" s="272">
        <v>0</v>
      </c>
      <c r="N30" s="272">
        <v>0</v>
      </c>
      <c r="O30" s="161">
        <f t="shared" si="4"/>
        <v>0</v>
      </c>
      <c r="P30" s="272">
        <f t="shared" si="5"/>
        <v>0</v>
      </c>
      <c r="Q30" s="161">
        <f t="shared" si="6"/>
        <v>0</v>
      </c>
      <c r="R30" s="163"/>
      <c r="S30" s="163"/>
      <c r="T30" s="163"/>
      <c r="U30" s="157"/>
    </row>
    <row r="31" spans="1:21" ht="5.25" customHeight="1" x14ac:dyDescent="0.2">
      <c r="A31" s="404"/>
      <c r="B31" s="826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0"/>
      <c r="Q31" s="160"/>
      <c r="R31" s="163"/>
      <c r="S31" s="163"/>
      <c r="T31" s="163"/>
      <c r="U31" s="157"/>
    </row>
    <row r="32" spans="1:21" x14ac:dyDescent="0.2">
      <c r="A32" s="406" t="s">
        <v>643</v>
      </c>
      <c r="B32" s="826"/>
      <c r="C32" s="162">
        <f>SUM(C24:C31)</f>
        <v>1913</v>
      </c>
      <c r="D32" s="162">
        <f t="shared" ref="D32:Q32" si="7">SUM(D24:D31)</f>
        <v>1913</v>
      </c>
      <c r="E32" s="162">
        <f t="shared" si="7"/>
        <v>1813</v>
      </c>
      <c r="F32" s="162">
        <f t="shared" si="7"/>
        <v>1812</v>
      </c>
      <c r="G32" s="162">
        <f t="shared" si="7"/>
        <v>1713</v>
      </c>
      <c r="H32" s="162">
        <f t="shared" si="7"/>
        <v>1813</v>
      </c>
      <c r="I32" s="162">
        <f t="shared" si="7"/>
        <v>1813</v>
      </c>
      <c r="J32" s="162">
        <f t="shared" si="7"/>
        <v>1812</v>
      </c>
      <c r="K32" s="162">
        <f t="shared" si="7"/>
        <v>1913</v>
      </c>
      <c r="L32" s="162">
        <f t="shared" si="7"/>
        <v>1912</v>
      </c>
      <c r="M32" s="162">
        <f t="shared" si="7"/>
        <v>2013</v>
      </c>
      <c r="N32" s="162">
        <f t="shared" si="7"/>
        <v>2013</v>
      </c>
      <c r="O32" s="162">
        <f t="shared" si="7"/>
        <v>22453</v>
      </c>
      <c r="P32" s="162">
        <f t="shared" si="7"/>
        <v>3826</v>
      </c>
      <c r="Q32" s="162">
        <f t="shared" si="7"/>
        <v>18627</v>
      </c>
      <c r="R32" s="163"/>
      <c r="S32" s="163"/>
      <c r="T32" s="163"/>
      <c r="U32" s="157"/>
    </row>
    <row r="33" spans="1:21" ht="6" customHeight="1" x14ac:dyDescent="0.2">
      <c r="A33" s="403"/>
      <c r="C33" s="160"/>
      <c r="D33" s="160"/>
      <c r="E33" s="160"/>
      <c r="F33" s="160"/>
      <c r="G33" s="160"/>
      <c r="H33" s="160"/>
      <c r="I33" s="160"/>
      <c r="J33" s="160"/>
      <c r="K33" s="160"/>
      <c r="L33" s="160"/>
      <c r="M33" s="160"/>
      <c r="N33" s="160"/>
      <c r="O33" s="157"/>
      <c r="P33" s="160"/>
      <c r="Q33" s="157"/>
      <c r="R33" s="157"/>
      <c r="S33" s="157"/>
      <c r="T33" s="157"/>
      <c r="U33" s="157"/>
    </row>
    <row r="34" spans="1:21" x14ac:dyDescent="0.2">
      <c r="A34" s="404" t="s">
        <v>793</v>
      </c>
      <c r="C34" s="157"/>
      <c r="D34" s="157"/>
      <c r="E34" s="157"/>
      <c r="F34" s="157"/>
      <c r="G34" s="157"/>
      <c r="H34" s="157"/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</row>
    <row r="35" spans="1:21" x14ac:dyDescent="0.2">
      <c r="A35" s="159" t="s">
        <v>925</v>
      </c>
      <c r="B35" s="846" t="s">
        <v>751</v>
      </c>
      <c r="C35" s="1010">
        <f>-37+37</f>
        <v>0</v>
      </c>
      <c r="D35" s="1010">
        <f>-15+15</f>
        <v>0</v>
      </c>
      <c r="E35" s="1010">
        <f>-46+46</f>
        <v>0</v>
      </c>
      <c r="F35" s="1010">
        <f>-106+106</f>
        <v>0</v>
      </c>
      <c r="G35" s="1010">
        <f>-186+186</f>
        <v>0</v>
      </c>
      <c r="H35" s="1010">
        <f>-254+254</f>
        <v>0</v>
      </c>
      <c r="I35" s="1010">
        <f>-6+6</f>
        <v>0</v>
      </c>
      <c r="J35" s="1010">
        <f>-97+97</f>
        <v>0</v>
      </c>
      <c r="K35" s="1010">
        <f>-180+180</f>
        <v>0</v>
      </c>
      <c r="L35" s="1010">
        <f>-257+257</f>
        <v>0</v>
      </c>
      <c r="M35" s="1010">
        <f>-200+200</f>
        <v>0</v>
      </c>
      <c r="N35" s="1010">
        <f>-192+192</f>
        <v>0</v>
      </c>
      <c r="O35" s="157">
        <f>SUM(C35:N35)</f>
        <v>0</v>
      </c>
      <c r="P35" s="160">
        <f>SUM(C35:D35)</f>
        <v>0</v>
      </c>
      <c r="Q35" s="157">
        <f>(O35-P35)</f>
        <v>0</v>
      </c>
      <c r="R35" s="157"/>
      <c r="S35" s="157"/>
      <c r="T35" s="157"/>
      <c r="U35" s="157"/>
    </row>
    <row r="36" spans="1:21" x14ac:dyDescent="0.2">
      <c r="A36" s="159" t="s">
        <v>27</v>
      </c>
      <c r="C36" s="160">
        <v>-10</v>
      </c>
      <c r="D36" s="160">
        <v>-4</v>
      </c>
      <c r="E36" s="160">
        <v>-12</v>
      </c>
      <c r="F36" s="160">
        <v>-28</v>
      </c>
      <c r="G36" s="160">
        <v>-50</v>
      </c>
      <c r="H36" s="160">
        <v>-68</v>
      </c>
      <c r="I36" s="160">
        <v>-2</v>
      </c>
      <c r="J36" s="160">
        <v>-26</v>
      </c>
      <c r="K36" s="160">
        <v>-48</v>
      </c>
      <c r="L36" s="160">
        <v>-69</v>
      </c>
      <c r="M36" s="160">
        <v>-53</v>
      </c>
      <c r="N36" s="160">
        <v>-51</v>
      </c>
      <c r="O36" s="157">
        <f>SUM(C36:N36)</f>
        <v>-421</v>
      </c>
      <c r="P36" s="160">
        <f>SUM(C36:D36)</f>
        <v>-14</v>
      </c>
      <c r="Q36" s="157">
        <f>(O36-P36)</f>
        <v>-407</v>
      </c>
      <c r="R36" s="157"/>
      <c r="S36" s="157"/>
      <c r="T36" s="157"/>
      <c r="U36" s="157"/>
    </row>
    <row r="37" spans="1:21" x14ac:dyDescent="0.2">
      <c r="A37" s="159" t="s">
        <v>1187</v>
      </c>
      <c r="C37" s="272">
        <v>0</v>
      </c>
      <c r="D37" s="272">
        <v>0</v>
      </c>
      <c r="E37" s="272">
        <v>0</v>
      </c>
      <c r="F37" s="272">
        <v>0</v>
      </c>
      <c r="G37" s="272">
        <v>0</v>
      </c>
      <c r="H37" s="272">
        <v>0</v>
      </c>
      <c r="I37" s="272">
        <v>0</v>
      </c>
      <c r="J37" s="272">
        <v>0</v>
      </c>
      <c r="K37" s="272">
        <v>0</v>
      </c>
      <c r="L37" s="272">
        <v>0</v>
      </c>
      <c r="M37" s="272">
        <v>0</v>
      </c>
      <c r="N37" s="272">
        <v>0</v>
      </c>
      <c r="O37" s="161">
        <f>SUM(C37:N37)</f>
        <v>0</v>
      </c>
      <c r="P37" s="272">
        <f>SUM(C37:D37)</f>
        <v>0</v>
      </c>
      <c r="Q37" s="161">
        <f>(O37-P37)</f>
        <v>0</v>
      </c>
      <c r="R37" s="157"/>
      <c r="S37" s="157"/>
      <c r="T37" s="157"/>
      <c r="U37" s="157"/>
    </row>
    <row r="38" spans="1:21" ht="3.95" customHeight="1" x14ac:dyDescent="0.2">
      <c r="A38" s="156"/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57"/>
      <c r="P38" s="160"/>
      <c r="Q38" s="157"/>
      <c r="R38" s="157"/>
      <c r="S38" s="157"/>
      <c r="T38" s="157"/>
      <c r="U38" s="157"/>
    </row>
    <row r="39" spans="1:21" x14ac:dyDescent="0.2">
      <c r="A39" s="406" t="s">
        <v>644</v>
      </c>
      <c r="B39" s="153"/>
      <c r="C39" s="162">
        <f t="shared" ref="C39:Q39" si="8">SUM(C35:C37)</f>
        <v>-10</v>
      </c>
      <c r="D39" s="162">
        <f t="shared" si="8"/>
        <v>-4</v>
      </c>
      <c r="E39" s="162">
        <f t="shared" si="8"/>
        <v>-12</v>
      </c>
      <c r="F39" s="162">
        <f t="shared" si="8"/>
        <v>-28</v>
      </c>
      <c r="G39" s="162">
        <f t="shared" si="8"/>
        <v>-50</v>
      </c>
      <c r="H39" s="162">
        <f t="shared" si="8"/>
        <v>-68</v>
      </c>
      <c r="I39" s="162">
        <f t="shared" si="8"/>
        <v>-2</v>
      </c>
      <c r="J39" s="162">
        <f t="shared" si="8"/>
        <v>-26</v>
      </c>
      <c r="K39" s="162">
        <f t="shared" si="8"/>
        <v>-48</v>
      </c>
      <c r="L39" s="162">
        <f t="shared" si="8"/>
        <v>-69</v>
      </c>
      <c r="M39" s="162">
        <f t="shared" si="8"/>
        <v>-53</v>
      </c>
      <c r="N39" s="162">
        <f t="shared" si="8"/>
        <v>-51</v>
      </c>
      <c r="O39" s="162">
        <f t="shared" si="8"/>
        <v>-421</v>
      </c>
      <c r="P39" s="162">
        <f t="shared" si="8"/>
        <v>-14</v>
      </c>
      <c r="Q39" s="162">
        <f t="shared" si="8"/>
        <v>-407</v>
      </c>
      <c r="R39" s="163"/>
      <c r="S39" s="163"/>
      <c r="T39" s="157"/>
      <c r="U39" s="157"/>
    </row>
    <row r="40" spans="1:21" ht="6" customHeight="1" x14ac:dyDescent="0.2">
      <c r="A40" s="156"/>
      <c r="B40" s="824"/>
      <c r="C40" s="160"/>
      <c r="D40" s="160"/>
      <c r="E40" s="160"/>
      <c r="F40" s="160"/>
      <c r="G40" s="160"/>
      <c r="H40" s="160"/>
      <c r="I40" s="160"/>
      <c r="J40" s="160"/>
      <c r="K40" s="160"/>
      <c r="L40" s="160"/>
      <c r="M40" s="160"/>
      <c r="N40" s="160"/>
      <c r="O40" s="157"/>
      <c r="P40" s="160"/>
      <c r="Q40" s="157"/>
      <c r="R40" s="157"/>
      <c r="S40" s="157"/>
      <c r="T40" s="157"/>
      <c r="U40" s="157"/>
    </row>
    <row r="41" spans="1:21" x14ac:dyDescent="0.2">
      <c r="A41" s="404" t="s">
        <v>645</v>
      </c>
      <c r="B41" s="824"/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</row>
    <row r="42" spans="1:21" x14ac:dyDescent="0.2">
      <c r="A42" s="159" t="s">
        <v>794</v>
      </c>
      <c r="B42" s="846" t="s">
        <v>751</v>
      </c>
      <c r="C42" s="662">
        <f>-DataBase!C273</f>
        <v>39</v>
      </c>
      <c r="D42" s="662">
        <f>-DataBase!D273</f>
        <v>38</v>
      </c>
      <c r="E42" s="662">
        <f>-DataBase!E273</f>
        <v>39</v>
      </c>
      <c r="F42" s="662">
        <f>-DataBase!F273</f>
        <v>38</v>
      </c>
      <c r="G42" s="662">
        <f>-DataBase!G273</f>
        <v>39</v>
      </c>
      <c r="H42" s="662">
        <f>-DataBase!H273</f>
        <v>38</v>
      </c>
      <c r="I42" s="662">
        <f>-DataBase!I273</f>
        <v>39</v>
      </c>
      <c r="J42" s="662">
        <f>-DataBase!J273</f>
        <v>38</v>
      </c>
      <c r="K42" s="662">
        <f>-DataBase!K273</f>
        <v>39</v>
      </c>
      <c r="L42" s="662">
        <f>-DataBase!L273</f>
        <v>33</v>
      </c>
      <c r="M42" s="662">
        <f>-DataBase!M273</f>
        <v>28</v>
      </c>
      <c r="N42" s="662">
        <f>-DataBase!N273</f>
        <v>28</v>
      </c>
      <c r="O42" s="157">
        <f t="shared" ref="O42:O51" si="9">SUM(C42:N42)</f>
        <v>436</v>
      </c>
      <c r="P42" s="160">
        <f t="shared" ref="P42:P53" si="10">SUM(C42:D42)</f>
        <v>77</v>
      </c>
      <c r="Q42" s="157">
        <f t="shared" ref="Q42:Q51" si="11">(O42-P42)</f>
        <v>359</v>
      </c>
      <c r="R42" s="157"/>
      <c r="S42" s="157"/>
      <c r="T42" s="157"/>
      <c r="U42" s="157"/>
    </row>
    <row r="43" spans="1:21" x14ac:dyDescent="0.2">
      <c r="A43" s="159" t="s">
        <v>795</v>
      </c>
      <c r="B43" s="846" t="s">
        <v>751</v>
      </c>
      <c r="C43" s="662">
        <f>-DataBase!C274</f>
        <v>-1</v>
      </c>
      <c r="D43" s="662">
        <f>-DataBase!D274</f>
        <v>0</v>
      </c>
      <c r="E43" s="662">
        <f>-DataBase!E274</f>
        <v>-1</v>
      </c>
      <c r="F43" s="662">
        <f>-DataBase!F274</f>
        <v>0</v>
      </c>
      <c r="G43" s="662">
        <f>-DataBase!G274</f>
        <v>-1</v>
      </c>
      <c r="H43" s="662">
        <f>-DataBase!H274</f>
        <v>-1</v>
      </c>
      <c r="I43" s="662">
        <f>-DataBase!I274</f>
        <v>0</v>
      </c>
      <c r="J43" s="662">
        <f>-DataBase!J274</f>
        <v>-1</v>
      </c>
      <c r="K43" s="662">
        <f>-DataBase!K274</f>
        <v>0</v>
      </c>
      <c r="L43" s="662">
        <f>-DataBase!L274</f>
        <v>-1</v>
      </c>
      <c r="M43" s="662">
        <f>-DataBase!M274</f>
        <v>0</v>
      </c>
      <c r="N43" s="662">
        <f>-DataBase!N274</f>
        <v>-1</v>
      </c>
      <c r="O43" s="157">
        <f t="shared" si="9"/>
        <v>-7</v>
      </c>
      <c r="P43" s="160">
        <f t="shared" si="10"/>
        <v>-1</v>
      </c>
      <c r="Q43" s="157">
        <f t="shared" si="11"/>
        <v>-6</v>
      </c>
      <c r="R43" s="157"/>
      <c r="S43" s="157"/>
      <c r="T43" s="157"/>
      <c r="U43" s="157"/>
    </row>
    <row r="44" spans="1:21" x14ac:dyDescent="0.2">
      <c r="A44" s="159" t="s">
        <v>796</v>
      </c>
      <c r="B44" s="823"/>
      <c r="C44" s="662">
        <f>-DataBase!C275</f>
        <v>0</v>
      </c>
      <c r="D44" s="662">
        <f>-DataBase!D275</f>
        <v>0</v>
      </c>
      <c r="E44" s="662">
        <f>-DataBase!E275</f>
        <v>0</v>
      </c>
      <c r="F44" s="662">
        <f>-DataBase!F275</f>
        <v>0</v>
      </c>
      <c r="G44" s="662">
        <f>-DataBase!G275</f>
        <v>0</v>
      </c>
      <c r="H44" s="662">
        <f>-DataBase!H275</f>
        <v>0</v>
      </c>
      <c r="I44" s="662">
        <f>-DataBase!I275</f>
        <v>0</v>
      </c>
      <c r="J44" s="662">
        <f>-DataBase!J275</f>
        <v>0</v>
      </c>
      <c r="K44" s="662">
        <f>-DataBase!K275</f>
        <v>0</v>
      </c>
      <c r="L44" s="662">
        <f>-DataBase!L275</f>
        <v>0</v>
      </c>
      <c r="M44" s="662">
        <f>-DataBase!M275</f>
        <v>0</v>
      </c>
      <c r="N44" s="662">
        <f>-DataBase!N275</f>
        <v>0</v>
      </c>
      <c r="O44" s="157">
        <f t="shared" si="9"/>
        <v>0</v>
      </c>
      <c r="P44" s="160">
        <f t="shared" si="10"/>
        <v>0</v>
      </c>
      <c r="Q44" s="157">
        <f t="shared" si="11"/>
        <v>0</v>
      </c>
      <c r="R44" s="157"/>
      <c r="S44" s="157"/>
      <c r="T44" s="157"/>
      <c r="U44" s="157"/>
    </row>
    <row r="45" spans="1:21" x14ac:dyDescent="0.2">
      <c r="A45" s="159" t="s">
        <v>703</v>
      </c>
      <c r="B45" s="846" t="s">
        <v>751</v>
      </c>
      <c r="C45" s="662">
        <f>-DataBase!C276</f>
        <v>-121</v>
      </c>
      <c r="D45" s="662">
        <f>-DataBase!D276</f>
        <v>-182</v>
      </c>
      <c r="E45" s="662">
        <f>-DataBase!E276</f>
        <v>-152</v>
      </c>
      <c r="F45" s="662">
        <f>-DataBase!F276</f>
        <v>-111</v>
      </c>
      <c r="G45" s="662">
        <f>-DataBase!G276</f>
        <v>-220</v>
      </c>
      <c r="H45" s="662">
        <f>-DataBase!H276</f>
        <v>-129</v>
      </c>
      <c r="I45" s="662">
        <f>-DataBase!I276</f>
        <v>-175</v>
      </c>
      <c r="J45" s="662">
        <f>-DataBase!J276</f>
        <v>-176</v>
      </c>
      <c r="K45" s="662">
        <f>-DataBase!K276</f>
        <v>-209</v>
      </c>
      <c r="L45" s="662">
        <f>-DataBase!L276</f>
        <v>-151</v>
      </c>
      <c r="M45" s="662">
        <f>-DataBase!M276</f>
        <v>-244</v>
      </c>
      <c r="N45" s="662">
        <f>-DataBase!N276</f>
        <v>-138</v>
      </c>
      <c r="O45" s="157">
        <f t="shared" si="9"/>
        <v>-2008</v>
      </c>
      <c r="P45" s="160">
        <f t="shared" si="10"/>
        <v>-303</v>
      </c>
      <c r="Q45" s="157">
        <f t="shared" si="11"/>
        <v>-1705</v>
      </c>
      <c r="R45" s="157"/>
      <c r="S45" s="157"/>
      <c r="T45" s="157"/>
      <c r="U45" s="157"/>
    </row>
    <row r="46" spans="1:21" x14ac:dyDescent="0.2">
      <c r="A46" s="159" t="s">
        <v>704</v>
      </c>
      <c r="B46" s="846" t="s">
        <v>751</v>
      </c>
      <c r="C46" s="662">
        <f>-DataBase!C277</f>
        <v>0</v>
      </c>
      <c r="D46" s="662">
        <f>-DataBase!D277</f>
        <v>0</v>
      </c>
      <c r="E46" s="662">
        <f>-DataBase!E277</f>
        <v>0</v>
      </c>
      <c r="F46" s="662">
        <f>-DataBase!F277</f>
        <v>0</v>
      </c>
      <c r="G46" s="662">
        <f>-DataBase!G277</f>
        <v>0</v>
      </c>
      <c r="H46" s="662">
        <f>-DataBase!H277</f>
        <v>0</v>
      </c>
      <c r="I46" s="662">
        <f>-DataBase!I277</f>
        <v>0</v>
      </c>
      <c r="J46" s="662">
        <f>-DataBase!J277</f>
        <v>0</v>
      </c>
      <c r="K46" s="662">
        <f>-DataBase!K277</f>
        <v>0</v>
      </c>
      <c r="L46" s="662">
        <f>-DataBase!L277</f>
        <v>0</v>
      </c>
      <c r="M46" s="662">
        <f>-DataBase!M277</f>
        <v>0</v>
      </c>
      <c r="N46" s="662">
        <f>-DataBase!N277</f>
        <v>0</v>
      </c>
      <c r="O46" s="157">
        <f t="shared" si="9"/>
        <v>0</v>
      </c>
      <c r="P46" s="160">
        <f t="shared" si="10"/>
        <v>0</v>
      </c>
      <c r="Q46" s="157">
        <f t="shared" si="11"/>
        <v>0</v>
      </c>
      <c r="R46" s="157"/>
      <c r="S46" s="157"/>
      <c r="T46" s="157"/>
      <c r="U46" s="157"/>
    </row>
    <row r="47" spans="1:21" x14ac:dyDescent="0.2">
      <c r="A47" s="159" t="s">
        <v>705</v>
      </c>
      <c r="B47" s="846" t="s">
        <v>751</v>
      </c>
      <c r="C47" s="662">
        <f>-DataBase!C278</f>
        <v>0</v>
      </c>
      <c r="D47" s="662">
        <f>-DataBase!D278</f>
        <v>0</v>
      </c>
      <c r="E47" s="662">
        <f>-DataBase!E278</f>
        <v>0</v>
      </c>
      <c r="F47" s="662">
        <f>-DataBase!F278</f>
        <v>0</v>
      </c>
      <c r="G47" s="662">
        <f>-DataBase!G278</f>
        <v>0</v>
      </c>
      <c r="H47" s="662">
        <f>-DataBase!H278</f>
        <v>0</v>
      </c>
      <c r="I47" s="662">
        <f>-DataBase!I278</f>
        <v>0</v>
      </c>
      <c r="J47" s="662">
        <f>-DataBase!J278</f>
        <v>0</v>
      </c>
      <c r="K47" s="662">
        <f>-DataBase!K278</f>
        <v>0</v>
      </c>
      <c r="L47" s="662">
        <f>-DataBase!L278</f>
        <v>0</v>
      </c>
      <c r="M47" s="662">
        <f>-DataBase!M278</f>
        <v>0</v>
      </c>
      <c r="N47" s="662">
        <f>-DataBase!N278</f>
        <v>0</v>
      </c>
      <c r="O47" s="157">
        <f t="shared" si="9"/>
        <v>0</v>
      </c>
      <c r="P47" s="160">
        <f t="shared" si="10"/>
        <v>0</v>
      </c>
      <c r="Q47" s="157">
        <f t="shared" si="11"/>
        <v>0</v>
      </c>
      <c r="R47" s="157"/>
      <c r="S47" s="157"/>
      <c r="T47" s="157"/>
      <c r="U47" s="157"/>
    </row>
    <row r="48" spans="1:21" x14ac:dyDescent="0.2">
      <c r="A48" s="159" t="s">
        <v>702</v>
      </c>
      <c r="B48" s="824"/>
      <c r="C48" s="662">
        <f>-DataBase!C279</f>
        <v>0</v>
      </c>
      <c r="D48" s="662">
        <f>-DataBase!D279</f>
        <v>0</v>
      </c>
      <c r="E48" s="662">
        <f>-DataBase!E279</f>
        <v>0</v>
      </c>
      <c r="F48" s="662">
        <f>-DataBase!F279</f>
        <v>0</v>
      </c>
      <c r="G48" s="662">
        <f>-DataBase!G279</f>
        <v>0</v>
      </c>
      <c r="H48" s="662">
        <f>-DataBase!H279</f>
        <v>0</v>
      </c>
      <c r="I48" s="662">
        <f>-DataBase!I279</f>
        <v>0</v>
      </c>
      <c r="J48" s="662">
        <f>-DataBase!J279</f>
        <v>0</v>
      </c>
      <c r="K48" s="662">
        <f>-DataBase!K279</f>
        <v>0</v>
      </c>
      <c r="L48" s="662">
        <f>-DataBase!L279</f>
        <v>0</v>
      </c>
      <c r="M48" s="662">
        <f>-DataBase!M279</f>
        <v>0</v>
      </c>
      <c r="N48" s="662">
        <f>-DataBase!N279</f>
        <v>0</v>
      </c>
      <c r="O48" s="157">
        <f t="shared" si="9"/>
        <v>0</v>
      </c>
      <c r="P48" s="160">
        <f t="shared" si="10"/>
        <v>0</v>
      </c>
      <c r="Q48" s="157">
        <f t="shared" si="11"/>
        <v>0</v>
      </c>
      <c r="R48" s="157"/>
      <c r="S48" s="157"/>
      <c r="T48" s="157"/>
      <c r="U48" s="157"/>
    </row>
    <row r="49" spans="1:23" x14ac:dyDescent="0.2">
      <c r="A49" s="159" t="s">
        <v>707</v>
      </c>
      <c r="B49" s="824"/>
      <c r="C49" s="662">
        <f>-DataBase!C151</f>
        <v>0</v>
      </c>
      <c r="D49" s="662">
        <f>-DataBase!D151</f>
        <v>0</v>
      </c>
      <c r="E49" s="662">
        <f>-DataBase!E151</f>
        <v>0</v>
      </c>
      <c r="F49" s="662">
        <f>-DataBase!F151</f>
        <v>0</v>
      </c>
      <c r="G49" s="662">
        <f>-DataBase!G151</f>
        <v>0</v>
      </c>
      <c r="H49" s="662">
        <f>-DataBase!H151</f>
        <v>0</v>
      </c>
      <c r="I49" s="662">
        <f>-DataBase!I151</f>
        <v>0</v>
      </c>
      <c r="J49" s="662">
        <f>-DataBase!J151</f>
        <v>0</v>
      </c>
      <c r="K49" s="662">
        <f>-DataBase!K151</f>
        <v>0</v>
      </c>
      <c r="L49" s="662">
        <f>-DataBase!L151</f>
        <v>0</v>
      </c>
      <c r="M49" s="662">
        <f>-DataBase!M151</f>
        <v>0</v>
      </c>
      <c r="N49" s="662">
        <f>-DataBase!N151</f>
        <v>0</v>
      </c>
      <c r="O49" s="635">
        <f t="shared" si="9"/>
        <v>0</v>
      </c>
      <c r="P49" s="160">
        <f t="shared" si="10"/>
        <v>0</v>
      </c>
      <c r="Q49" s="157">
        <f t="shared" si="11"/>
        <v>0</v>
      </c>
      <c r="R49" s="157"/>
      <c r="S49" s="157"/>
      <c r="T49" s="157"/>
      <c r="U49" s="157"/>
    </row>
    <row r="50" spans="1:23" x14ac:dyDescent="0.2">
      <c r="A50" s="159" t="s">
        <v>706</v>
      </c>
      <c r="B50" s="823"/>
      <c r="C50" s="662">
        <f>-DataBase!C152</f>
        <v>0</v>
      </c>
      <c r="D50" s="662">
        <f>-DataBase!D152</f>
        <v>0</v>
      </c>
      <c r="E50" s="662">
        <f>-DataBase!E152</f>
        <v>0</v>
      </c>
      <c r="F50" s="662">
        <f>-DataBase!F152</f>
        <v>0</v>
      </c>
      <c r="G50" s="662">
        <f>-DataBase!G152</f>
        <v>0</v>
      </c>
      <c r="H50" s="662">
        <f>-DataBase!H152</f>
        <v>0</v>
      </c>
      <c r="I50" s="662">
        <f>-DataBase!I152</f>
        <v>0</v>
      </c>
      <c r="J50" s="662">
        <f>-DataBase!J152</f>
        <v>0</v>
      </c>
      <c r="K50" s="662">
        <f>-DataBase!K152</f>
        <v>0</v>
      </c>
      <c r="L50" s="662">
        <f>-DataBase!L152</f>
        <v>0</v>
      </c>
      <c r="M50" s="662">
        <f>-DataBase!M152</f>
        <v>0</v>
      </c>
      <c r="N50" s="662">
        <f>-DataBase!N152</f>
        <v>0</v>
      </c>
      <c r="O50" s="157">
        <f t="shared" si="9"/>
        <v>0</v>
      </c>
      <c r="P50" s="160">
        <f t="shared" si="10"/>
        <v>0</v>
      </c>
      <c r="Q50" s="157">
        <f t="shared" si="11"/>
        <v>0</v>
      </c>
      <c r="R50" s="157"/>
      <c r="S50" s="157"/>
      <c r="T50" s="157"/>
      <c r="U50" s="157"/>
    </row>
    <row r="51" spans="1:23" x14ac:dyDescent="0.2">
      <c r="A51" s="159" t="s">
        <v>708</v>
      </c>
      <c r="B51" s="824"/>
      <c r="C51" s="662">
        <f>-DataBase!C153</f>
        <v>0</v>
      </c>
      <c r="D51" s="662">
        <f>-DataBase!D153</f>
        <v>0</v>
      </c>
      <c r="E51" s="662">
        <f>-DataBase!E153</f>
        <v>0</v>
      </c>
      <c r="F51" s="662">
        <f>-DataBase!F153</f>
        <v>0</v>
      </c>
      <c r="G51" s="662">
        <f>-DataBase!G153</f>
        <v>0</v>
      </c>
      <c r="H51" s="662">
        <f>-DataBase!H153</f>
        <v>0</v>
      </c>
      <c r="I51" s="662">
        <f>-DataBase!I153</f>
        <v>0</v>
      </c>
      <c r="J51" s="662">
        <f>-DataBase!J153</f>
        <v>0</v>
      </c>
      <c r="K51" s="662">
        <f>-DataBase!K153</f>
        <v>0</v>
      </c>
      <c r="L51" s="662">
        <f>-DataBase!L153</f>
        <v>0</v>
      </c>
      <c r="M51" s="662">
        <f>-DataBase!M153</f>
        <v>0</v>
      </c>
      <c r="N51" s="662">
        <f>-DataBase!N153</f>
        <v>0</v>
      </c>
      <c r="O51" s="157">
        <f t="shared" si="9"/>
        <v>0</v>
      </c>
      <c r="P51" s="160">
        <f t="shared" si="10"/>
        <v>0</v>
      </c>
      <c r="Q51" s="157">
        <f t="shared" si="11"/>
        <v>0</v>
      </c>
      <c r="R51" s="157"/>
      <c r="S51" s="157"/>
      <c r="T51" s="157"/>
      <c r="U51" s="157"/>
    </row>
    <row r="52" spans="1:23" x14ac:dyDescent="0.2">
      <c r="A52" s="159" t="s">
        <v>1145</v>
      </c>
      <c r="B52" s="824"/>
      <c r="C52" s="662">
        <f>-DataBase!C154</f>
        <v>0</v>
      </c>
      <c r="D52" s="662">
        <f>-DataBase!D154</f>
        <v>0</v>
      </c>
      <c r="E52" s="662">
        <f>-DataBase!E154</f>
        <v>0</v>
      </c>
      <c r="F52" s="662">
        <f>-DataBase!F154</f>
        <v>0</v>
      </c>
      <c r="G52" s="662">
        <f>-DataBase!G154</f>
        <v>0</v>
      </c>
      <c r="H52" s="662">
        <f>-DataBase!H154</f>
        <v>0</v>
      </c>
      <c r="I52" s="662">
        <f>-DataBase!I154</f>
        <v>0</v>
      </c>
      <c r="J52" s="662">
        <f>-DataBase!J154</f>
        <v>0</v>
      </c>
      <c r="K52" s="662">
        <f>-DataBase!K154</f>
        <v>0</v>
      </c>
      <c r="L52" s="662">
        <f>-DataBase!L154</f>
        <v>0</v>
      </c>
      <c r="M52" s="662">
        <f>-DataBase!M154</f>
        <v>0</v>
      </c>
      <c r="N52" s="662">
        <f>-DataBase!N154</f>
        <v>0</v>
      </c>
      <c r="O52" s="157">
        <f>SUM(C52:N52)</f>
        <v>0</v>
      </c>
      <c r="P52" s="160">
        <f t="shared" si="10"/>
        <v>0</v>
      </c>
      <c r="Q52" s="157">
        <f>(O52-P52)</f>
        <v>0</v>
      </c>
      <c r="R52" s="157"/>
      <c r="S52" s="157"/>
      <c r="T52" s="157"/>
      <c r="U52" s="157"/>
    </row>
    <row r="53" spans="1:23" x14ac:dyDescent="0.2">
      <c r="A53" s="159" t="s">
        <v>1187</v>
      </c>
      <c r="C53" s="272">
        <v>0</v>
      </c>
      <c r="D53" s="272">
        <v>0</v>
      </c>
      <c r="E53" s="272">
        <v>0</v>
      </c>
      <c r="F53" s="272">
        <v>0</v>
      </c>
      <c r="G53" s="272">
        <v>0</v>
      </c>
      <c r="H53" s="272">
        <v>0</v>
      </c>
      <c r="I53" s="272">
        <v>0</v>
      </c>
      <c r="J53" s="272">
        <v>0</v>
      </c>
      <c r="K53" s="272">
        <v>0</v>
      </c>
      <c r="L53" s="272">
        <v>0</v>
      </c>
      <c r="M53" s="272">
        <v>0</v>
      </c>
      <c r="N53" s="272">
        <v>0</v>
      </c>
      <c r="O53" s="161">
        <f>SUM(C53:N53)</f>
        <v>0</v>
      </c>
      <c r="P53" s="272">
        <f t="shared" si="10"/>
        <v>0</v>
      </c>
      <c r="Q53" s="161">
        <f>(O53-P53)</f>
        <v>0</v>
      </c>
      <c r="R53" s="157"/>
      <c r="S53" s="157"/>
      <c r="T53" s="157"/>
      <c r="U53" s="157"/>
    </row>
    <row r="54" spans="1:23" ht="3.95" customHeight="1" x14ac:dyDescent="0.2">
      <c r="A54" s="156"/>
      <c r="B54" s="824"/>
      <c r="C54" s="160"/>
      <c r="D54" s="160"/>
      <c r="E54" s="160"/>
      <c r="F54" s="160"/>
      <c r="G54" s="160"/>
      <c r="H54" s="160"/>
      <c r="I54" s="160"/>
      <c r="J54" s="160"/>
      <c r="K54" s="160"/>
      <c r="L54" s="160"/>
      <c r="M54" s="160"/>
      <c r="N54" s="160"/>
      <c r="O54" s="157"/>
      <c r="P54" s="160"/>
      <c r="Q54" s="157"/>
      <c r="R54" s="157"/>
      <c r="S54" s="157"/>
      <c r="T54" s="157"/>
      <c r="U54" s="157"/>
    </row>
    <row r="55" spans="1:23" x14ac:dyDescent="0.2">
      <c r="A55" s="406" t="s">
        <v>647</v>
      </c>
      <c r="B55" s="153"/>
      <c r="C55" s="162">
        <f t="shared" ref="C55:Q55" si="12">SUM(C42:C53)</f>
        <v>-83</v>
      </c>
      <c r="D55" s="162">
        <f t="shared" si="12"/>
        <v>-144</v>
      </c>
      <c r="E55" s="162">
        <f t="shared" si="12"/>
        <v>-114</v>
      </c>
      <c r="F55" s="162">
        <f t="shared" si="12"/>
        <v>-73</v>
      </c>
      <c r="G55" s="162">
        <f t="shared" si="12"/>
        <v>-182</v>
      </c>
      <c r="H55" s="162">
        <f t="shared" si="12"/>
        <v>-92</v>
      </c>
      <c r="I55" s="162">
        <f t="shared" si="12"/>
        <v>-136</v>
      </c>
      <c r="J55" s="162">
        <f t="shared" si="12"/>
        <v>-139</v>
      </c>
      <c r="K55" s="162">
        <f t="shared" si="12"/>
        <v>-170</v>
      </c>
      <c r="L55" s="162">
        <f t="shared" si="12"/>
        <v>-119</v>
      </c>
      <c r="M55" s="162">
        <f t="shared" si="12"/>
        <v>-216</v>
      </c>
      <c r="N55" s="162">
        <f t="shared" si="12"/>
        <v>-111</v>
      </c>
      <c r="O55" s="162">
        <f t="shared" si="12"/>
        <v>-1579</v>
      </c>
      <c r="P55" s="162">
        <f t="shared" si="12"/>
        <v>-227</v>
      </c>
      <c r="Q55" s="162">
        <f t="shared" si="12"/>
        <v>-1352</v>
      </c>
      <c r="R55" s="163"/>
      <c r="S55" s="163"/>
      <c r="T55" s="157"/>
      <c r="U55" s="157"/>
    </row>
    <row r="56" spans="1:23" ht="6" customHeight="1" x14ac:dyDescent="0.2">
      <c r="A56" s="156"/>
      <c r="B56" s="824"/>
      <c r="C56" s="157"/>
      <c r="D56" s="157"/>
      <c r="E56" s="157"/>
      <c r="F56" s="157"/>
      <c r="G56" s="157"/>
      <c r="H56" s="157"/>
      <c r="I56" s="157"/>
      <c r="J56" s="157"/>
      <c r="K56" s="157"/>
      <c r="L56" s="157"/>
      <c r="M56" s="157"/>
      <c r="N56" s="157"/>
      <c r="O56" s="157"/>
      <c r="P56" s="157"/>
      <c r="Q56" s="157"/>
      <c r="R56" s="157"/>
      <c r="S56" s="157"/>
      <c r="T56" s="157"/>
      <c r="U56" s="157"/>
    </row>
    <row r="57" spans="1:23" x14ac:dyDescent="0.2">
      <c r="A57" s="404" t="s">
        <v>797</v>
      </c>
      <c r="B57" s="153"/>
      <c r="C57" s="162">
        <f t="shared" ref="C57:Q57" si="13">(C21+C32+C39+C55)</f>
        <v>1841</v>
      </c>
      <c r="D57" s="162">
        <f t="shared" si="13"/>
        <v>1786</v>
      </c>
      <c r="E57" s="162">
        <f t="shared" si="13"/>
        <v>1713</v>
      </c>
      <c r="F57" s="162">
        <f t="shared" si="13"/>
        <v>1738</v>
      </c>
      <c r="G57" s="162">
        <f t="shared" si="13"/>
        <v>1505</v>
      </c>
      <c r="H57" s="162">
        <f t="shared" si="13"/>
        <v>1666</v>
      </c>
      <c r="I57" s="162">
        <f t="shared" si="13"/>
        <v>1687</v>
      </c>
      <c r="J57" s="162">
        <f t="shared" si="13"/>
        <v>1660</v>
      </c>
      <c r="K57" s="162">
        <f t="shared" si="13"/>
        <v>1707</v>
      </c>
      <c r="L57" s="162">
        <f t="shared" si="13"/>
        <v>1731</v>
      </c>
      <c r="M57" s="162">
        <f t="shared" si="13"/>
        <v>1750</v>
      </c>
      <c r="N57" s="162">
        <f t="shared" si="13"/>
        <v>1860</v>
      </c>
      <c r="O57" s="162">
        <f t="shared" si="13"/>
        <v>20644</v>
      </c>
      <c r="P57" s="162">
        <f t="shared" si="13"/>
        <v>3627</v>
      </c>
      <c r="Q57" s="162">
        <f t="shared" si="13"/>
        <v>17017</v>
      </c>
      <c r="R57" s="163"/>
      <c r="S57" s="163"/>
      <c r="T57" s="163"/>
      <c r="U57" s="163"/>
      <c r="V57" s="155"/>
      <c r="W57" s="155"/>
    </row>
    <row r="58" spans="1:23" ht="12.75" customHeight="1" x14ac:dyDescent="0.2">
      <c r="A58" s="156"/>
      <c r="B58" s="824"/>
      <c r="C58" s="160"/>
      <c r="D58" s="160"/>
      <c r="E58" s="160"/>
      <c r="F58" s="160"/>
      <c r="G58" s="160"/>
      <c r="H58" s="160"/>
      <c r="I58" s="160"/>
      <c r="J58" s="160"/>
      <c r="K58" s="160"/>
      <c r="L58" s="160"/>
      <c r="M58" s="160"/>
      <c r="N58" s="160"/>
      <c r="O58" s="157"/>
      <c r="P58" s="160"/>
      <c r="Q58" s="157"/>
      <c r="R58" s="157"/>
      <c r="S58" s="157"/>
      <c r="T58" s="157"/>
      <c r="U58" s="157"/>
    </row>
  </sheetData>
  <phoneticPr fontId="0" type="noConversion"/>
  <printOptions horizontalCentered="1" gridLinesSet="0"/>
  <pageMargins left="0.5" right="0.5" top="0.25" bottom="0.25" header="0" footer="0"/>
  <pageSetup paperSize="5" scale="87" orientation="landscape" horizontalDpi="1200" verticalDpi="12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4">
    <pageSetUpPr autoPageBreaks="0" fitToPage="1"/>
  </sheetPr>
  <dimension ref="A1:BJ622"/>
  <sheetViews>
    <sheetView showGridLines="0" topLeftCell="N7" workbookViewId="0">
      <pane xSplit="4" ySplit="2" topLeftCell="R9" activePane="bottomRight" state="frozen"/>
      <selection activeCell="N7" sqref="N7"/>
      <selection pane="topRight" activeCell="R7" sqref="R7"/>
      <selection pane="bottomLeft" activeCell="N9" sqref="N9"/>
      <selection pane="bottomRight" activeCell="R9" sqref="R9"/>
    </sheetView>
  </sheetViews>
  <sheetFormatPr defaultRowHeight="12.75" x14ac:dyDescent="0.2"/>
  <cols>
    <col min="1" max="1" width="4.85546875" style="202" customWidth="1"/>
    <col min="2" max="2" width="45.7109375" style="202" customWidth="1"/>
    <col min="3" max="3" width="7.7109375" style="202" customWidth="1"/>
    <col min="4" max="4" width="2.28515625" style="202" customWidth="1"/>
    <col min="5" max="5" width="10.7109375" style="202" customWidth="1"/>
    <col min="6" max="7" width="9.140625" style="202" customWidth="1"/>
    <col min="8" max="10" width="9.7109375" style="202" customWidth="1"/>
    <col min="11" max="12" width="9.140625" style="202"/>
    <col min="13" max="13" width="4.85546875" style="202" customWidth="1"/>
    <col min="14" max="14" width="45.7109375" style="202" customWidth="1"/>
    <col min="15" max="15" width="8.7109375" style="202" customWidth="1"/>
    <col min="16" max="16" width="2.28515625" style="202" customWidth="1"/>
    <col min="17" max="17" width="10.7109375" style="202" customWidth="1"/>
    <col min="18" max="29" width="8.7109375" style="202" customWidth="1"/>
    <col min="30" max="32" width="9.7109375" style="202" customWidth="1"/>
    <col min="33" max="34" width="9.140625" style="202"/>
    <col min="35" max="35" width="4.85546875" style="202" customWidth="1"/>
    <col min="36" max="36" width="39.140625" style="202" customWidth="1"/>
    <col min="37" max="37" width="13.42578125" style="202" customWidth="1"/>
    <col min="38" max="38" width="2.28515625" style="202" customWidth="1"/>
    <col min="39" max="43" width="9.140625" style="202" customWidth="1"/>
    <col min="44" max="45" width="9.140625" style="202"/>
    <col min="46" max="49" width="9.140625" style="202" customWidth="1"/>
    <col min="50" max="54" width="8.28515625" style="202" customWidth="1"/>
    <col min="55" max="16384" width="9.140625" style="202"/>
  </cols>
  <sheetData>
    <row r="1" spans="1:62" ht="12" customHeight="1" x14ac:dyDescent="0.2">
      <c r="A1" s="605" t="str">
        <f ca="1">CELL("FILENAME")</f>
        <v>C:\Users\Felienne\Enron\EnronSpreadsheets\[tracy_geaccone__40367__EMNNG02PL.xls]IncomeState</v>
      </c>
      <c r="B1" s="201"/>
      <c r="C1" s="201"/>
      <c r="E1" s="519" t="str">
        <f>IncomeState!G1</f>
        <v>NORTHERN NATURAL GAS GROUP</v>
      </c>
      <c r="F1" s="517"/>
      <c r="G1" s="517"/>
      <c r="H1" s="517"/>
      <c r="I1" s="433"/>
      <c r="J1" s="433"/>
      <c r="M1" s="447" t="str">
        <f ca="1">A1</f>
        <v>C:\Users\Felienne\Enron\EnronSpreadsheets\[tracy_geaccone__40367__EMNNG02PL.xls]IncomeState</v>
      </c>
      <c r="N1" s="201"/>
      <c r="O1" s="201"/>
      <c r="P1" s="204"/>
      <c r="Q1" s="204"/>
      <c r="R1" s="204"/>
      <c r="S1" s="204"/>
      <c r="T1" s="204"/>
      <c r="U1" s="519" t="str">
        <f>E1</f>
        <v>NORTHERN NATURAL GAS GROUP</v>
      </c>
      <c r="V1" s="520"/>
      <c r="W1" s="520"/>
      <c r="X1" s="520"/>
      <c r="Y1" s="204"/>
      <c r="Z1" s="204"/>
      <c r="AI1" s="447" t="str">
        <f ca="1">A1</f>
        <v>C:\Users\Felienne\Enron\EnronSpreadsheets\[tracy_geaccone__40367__EMNNG02PL.xls]IncomeState</v>
      </c>
      <c r="AJ1" s="201"/>
      <c r="AK1" s="201"/>
      <c r="AL1"/>
      <c r="AM1"/>
      <c r="AN1" s="519" t="str">
        <f>E1</f>
        <v>NORTHERN NATURAL GAS GROUP</v>
      </c>
      <c r="AO1" s="520"/>
      <c r="AP1" s="519"/>
      <c r="AQ1" s="522"/>
      <c r="AR1"/>
    </row>
    <row r="2" spans="1:62" ht="12" customHeight="1" x14ac:dyDescent="0.2">
      <c r="A2" s="430" t="s">
        <v>1214</v>
      </c>
      <c r="B2" s="201"/>
      <c r="C2" s="201"/>
      <c r="E2" s="519" t="str">
        <f>IncomeState!G2</f>
        <v>2002 OPERATING PLAN</v>
      </c>
      <c r="F2" s="517"/>
      <c r="G2" s="517"/>
      <c r="H2" s="517"/>
      <c r="I2" s="433"/>
      <c r="J2" s="433"/>
      <c r="M2" s="430" t="s">
        <v>1211</v>
      </c>
      <c r="N2" s="201"/>
      <c r="O2" s="201"/>
      <c r="P2" s="204"/>
      <c r="Q2" s="204"/>
      <c r="R2" s="204"/>
      <c r="S2" s="204"/>
      <c r="T2" s="204"/>
      <c r="U2" s="519" t="str">
        <f>E2</f>
        <v>2002 OPERATING PLAN</v>
      </c>
      <c r="V2" s="519"/>
      <c r="W2" s="519"/>
      <c r="X2" s="519"/>
      <c r="Y2" s="204"/>
      <c r="Z2" s="204"/>
      <c r="AI2" s="430" t="s">
        <v>1213</v>
      </c>
      <c r="AJ2" s="201"/>
      <c r="AK2" s="201"/>
      <c r="AL2"/>
      <c r="AM2"/>
      <c r="AN2" s="519" t="str">
        <f>E2</f>
        <v>2002 OPERATING PLAN</v>
      </c>
      <c r="AO2" s="520"/>
      <c r="AP2" s="519"/>
      <c r="AQ2" s="522"/>
      <c r="AR2"/>
    </row>
    <row r="3" spans="1:62" ht="12" customHeight="1" x14ac:dyDescent="0.2">
      <c r="B3"/>
      <c r="C3" s="651">
        <f ca="1">NOW()</f>
        <v>41887.551126967592</v>
      </c>
      <c r="E3" s="516" t="s">
        <v>864</v>
      </c>
      <c r="F3" s="517"/>
      <c r="G3" s="517"/>
      <c r="H3" s="518"/>
      <c r="I3" s="433"/>
      <c r="J3" s="433"/>
      <c r="N3"/>
      <c r="O3" s="205">
        <f ca="1">NOW()</f>
        <v>41887.551126967592</v>
      </c>
      <c r="U3" s="519" t="str">
        <f>E3</f>
        <v>DEFERRED TAX ITEMS</v>
      </c>
      <c r="V3" s="521"/>
      <c r="W3" s="521"/>
      <c r="X3" s="521"/>
      <c r="AJ3"/>
      <c r="AK3"/>
      <c r="AL3"/>
      <c r="AM3"/>
      <c r="AN3" s="519" t="str">
        <f>E3</f>
        <v>DEFERRED TAX ITEMS</v>
      </c>
      <c r="AO3" s="520"/>
      <c r="AP3" s="519"/>
      <c r="AQ3" s="522"/>
      <c r="AR3"/>
    </row>
    <row r="4" spans="1:62" ht="12" customHeight="1" x14ac:dyDescent="0.2">
      <c r="B4"/>
      <c r="C4" s="652">
        <f ca="1">NOW()</f>
        <v>41887.551126967592</v>
      </c>
      <c r="E4" s="519" t="str">
        <f>IncomeState!G4</f>
        <v>(Thousands of Dollars)</v>
      </c>
      <c r="F4" s="517"/>
      <c r="G4" s="517"/>
      <c r="H4" s="518"/>
      <c r="I4" s="433"/>
      <c r="J4" s="433"/>
      <c r="N4"/>
      <c r="O4" s="207">
        <f ca="1">NOW()</f>
        <v>41887.551126967592</v>
      </c>
      <c r="U4" s="519" t="str">
        <f>E4</f>
        <v>(Thousands of Dollars)</v>
      </c>
      <c r="V4" s="521"/>
      <c r="W4" s="521"/>
      <c r="X4" s="522"/>
      <c r="AJ4" s="205">
        <f ca="1">NOW()</f>
        <v>41887.551126967592</v>
      </c>
      <c r="AK4"/>
      <c r="AL4"/>
      <c r="AM4"/>
      <c r="AN4" s="519" t="str">
        <f>E4</f>
        <v>(Thousands of Dollars)</v>
      </c>
      <c r="AO4" s="520"/>
      <c r="AP4" s="519"/>
      <c r="AQ4" s="522"/>
      <c r="AR4"/>
    </row>
    <row r="5" spans="1:62" ht="12" customHeight="1" x14ac:dyDescent="0.2">
      <c r="E5" s="433"/>
      <c r="F5" s="208"/>
      <c r="G5" s="208"/>
      <c r="H5" s="433"/>
      <c r="I5" s="433"/>
      <c r="J5" s="433"/>
      <c r="V5" s="206"/>
      <c r="W5" s="206"/>
      <c r="AJ5" s="207">
        <f ca="1">NOW()</f>
        <v>41887.551126967592</v>
      </c>
      <c r="AL5" s="206"/>
      <c r="AM5" s="206"/>
      <c r="AO5" s="206"/>
    </row>
    <row r="6" spans="1:62" ht="12" customHeight="1" thickBot="1" x14ac:dyDescent="0.25">
      <c r="A6" s="204"/>
      <c r="B6" s="204"/>
      <c r="C6" s="204"/>
      <c r="D6" s="204"/>
      <c r="E6" s="434"/>
      <c r="F6" s="435" t="s">
        <v>865</v>
      </c>
      <c r="G6" s="436"/>
      <c r="H6" s="437" t="s">
        <v>866</v>
      </c>
      <c r="I6" s="434"/>
      <c r="J6" s="434"/>
      <c r="M6" s="204"/>
      <c r="N6" s="204"/>
      <c r="O6" s="204"/>
      <c r="P6" s="204"/>
      <c r="Q6" s="204"/>
      <c r="R6" s="204"/>
      <c r="S6"/>
      <c r="T6" s="211"/>
      <c r="U6"/>
      <c r="V6"/>
      <c r="W6" s="633"/>
      <c r="X6" s="209"/>
      <c r="Y6" s="204"/>
      <c r="Z6" s="204"/>
      <c r="AA6" s="204"/>
      <c r="AB6" s="204"/>
      <c r="AC6" s="204"/>
      <c r="AD6" s="204"/>
      <c r="AE6" s="204"/>
      <c r="AF6" s="204"/>
      <c r="AG6" s="204"/>
      <c r="AH6" s="204"/>
      <c r="AI6" s="204"/>
      <c r="AJ6" s="204"/>
      <c r="AK6" s="204"/>
      <c r="AL6" s="204"/>
      <c r="AM6" s="525">
        <v>2001</v>
      </c>
      <c r="AN6" s="525"/>
      <c r="AO6" s="525"/>
      <c r="AP6" s="433"/>
      <c r="AQ6" s="434"/>
      <c r="AR6" s="204"/>
      <c r="AS6" s="525" t="s">
        <v>265</v>
      </c>
      <c r="AT6" s="525"/>
      <c r="AU6" s="525"/>
      <c r="AV6" s="433"/>
      <c r="AW6" s="434"/>
      <c r="BI6" s="210"/>
      <c r="BJ6" s="210"/>
    </row>
    <row r="7" spans="1:62" ht="12" customHeight="1" x14ac:dyDescent="0.2">
      <c r="A7" s="204"/>
      <c r="B7" s="204"/>
      <c r="C7" s="204"/>
      <c r="D7" s="204"/>
      <c r="E7" s="437" t="s">
        <v>867</v>
      </c>
      <c r="F7" s="434"/>
      <c r="G7" s="434"/>
      <c r="H7" s="437" t="s">
        <v>868</v>
      </c>
      <c r="I7" s="446" t="s">
        <v>869</v>
      </c>
      <c r="J7" s="434"/>
      <c r="M7" s="204"/>
      <c r="N7" s="204"/>
      <c r="O7" s="204"/>
      <c r="P7" s="204"/>
      <c r="Q7" s="209" t="str">
        <f t="shared" ref="Q7:Q56" si="0">E7</f>
        <v>EVENT</v>
      </c>
      <c r="R7" s="211" t="str">
        <f>DataBase!C2</f>
        <v>PLAN</v>
      </c>
      <c r="S7" s="211" t="str">
        <f>DataBase!D2</f>
        <v>PLAN</v>
      </c>
      <c r="T7" s="211" t="str">
        <f>DataBase!E2</f>
        <v>PLAN</v>
      </c>
      <c r="U7" s="211" t="str">
        <f>DataBase!F2</f>
        <v>PLAN</v>
      </c>
      <c r="V7" s="211" t="str">
        <f>DataBase!G2</f>
        <v>PLAN</v>
      </c>
      <c r="W7" s="211" t="str">
        <f>DataBase!H2</f>
        <v>PLAN</v>
      </c>
      <c r="X7" s="211" t="str">
        <f>DataBase!I2</f>
        <v>PLAN</v>
      </c>
      <c r="Y7" s="211" t="str">
        <f>DataBase!J2</f>
        <v>PLAN</v>
      </c>
      <c r="Z7" s="211" t="str">
        <f>DataBase!K2</f>
        <v>PLAN</v>
      </c>
      <c r="AA7" s="211" t="str">
        <f>DataBase!L2</f>
        <v>PLAN</v>
      </c>
      <c r="AB7" s="211" t="str">
        <f>DataBase!M2</f>
        <v>PLAN</v>
      </c>
      <c r="AC7" s="211" t="str">
        <f>DataBase!N2</f>
        <v>PLAN</v>
      </c>
      <c r="AD7" s="211" t="str">
        <f>DataBase!O2</f>
        <v>TOTAL</v>
      </c>
      <c r="AE7" s="211" t="str">
        <f>IncomeState!P6</f>
        <v>FEB.</v>
      </c>
      <c r="AF7" s="211" t="str">
        <f>IncomeState!Q6</f>
        <v>ESTIMATE</v>
      </c>
      <c r="AG7" s="204"/>
      <c r="AH7" s="204"/>
      <c r="AI7" s="204"/>
      <c r="AJ7" s="204"/>
      <c r="AK7" s="204"/>
      <c r="AL7" s="204"/>
      <c r="AM7" s="642" t="s">
        <v>585</v>
      </c>
      <c r="AN7" s="642" t="s">
        <v>810</v>
      </c>
      <c r="AO7" s="488" t="s">
        <v>1160</v>
      </c>
      <c r="AP7" s="526" t="s">
        <v>870</v>
      </c>
      <c r="AQ7" s="527"/>
      <c r="AR7" s="204"/>
      <c r="AS7" s="488"/>
      <c r="AT7" s="488" t="s">
        <v>871</v>
      </c>
      <c r="AU7" s="488" t="s">
        <v>872</v>
      </c>
      <c r="AV7" s="526" t="s">
        <v>870</v>
      </c>
      <c r="AW7" s="527"/>
      <c r="BI7" s="210"/>
      <c r="BJ7" s="210"/>
    </row>
    <row r="8" spans="1:62" ht="12" customHeight="1" x14ac:dyDescent="0.2">
      <c r="A8" s="431" t="s">
        <v>873</v>
      </c>
      <c r="B8" s="440" t="s">
        <v>874</v>
      </c>
      <c r="C8" s="440"/>
      <c r="D8" s="214"/>
      <c r="E8" s="431" t="s">
        <v>875</v>
      </c>
      <c r="F8" s="684" t="s">
        <v>3</v>
      </c>
      <c r="G8" s="684" t="s">
        <v>4</v>
      </c>
      <c r="H8" s="431" t="s">
        <v>876</v>
      </c>
      <c r="I8" s="438" t="s">
        <v>877</v>
      </c>
      <c r="J8" s="445" t="s">
        <v>870</v>
      </c>
      <c r="M8" s="215" t="str">
        <f t="shared" ref="M8:M56" si="1">A8</f>
        <v xml:space="preserve"> C/NC</v>
      </c>
      <c r="N8" s="214" t="str">
        <f t="shared" ref="N8:N56" si="2">B8</f>
        <v xml:space="preserve"> (Increase) / Decrease to Current Taxable Income</v>
      </c>
      <c r="O8" s="214"/>
      <c r="P8" s="216"/>
      <c r="Q8" s="213" t="str">
        <f t="shared" si="0"/>
        <v>CODE</v>
      </c>
      <c r="R8" s="449" t="s">
        <v>1174</v>
      </c>
      <c r="S8" s="449" t="s">
        <v>1175</v>
      </c>
      <c r="T8" s="449" t="s">
        <v>1176</v>
      </c>
      <c r="U8" s="449" t="s">
        <v>1177</v>
      </c>
      <c r="V8" s="449" t="s">
        <v>1178</v>
      </c>
      <c r="W8" s="449" t="s">
        <v>1179</v>
      </c>
      <c r="X8" s="449" t="s">
        <v>1180</v>
      </c>
      <c r="Y8" s="449" t="s">
        <v>1181</v>
      </c>
      <c r="Z8" s="449" t="s">
        <v>1182</v>
      </c>
      <c r="AA8" s="449" t="s">
        <v>1183</v>
      </c>
      <c r="AB8" s="449" t="s">
        <v>1184</v>
      </c>
      <c r="AC8" s="449" t="s">
        <v>1185</v>
      </c>
      <c r="AD8" s="679" t="str">
        <f>DataBase!O3</f>
        <v>2002</v>
      </c>
      <c r="AE8" s="679" t="str">
        <f>IncomeState!P7</f>
        <v>Y-T-D</v>
      </c>
      <c r="AF8" s="679" t="str">
        <f>IncomeState!Q7</f>
        <v>R.M.</v>
      </c>
      <c r="AG8" s="204"/>
      <c r="AH8" s="204"/>
      <c r="AI8" s="215" t="str">
        <f>A8</f>
        <v xml:space="preserve"> C/NC</v>
      </c>
      <c r="AJ8" s="214" t="str">
        <f>B8</f>
        <v xml:space="preserve"> (Increase) / Decrease to Current Taxable Income</v>
      </c>
      <c r="AK8" s="214"/>
      <c r="AL8" s="216"/>
      <c r="AM8" s="439" t="s">
        <v>878</v>
      </c>
      <c r="AN8" s="438" t="s">
        <v>586</v>
      </c>
      <c r="AO8" s="438" t="s">
        <v>878</v>
      </c>
      <c r="AP8" s="502" t="s">
        <v>587</v>
      </c>
      <c r="AQ8" s="439" t="s">
        <v>878</v>
      </c>
      <c r="AR8" s="204"/>
      <c r="AS8" s="438" t="s">
        <v>880</v>
      </c>
      <c r="AT8" s="439" t="s">
        <v>881</v>
      </c>
      <c r="AU8" s="439" t="s">
        <v>879</v>
      </c>
      <c r="AV8" s="439" t="s">
        <v>881</v>
      </c>
      <c r="AW8" s="439" t="s">
        <v>879</v>
      </c>
      <c r="BI8" s="210"/>
      <c r="BJ8" s="210"/>
    </row>
    <row r="9" spans="1:62" ht="12" customHeight="1" x14ac:dyDescent="0.2">
      <c r="A9" s="218" t="s">
        <v>882</v>
      </c>
      <c r="B9" s="441" t="s">
        <v>784</v>
      </c>
      <c r="C9" s="219"/>
      <c r="D9" s="206"/>
      <c r="E9" s="218" t="s">
        <v>883</v>
      </c>
      <c r="F9" s="220">
        <v>0</v>
      </c>
      <c r="G9" s="220">
        <v>0</v>
      </c>
      <c r="H9" s="221">
        <f>F9-G9</f>
        <v>0</v>
      </c>
      <c r="I9" s="220">
        <v>0</v>
      </c>
      <c r="J9" s="221">
        <f>H9-I9</f>
        <v>0</v>
      </c>
      <c r="M9" s="448" t="str">
        <f t="shared" si="1"/>
        <v>C</v>
      </c>
      <c r="N9" s="222" t="str">
        <f t="shared" si="2"/>
        <v>Other</v>
      </c>
      <c r="O9" s="222"/>
      <c r="P9" s="448"/>
      <c r="Q9" s="482" t="str">
        <f t="shared" si="0"/>
        <v>??????</v>
      </c>
      <c r="R9" s="220">
        <v>0</v>
      </c>
      <c r="S9" s="220">
        <v>0</v>
      </c>
      <c r="T9" s="220">
        <v>0</v>
      </c>
      <c r="U9" s="220">
        <v>0</v>
      </c>
      <c r="V9" s="220">
        <v>0</v>
      </c>
      <c r="W9" s="220">
        <v>0</v>
      </c>
      <c r="X9" s="220">
        <v>0</v>
      </c>
      <c r="Y9" s="220">
        <v>0</v>
      </c>
      <c r="Z9" s="220">
        <v>0</v>
      </c>
      <c r="AA9" s="220">
        <v>0</v>
      </c>
      <c r="AB9" s="220">
        <v>0</v>
      </c>
      <c r="AC9" s="220">
        <v>0</v>
      </c>
      <c r="AD9" s="221">
        <f>SUM(R9:AC9)</f>
        <v>0</v>
      </c>
      <c r="AE9" s="220">
        <f>SUM(R9:S9)</f>
        <v>0</v>
      </c>
      <c r="AF9" s="221">
        <f>AD9-AE9</f>
        <v>0</v>
      </c>
      <c r="AG9" s="223"/>
      <c r="AI9" s="457" t="str">
        <f t="shared" ref="AI9:AI56" si="3">M9</f>
        <v>C</v>
      </c>
      <c r="AJ9" s="222" t="str">
        <f t="shared" ref="AJ9:AJ56" si="4">B9</f>
        <v>Other</v>
      </c>
      <c r="AK9" s="222"/>
      <c r="AL9" s="222"/>
      <c r="AM9" s="221">
        <f t="shared" ref="AM9:AM56" si="5">AD9</f>
        <v>0</v>
      </c>
      <c r="AN9" s="274">
        <v>0</v>
      </c>
      <c r="AO9" s="274">
        <v>0</v>
      </c>
      <c r="AP9" s="221">
        <f>AM9-AN9</f>
        <v>0</v>
      </c>
      <c r="AQ9" s="221">
        <f>AM9-AO9</f>
        <v>0</v>
      </c>
      <c r="AR9" s="221"/>
      <c r="AS9" s="274">
        <v>0</v>
      </c>
      <c r="AT9" s="274">
        <v>0</v>
      </c>
      <c r="AU9" s="274">
        <v>0</v>
      </c>
      <c r="AV9" s="221">
        <f>AS9-AT9</f>
        <v>0</v>
      </c>
      <c r="AW9" s="221">
        <f>AS9-AU9</f>
        <v>0</v>
      </c>
      <c r="BI9" s="210"/>
      <c r="BJ9" s="210"/>
    </row>
    <row r="10" spans="1:62" ht="12" customHeight="1" x14ac:dyDescent="0.2">
      <c r="A10" s="218" t="s">
        <v>882</v>
      </c>
      <c r="B10" s="441" t="s">
        <v>884</v>
      </c>
      <c r="C10" s="219"/>
      <c r="D10" s="224"/>
      <c r="E10" s="218" t="s">
        <v>885</v>
      </c>
      <c r="F10" s="220">
        <v>0</v>
      </c>
      <c r="G10" s="220">
        <v>0</v>
      </c>
      <c r="H10" s="221">
        <f>F10-G10</f>
        <v>0</v>
      </c>
      <c r="I10" s="220">
        <v>0</v>
      </c>
      <c r="J10" s="221">
        <f>H10-I10</f>
        <v>0</v>
      </c>
      <c r="M10" s="448" t="str">
        <f t="shared" si="1"/>
        <v>C</v>
      </c>
      <c r="N10" s="222" t="str">
        <f t="shared" si="2"/>
        <v xml:space="preserve">Other PGA </v>
      </c>
      <c r="O10" s="222"/>
      <c r="P10" s="448"/>
      <c r="Q10" s="482" t="str">
        <f t="shared" si="0"/>
        <v>144003</v>
      </c>
      <c r="R10" s="220">
        <v>0</v>
      </c>
      <c r="S10" s="220">
        <v>0</v>
      </c>
      <c r="T10" s="220">
        <v>0</v>
      </c>
      <c r="U10" s="220">
        <v>0</v>
      </c>
      <c r="V10" s="220">
        <v>0</v>
      </c>
      <c r="W10" s="220">
        <v>0</v>
      </c>
      <c r="X10" s="220">
        <v>0</v>
      </c>
      <c r="Y10" s="220">
        <v>0</v>
      </c>
      <c r="Z10" s="220">
        <v>0</v>
      </c>
      <c r="AA10" s="220">
        <v>0</v>
      </c>
      <c r="AB10" s="220">
        <v>0</v>
      </c>
      <c r="AC10" s="220">
        <v>0</v>
      </c>
      <c r="AD10" s="221">
        <f>SUM(R10:AC10)</f>
        <v>0</v>
      </c>
      <c r="AE10" s="220">
        <f t="shared" ref="AE10:AE56" si="6">SUM(R10:S10)</f>
        <v>0</v>
      </c>
      <c r="AF10" s="221">
        <f>AD10-AE10</f>
        <v>0</v>
      </c>
      <c r="AG10" s="223"/>
      <c r="AI10" s="457" t="str">
        <f t="shared" si="3"/>
        <v>C</v>
      </c>
      <c r="AJ10" s="222" t="str">
        <f t="shared" si="4"/>
        <v xml:space="preserve">Other PGA </v>
      </c>
      <c r="AK10" s="222"/>
      <c r="AL10" s="222"/>
      <c r="AM10" s="221">
        <f t="shared" si="5"/>
        <v>0</v>
      </c>
      <c r="AN10" s="274">
        <v>0</v>
      </c>
      <c r="AO10" s="274">
        <v>0</v>
      </c>
      <c r="AP10" s="221">
        <f>AM10-AN10</f>
        <v>0</v>
      </c>
      <c r="AQ10" s="221">
        <f>AM10-AO10</f>
        <v>0</v>
      </c>
      <c r="AR10" s="221"/>
      <c r="AS10" s="274">
        <v>0</v>
      </c>
      <c r="AT10" s="274">
        <v>0</v>
      </c>
      <c r="AU10" s="274">
        <v>0</v>
      </c>
      <c r="AV10" s="221">
        <f>AS10-AT10</f>
        <v>0</v>
      </c>
      <c r="AW10" s="221">
        <f>AS10-AU10</f>
        <v>0</v>
      </c>
      <c r="BI10" s="210"/>
      <c r="BJ10" s="210"/>
    </row>
    <row r="11" spans="1:62" ht="12" customHeight="1" x14ac:dyDescent="0.2">
      <c r="A11" s="218" t="s">
        <v>886</v>
      </c>
      <c r="B11" s="441" t="s">
        <v>887</v>
      </c>
      <c r="C11" s="219"/>
      <c r="D11" s="224" t="s">
        <v>888</v>
      </c>
      <c r="E11" s="478" t="s">
        <v>847</v>
      </c>
      <c r="F11" s="220">
        <v>0</v>
      </c>
      <c r="G11" s="220">
        <v>0</v>
      </c>
      <c r="H11" s="221">
        <f>F11-G11</f>
        <v>0</v>
      </c>
      <c r="I11" s="220">
        <v>0</v>
      </c>
      <c r="J11" s="221">
        <f>H11-I11</f>
        <v>0</v>
      </c>
      <c r="M11" s="448" t="str">
        <f t="shared" si="1"/>
        <v>NC</v>
      </c>
      <c r="N11" s="222" t="str">
        <f t="shared" si="2"/>
        <v xml:space="preserve">Depreciation / Amortization - Book </v>
      </c>
      <c r="O11" s="222"/>
      <c r="P11" s="448" t="str">
        <f>D11</f>
        <v>L</v>
      </c>
      <c r="Q11" s="482" t="str">
        <f t="shared" si="0"/>
        <v>100101</v>
      </c>
      <c r="R11" s="490">
        <f>-'Fuel-Depr-OtherTax'!C28+'Fuel-Depr-OtherTax'!C21+'Fuel-Depr-OtherTax'!C24</f>
        <v>-4002</v>
      </c>
      <c r="S11" s="490">
        <f>-'Fuel-Depr-OtherTax'!D28+'Fuel-Depr-OtherTax'!D21+'Fuel-Depr-OtherTax'!D24</f>
        <v>-4002</v>
      </c>
      <c r="T11" s="490">
        <f>-'Fuel-Depr-OtherTax'!E28+'Fuel-Depr-OtherTax'!E21+'Fuel-Depr-OtherTax'!E24</f>
        <v>-4008</v>
      </c>
      <c r="U11" s="490">
        <f>-'Fuel-Depr-OtherTax'!F28+'Fuel-Depr-OtherTax'!F21+'Fuel-Depr-OtherTax'!F24</f>
        <v>-4055</v>
      </c>
      <c r="V11" s="490">
        <f>-'Fuel-Depr-OtherTax'!G28+'Fuel-Depr-OtherTax'!G21+'Fuel-Depr-OtherTax'!G24</f>
        <v>-4055</v>
      </c>
      <c r="W11" s="490">
        <f>-'Fuel-Depr-OtherTax'!H28+'Fuel-Depr-OtherTax'!H21+'Fuel-Depr-OtherTax'!H24</f>
        <v>-4058</v>
      </c>
      <c r="X11" s="490">
        <f>-'Fuel-Depr-OtherTax'!I28+'Fuel-Depr-OtherTax'!I21+'Fuel-Depr-OtherTax'!I24</f>
        <v>-4060</v>
      </c>
      <c r="Y11" s="490">
        <f>-'Fuel-Depr-OtherTax'!J28+'Fuel-Depr-OtherTax'!J21+'Fuel-Depr-OtherTax'!J24</f>
        <v>-4079</v>
      </c>
      <c r="Z11" s="490">
        <f>-'Fuel-Depr-OtherTax'!K28+'Fuel-Depr-OtherTax'!K21+'Fuel-Depr-OtherTax'!K24</f>
        <v>-4091</v>
      </c>
      <c r="AA11" s="490">
        <f>-'Fuel-Depr-OtherTax'!L28+'Fuel-Depr-OtherTax'!L21+'Fuel-Depr-OtherTax'!L24</f>
        <v>-4186</v>
      </c>
      <c r="AB11" s="490">
        <f>-'Fuel-Depr-OtherTax'!M28+'Fuel-Depr-OtherTax'!M21+'Fuel-Depr-OtherTax'!M24</f>
        <v>-4186</v>
      </c>
      <c r="AC11" s="490">
        <f>-'Fuel-Depr-OtherTax'!N28+'Fuel-Depr-OtherTax'!N21+'Fuel-Depr-OtherTax'!N24</f>
        <v>-4185</v>
      </c>
      <c r="AD11" s="221">
        <f>SUM(R11:AC11)</f>
        <v>-48967</v>
      </c>
      <c r="AE11" s="220">
        <f t="shared" si="6"/>
        <v>-8004</v>
      </c>
      <c r="AF11" s="221">
        <f>AD11-AE11</f>
        <v>-40963</v>
      </c>
      <c r="AG11" s="223"/>
      <c r="AH11" s="223"/>
      <c r="AI11" s="457" t="str">
        <f t="shared" si="3"/>
        <v>NC</v>
      </c>
      <c r="AJ11" s="222" t="str">
        <f t="shared" si="4"/>
        <v xml:space="preserve">Depreciation / Amortization - Book </v>
      </c>
      <c r="AK11" s="222"/>
      <c r="AL11" s="448"/>
      <c r="AM11" s="221">
        <f t="shared" si="5"/>
        <v>-48967</v>
      </c>
      <c r="AN11" s="274">
        <v>-47264</v>
      </c>
      <c r="AO11" s="274">
        <v>0</v>
      </c>
      <c r="AP11" s="221">
        <f>AM11-AN11</f>
        <v>-1703</v>
      </c>
      <c r="AQ11" s="221">
        <f>AM11-AO11</f>
        <v>-48967</v>
      </c>
      <c r="AR11" s="221"/>
      <c r="AS11" s="274">
        <v>0</v>
      </c>
      <c r="AT11" s="274">
        <v>0</v>
      </c>
      <c r="AU11" s="274">
        <v>-4405</v>
      </c>
      <c r="AV11" s="221">
        <f>AS11-AT11</f>
        <v>0</v>
      </c>
      <c r="AW11" s="221">
        <f>AS11-AU11</f>
        <v>4405</v>
      </c>
      <c r="BI11" s="210"/>
      <c r="BJ11" s="210"/>
    </row>
    <row r="12" spans="1:62" ht="12" customHeight="1" x14ac:dyDescent="0.2">
      <c r="A12" s="218" t="s">
        <v>886</v>
      </c>
      <c r="B12" s="441" t="s">
        <v>889</v>
      </c>
      <c r="C12" s="219"/>
      <c r="D12" s="206"/>
      <c r="E12" s="478" t="s">
        <v>846</v>
      </c>
      <c r="F12" s="220">
        <v>0</v>
      </c>
      <c r="G12" s="220">
        <v>0</v>
      </c>
      <c r="H12" s="221">
        <f>F12-G12</f>
        <v>0</v>
      </c>
      <c r="I12" s="220">
        <v>0</v>
      </c>
      <c r="J12" s="221">
        <f>H12-I12</f>
        <v>0</v>
      </c>
      <c r="M12" s="448" t="str">
        <f t="shared" si="1"/>
        <v>NC</v>
      </c>
      <c r="N12" s="222" t="str">
        <f t="shared" si="2"/>
        <v xml:space="preserve">                                        - Tax</v>
      </c>
      <c r="O12" s="222"/>
      <c r="P12" s="448"/>
      <c r="Q12" s="482" t="str">
        <f t="shared" si="0"/>
        <v>111010</v>
      </c>
      <c r="R12" s="220">
        <v>6169</v>
      </c>
      <c r="S12" s="220">
        <v>6169</v>
      </c>
      <c r="T12" s="220">
        <v>6168</v>
      </c>
      <c r="U12" s="220">
        <v>6169</v>
      </c>
      <c r="V12" s="220">
        <v>6169</v>
      </c>
      <c r="W12" s="220">
        <v>6168</v>
      </c>
      <c r="X12" s="220">
        <v>6169</v>
      </c>
      <c r="Y12" s="220">
        <v>6169</v>
      </c>
      <c r="Z12" s="220">
        <v>6168</v>
      </c>
      <c r="AA12" s="220">
        <v>6169</v>
      </c>
      <c r="AB12" s="220">
        <v>6169</v>
      </c>
      <c r="AC12" s="220">
        <v>6168</v>
      </c>
      <c r="AD12" s="221">
        <f>SUM(R12:AC12)</f>
        <v>74024</v>
      </c>
      <c r="AE12" s="220">
        <f t="shared" si="6"/>
        <v>12338</v>
      </c>
      <c r="AF12" s="221">
        <f>AD12-AE12</f>
        <v>61686</v>
      </c>
      <c r="AI12" s="457" t="str">
        <f t="shared" si="3"/>
        <v>NC</v>
      </c>
      <c r="AJ12" s="222" t="str">
        <f t="shared" si="4"/>
        <v xml:space="preserve">                                        - Tax</v>
      </c>
      <c r="AK12" s="222"/>
      <c r="AL12" s="448"/>
      <c r="AM12" s="221">
        <f t="shared" si="5"/>
        <v>74024</v>
      </c>
      <c r="AN12" s="274">
        <v>74850</v>
      </c>
      <c r="AO12" s="274">
        <v>0</v>
      </c>
      <c r="AP12" s="221">
        <f>AM12-AN12</f>
        <v>-826</v>
      </c>
      <c r="AQ12" s="221">
        <f>AM12-AO12</f>
        <v>74024</v>
      </c>
      <c r="AR12" s="221"/>
      <c r="AS12" s="274">
        <v>0</v>
      </c>
      <c r="AT12" s="274">
        <v>0</v>
      </c>
      <c r="AU12" s="274">
        <v>3734</v>
      </c>
      <c r="AV12" s="221">
        <f>AS12-AT12</f>
        <v>0</v>
      </c>
      <c r="AW12" s="221">
        <f>AS12-AU12</f>
        <v>-3734</v>
      </c>
      <c r="BI12" s="210"/>
      <c r="BJ12" s="210"/>
    </row>
    <row r="13" spans="1:62" ht="12" customHeight="1" x14ac:dyDescent="0.2">
      <c r="A13" s="225" t="s">
        <v>886</v>
      </c>
      <c r="B13" s="441" t="s">
        <v>1062</v>
      </c>
      <c r="C13" s="226"/>
      <c r="D13" s="221"/>
      <c r="E13" s="218" t="s">
        <v>890</v>
      </c>
      <c r="F13" s="220">
        <v>0</v>
      </c>
      <c r="G13" s="220">
        <v>0</v>
      </c>
      <c r="H13" s="221">
        <f>F13-G13</f>
        <v>0</v>
      </c>
      <c r="I13" s="220">
        <v>0</v>
      </c>
      <c r="J13" s="221">
        <f>H13-I13</f>
        <v>0</v>
      </c>
      <c r="K13" s="221"/>
      <c r="L13" s="221"/>
      <c r="M13" s="448" t="str">
        <f t="shared" si="1"/>
        <v>NC</v>
      </c>
      <c r="N13" s="222" t="str">
        <f t="shared" si="2"/>
        <v xml:space="preserve">Asset Removal Costs </v>
      </c>
      <c r="O13" s="222"/>
      <c r="P13" s="448"/>
      <c r="Q13" s="482" t="str">
        <f t="shared" si="0"/>
        <v>113003</v>
      </c>
      <c r="R13" s="220">
        <v>333</v>
      </c>
      <c r="S13" s="220">
        <v>333</v>
      </c>
      <c r="T13" s="220">
        <v>334</v>
      </c>
      <c r="U13" s="220">
        <v>333</v>
      </c>
      <c r="V13" s="220">
        <v>333</v>
      </c>
      <c r="W13" s="220">
        <v>334</v>
      </c>
      <c r="X13" s="220">
        <v>333</v>
      </c>
      <c r="Y13" s="220">
        <v>333</v>
      </c>
      <c r="Z13" s="220">
        <v>334</v>
      </c>
      <c r="AA13" s="220">
        <v>333</v>
      </c>
      <c r="AB13" s="220">
        <v>333</v>
      </c>
      <c r="AC13" s="220">
        <v>334</v>
      </c>
      <c r="AD13" s="221">
        <f>SUM(R13:AC13)</f>
        <v>4000</v>
      </c>
      <c r="AE13" s="220">
        <f t="shared" si="6"/>
        <v>666</v>
      </c>
      <c r="AF13" s="221">
        <f>AD13-AE13</f>
        <v>3334</v>
      </c>
      <c r="AG13" s="221"/>
      <c r="AH13" s="221"/>
      <c r="AI13" s="457" t="str">
        <f t="shared" si="3"/>
        <v>NC</v>
      </c>
      <c r="AJ13" s="222" t="str">
        <f t="shared" si="4"/>
        <v xml:space="preserve">Asset Removal Costs </v>
      </c>
      <c r="AK13" s="222"/>
      <c r="AL13" s="448"/>
      <c r="AM13" s="221">
        <f t="shared" si="5"/>
        <v>4000</v>
      </c>
      <c r="AN13" s="274">
        <v>6000</v>
      </c>
      <c r="AO13" s="274">
        <v>0</v>
      </c>
      <c r="AP13" s="221">
        <f>AM13-AN13</f>
        <v>-2000</v>
      </c>
      <c r="AQ13" s="221">
        <f>AM13-AO13</f>
        <v>4000</v>
      </c>
      <c r="AR13" s="221"/>
      <c r="AS13" s="274">
        <v>0</v>
      </c>
      <c r="AT13" s="274">
        <v>0</v>
      </c>
      <c r="AU13" s="274">
        <v>0</v>
      </c>
      <c r="AV13" s="221">
        <f>AS13-AT13</f>
        <v>0</v>
      </c>
      <c r="AW13" s="221">
        <f>AS13-AU13</f>
        <v>0</v>
      </c>
      <c r="BI13" s="210"/>
      <c r="BJ13" s="210"/>
    </row>
    <row r="14" spans="1:62" ht="12" customHeight="1" x14ac:dyDescent="0.2">
      <c r="A14" s="218" t="s">
        <v>886</v>
      </c>
      <c r="B14" s="442" t="s">
        <v>891</v>
      </c>
      <c r="C14" s="219"/>
      <c r="D14" s="206"/>
      <c r="E14" s="478" t="s">
        <v>892</v>
      </c>
      <c r="F14" s="220">
        <v>0</v>
      </c>
      <c r="G14" s="220">
        <v>0</v>
      </c>
      <c r="H14" s="221">
        <f t="shared" ref="H14:H19" si="7">F14-G14</f>
        <v>0</v>
      </c>
      <c r="I14" s="220">
        <v>0</v>
      </c>
      <c r="J14" s="221">
        <f t="shared" ref="J14:J19" si="8">H14-I14</f>
        <v>0</v>
      </c>
      <c r="M14" s="448" t="str">
        <f t="shared" si="1"/>
        <v>NC</v>
      </c>
      <c r="N14" s="222" t="str">
        <f t="shared" si="2"/>
        <v>Capitalized Interest</v>
      </c>
      <c r="O14" s="222"/>
      <c r="P14" s="448"/>
      <c r="Q14" s="482" t="str">
        <f t="shared" si="0"/>
        <v>114002</v>
      </c>
      <c r="R14" s="220">
        <v>0</v>
      </c>
      <c r="S14" s="220">
        <v>0</v>
      </c>
      <c r="T14" s="220">
        <v>0</v>
      </c>
      <c r="U14" s="220">
        <v>0</v>
      </c>
      <c r="V14" s="220">
        <v>0</v>
      </c>
      <c r="W14" s="220">
        <v>0</v>
      </c>
      <c r="X14" s="220">
        <v>0</v>
      </c>
      <c r="Y14" s="220">
        <v>0</v>
      </c>
      <c r="Z14" s="220">
        <v>0</v>
      </c>
      <c r="AA14" s="220">
        <v>0</v>
      </c>
      <c r="AB14" s="220">
        <v>0</v>
      </c>
      <c r="AC14" s="220">
        <v>0</v>
      </c>
      <c r="AD14" s="221">
        <f t="shared" ref="AD14:AD19" si="9">SUM(R14:AC14)</f>
        <v>0</v>
      </c>
      <c r="AE14" s="220">
        <f t="shared" si="6"/>
        <v>0</v>
      </c>
      <c r="AF14" s="221">
        <f t="shared" ref="AF14:AF19" si="10">AD14-AE14</f>
        <v>0</v>
      </c>
      <c r="AG14" s="223"/>
      <c r="AI14" s="457" t="str">
        <f t="shared" si="3"/>
        <v>NC</v>
      </c>
      <c r="AJ14" s="222" t="str">
        <f t="shared" si="4"/>
        <v>Capitalized Interest</v>
      </c>
      <c r="AK14" s="222"/>
      <c r="AL14" s="448"/>
      <c r="AM14" s="221">
        <f t="shared" si="5"/>
        <v>0</v>
      </c>
      <c r="AN14" s="274">
        <v>-1000</v>
      </c>
      <c r="AO14" s="274">
        <v>0</v>
      </c>
      <c r="AP14" s="221">
        <f t="shared" ref="AP14:AP19" si="11">AM14-AN14</f>
        <v>1000</v>
      </c>
      <c r="AQ14" s="221">
        <f t="shared" ref="AQ14:AQ19" si="12">AM14-AO14</f>
        <v>0</v>
      </c>
      <c r="AR14" s="221"/>
      <c r="AS14" s="274">
        <v>0</v>
      </c>
      <c r="AT14" s="274">
        <v>0</v>
      </c>
      <c r="AU14" s="274">
        <v>-3500</v>
      </c>
      <c r="AV14" s="221">
        <f t="shared" ref="AV14:AV19" si="13">AS14-AT14</f>
        <v>0</v>
      </c>
      <c r="AW14" s="221">
        <f t="shared" ref="AW14:AW19" si="14">AS14-AU14</f>
        <v>3500</v>
      </c>
      <c r="BI14" s="210"/>
      <c r="BJ14" s="210"/>
    </row>
    <row r="15" spans="1:62" ht="12" customHeight="1" x14ac:dyDescent="0.2">
      <c r="A15" s="218" t="s">
        <v>886</v>
      </c>
      <c r="B15" s="227" t="s">
        <v>893</v>
      </c>
      <c r="C15" s="227"/>
      <c r="E15" s="478" t="s">
        <v>894</v>
      </c>
      <c r="F15" s="220">
        <v>0</v>
      </c>
      <c r="G15" s="220">
        <v>0</v>
      </c>
      <c r="H15" s="221">
        <f t="shared" si="7"/>
        <v>0</v>
      </c>
      <c r="I15" s="220">
        <v>0</v>
      </c>
      <c r="J15" s="221">
        <f t="shared" si="8"/>
        <v>0</v>
      </c>
      <c r="M15" s="448" t="str">
        <f t="shared" si="1"/>
        <v>NC</v>
      </c>
      <c r="N15" s="222" t="str">
        <f t="shared" si="2"/>
        <v>CIAC - Utility</v>
      </c>
      <c r="O15" s="222"/>
      <c r="P15" s="448"/>
      <c r="Q15" s="482" t="str">
        <f t="shared" si="0"/>
        <v>114004</v>
      </c>
      <c r="R15" s="220">
        <v>0</v>
      </c>
      <c r="S15" s="220">
        <v>0</v>
      </c>
      <c r="T15" s="220">
        <v>0</v>
      </c>
      <c r="U15" s="220">
        <v>0</v>
      </c>
      <c r="V15" s="220">
        <v>0</v>
      </c>
      <c r="W15" s="220">
        <v>0</v>
      </c>
      <c r="X15" s="220">
        <v>0</v>
      </c>
      <c r="Y15" s="220">
        <v>0</v>
      </c>
      <c r="Z15" s="220">
        <v>0</v>
      </c>
      <c r="AA15" s="220">
        <v>0</v>
      </c>
      <c r="AB15" s="220">
        <v>-2000</v>
      </c>
      <c r="AC15" s="220">
        <v>0</v>
      </c>
      <c r="AD15" s="221">
        <f t="shared" si="9"/>
        <v>-2000</v>
      </c>
      <c r="AE15" s="220">
        <f t="shared" si="6"/>
        <v>0</v>
      </c>
      <c r="AF15" s="221">
        <f t="shared" si="10"/>
        <v>-2000</v>
      </c>
      <c r="AI15" s="457" t="str">
        <f t="shared" si="3"/>
        <v>NC</v>
      </c>
      <c r="AJ15" s="222" t="str">
        <f t="shared" si="4"/>
        <v>CIAC - Utility</v>
      </c>
      <c r="AK15" s="222"/>
      <c r="AL15" s="448"/>
      <c r="AM15" s="221">
        <f t="shared" si="5"/>
        <v>-2000</v>
      </c>
      <c r="AN15" s="274">
        <v>-3000</v>
      </c>
      <c r="AO15" s="274">
        <v>0</v>
      </c>
      <c r="AP15" s="221">
        <f t="shared" si="11"/>
        <v>1000</v>
      </c>
      <c r="AQ15" s="221">
        <f t="shared" si="12"/>
        <v>-2000</v>
      </c>
      <c r="AS15" s="274">
        <v>0</v>
      </c>
      <c r="AT15" s="274">
        <v>0</v>
      </c>
      <c r="AU15" s="274">
        <v>-3015</v>
      </c>
      <c r="AV15" s="221">
        <f t="shared" si="13"/>
        <v>0</v>
      </c>
      <c r="AW15" s="221">
        <f t="shared" si="14"/>
        <v>3015</v>
      </c>
      <c r="BI15" s="210"/>
      <c r="BJ15" s="210"/>
    </row>
    <row r="16" spans="1:62" ht="12" customHeight="1" x14ac:dyDescent="0.2">
      <c r="A16" s="218" t="s">
        <v>886</v>
      </c>
      <c r="B16" s="441" t="s">
        <v>895</v>
      </c>
      <c r="C16" s="219"/>
      <c r="D16" s="206"/>
      <c r="E16" s="218" t="s">
        <v>896</v>
      </c>
      <c r="F16" s="220">
        <v>0</v>
      </c>
      <c r="G16" s="220">
        <v>0</v>
      </c>
      <c r="H16" s="221">
        <f t="shared" si="7"/>
        <v>0</v>
      </c>
      <c r="I16" s="220">
        <v>0</v>
      </c>
      <c r="J16" s="221">
        <f t="shared" si="8"/>
        <v>0</v>
      </c>
      <c r="M16" s="448" t="str">
        <f t="shared" si="1"/>
        <v>NC</v>
      </c>
      <c r="N16" s="222" t="str">
        <f t="shared" si="2"/>
        <v xml:space="preserve">AFUDC Gross-Up </v>
      </c>
      <c r="O16" s="222"/>
      <c r="P16" s="448"/>
      <c r="Q16" s="482" t="str">
        <f t="shared" si="0"/>
        <v>114019</v>
      </c>
      <c r="R16" s="523">
        <f>-IntDeduct!C35+OtherInc!C28+OtherInc!C29</f>
        <v>59</v>
      </c>
      <c r="S16" s="523">
        <f>-IntDeduct!D35+OtherInc!D28+OtherInc!D29</f>
        <v>24</v>
      </c>
      <c r="T16" s="523">
        <f>-IntDeduct!E35+OtherInc!E28+OtherInc!E29</f>
        <v>74</v>
      </c>
      <c r="U16" s="523">
        <f>-IntDeduct!F35+OtherInc!F28+OtherInc!F29</f>
        <v>170</v>
      </c>
      <c r="V16" s="523">
        <f>-IntDeduct!G35+OtherInc!G28+OtherInc!G29</f>
        <v>299</v>
      </c>
      <c r="W16" s="523">
        <f>-IntDeduct!H35+OtherInc!H28+OtherInc!H29</f>
        <v>408</v>
      </c>
      <c r="X16" s="523">
        <f>-IntDeduct!I35+OtherInc!I28+OtherInc!I29</f>
        <v>10</v>
      </c>
      <c r="Y16" s="523">
        <f>-IntDeduct!J35+OtherInc!J28+OtherInc!J29</f>
        <v>156</v>
      </c>
      <c r="Z16" s="523">
        <f>-IntDeduct!K35+OtherInc!K28+OtherInc!K29</f>
        <v>289</v>
      </c>
      <c r="AA16" s="523">
        <f>-IntDeduct!L35+OtherInc!L28+OtherInc!L29</f>
        <v>413</v>
      </c>
      <c r="AB16" s="523">
        <f>-IntDeduct!M35+OtherInc!M28+OtherInc!M29</f>
        <v>321</v>
      </c>
      <c r="AC16" s="523">
        <f>-IntDeduct!N35+OtherInc!N28+OtherInc!N29</f>
        <v>308</v>
      </c>
      <c r="AD16" s="221">
        <f t="shared" si="9"/>
        <v>2531</v>
      </c>
      <c r="AE16" s="220">
        <f t="shared" si="6"/>
        <v>83</v>
      </c>
      <c r="AF16" s="221">
        <f t="shared" si="10"/>
        <v>2448</v>
      </c>
      <c r="AH16" s="223"/>
      <c r="AI16" s="457" t="str">
        <f t="shared" si="3"/>
        <v>NC</v>
      </c>
      <c r="AJ16" s="222" t="str">
        <f t="shared" si="4"/>
        <v xml:space="preserve">AFUDC Gross-Up </v>
      </c>
      <c r="AK16" s="222"/>
      <c r="AL16" s="448"/>
      <c r="AM16" s="221">
        <f t="shared" si="5"/>
        <v>2531</v>
      </c>
      <c r="AN16" s="274">
        <v>849</v>
      </c>
      <c r="AO16" s="274">
        <v>0</v>
      </c>
      <c r="AP16" s="221">
        <f t="shared" si="11"/>
        <v>1682</v>
      </c>
      <c r="AQ16" s="221">
        <f t="shared" si="12"/>
        <v>2531</v>
      </c>
      <c r="AR16" s="221"/>
      <c r="AS16" s="274">
        <v>0</v>
      </c>
      <c r="AT16" s="274">
        <v>0</v>
      </c>
      <c r="AU16" s="274">
        <v>1018</v>
      </c>
      <c r="AV16" s="221">
        <f t="shared" si="13"/>
        <v>0</v>
      </c>
      <c r="AW16" s="221">
        <f t="shared" si="14"/>
        <v>-1018</v>
      </c>
      <c r="BI16" s="210"/>
      <c r="BJ16" s="210"/>
    </row>
    <row r="17" spans="1:62" ht="12" customHeight="1" x14ac:dyDescent="0.2">
      <c r="A17" s="218" t="s">
        <v>886</v>
      </c>
      <c r="B17" s="441" t="s">
        <v>897</v>
      </c>
      <c r="C17" s="219"/>
      <c r="D17" s="224" t="s">
        <v>888</v>
      </c>
      <c r="E17" s="218" t="s">
        <v>898</v>
      </c>
      <c r="F17" s="220">
        <v>0</v>
      </c>
      <c r="G17" s="220">
        <v>0</v>
      </c>
      <c r="H17" s="221">
        <f t="shared" si="7"/>
        <v>0</v>
      </c>
      <c r="I17" s="220">
        <v>0</v>
      </c>
      <c r="J17" s="221">
        <f t="shared" si="8"/>
        <v>0</v>
      </c>
      <c r="M17" s="448" t="str">
        <f t="shared" si="1"/>
        <v>NC</v>
      </c>
      <c r="N17" s="222" t="str">
        <f t="shared" si="2"/>
        <v xml:space="preserve">Amortization of Regulatory Costs            </v>
      </c>
      <c r="O17" s="222"/>
      <c r="P17" s="448" t="str">
        <f>D17</f>
        <v>L</v>
      </c>
      <c r="Q17" s="482" t="str">
        <f t="shared" si="0"/>
        <v>115005</v>
      </c>
      <c r="R17" s="221">
        <f t="shared" ref="R17:AC17" si="15">R144</f>
        <v>-58</v>
      </c>
      <c r="S17" s="221">
        <f t="shared" si="15"/>
        <v>-58</v>
      </c>
      <c r="T17" s="221">
        <f t="shared" si="15"/>
        <v>-58</v>
      </c>
      <c r="U17" s="221">
        <f t="shared" si="15"/>
        <v>-58</v>
      </c>
      <c r="V17" s="221">
        <f t="shared" si="15"/>
        <v>-58</v>
      </c>
      <c r="W17" s="221">
        <f t="shared" si="15"/>
        <v>-58</v>
      </c>
      <c r="X17" s="221">
        <f t="shared" si="15"/>
        <v>-58</v>
      </c>
      <c r="Y17" s="221">
        <f t="shared" si="15"/>
        <v>-58</v>
      </c>
      <c r="Z17" s="221">
        <f t="shared" si="15"/>
        <v>-58</v>
      </c>
      <c r="AA17" s="221">
        <f t="shared" si="15"/>
        <v>-58</v>
      </c>
      <c r="AB17" s="221">
        <f t="shared" si="15"/>
        <v>-58</v>
      </c>
      <c r="AC17" s="221">
        <f t="shared" si="15"/>
        <v>-58</v>
      </c>
      <c r="AD17" s="221">
        <f t="shared" si="9"/>
        <v>-696</v>
      </c>
      <c r="AE17" s="220">
        <f t="shared" si="6"/>
        <v>-116</v>
      </c>
      <c r="AF17" s="221">
        <f t="shared" si="10"/>
        <v>-580</v>
      </c>
      <c r="AG17" s="223"/>
      <c r="AI17" s="457" t="str">
        <f t="shared" si="3"/>
        <v>NC</v>
      </c>
      <c r="AJ17" s="222" t="str">
        <f t="shared" si="4"/>
        <v xml:space="preserve">Amortization of Regulatory Costs            </v>
      </c>
      <c r="AK17" s="222"/>
      <c r="AL17" s="448"/>
      <c r="AM17" s="221">
        <f t="shared" si="5"/>
        <v>-696</v>
      </c>
      <c r="AN17" s="274">
        <v>311</v>
      </c>
      <c r="AO17" s="274">
        <v>0</v>
      </c>
      <c r="AP17" s="221">
        <f t="shared" si="11"/>
        <v>-1007</v>
      </c>
      <c r="AQ17" s="221">
        <f t="shared" si="12"/>
        <v>-696</v>
      </c>
      <c r="AR17" s="221"/>
      <c r="AS17" s="274">
        <v>0</v>
      </c>
      <c r="AT17" s="274">
        <v>0</v>
      </c>
      <c r="AU17" s="274">
        <v>-119</v>
      </c>
      <c r="AV17" s="221">
        <f t="shared" si="13"/>
        <v>0</v>
      </c>
      <c r="AW17" s="221">
        <f t="shared" si="14"/>
        <v>119</v>
      </c>
      <c r="BI17" s="210"/>
      <c r="BJ17" s="210"/>
    </row>
    <row r="18" spans="1:62" ht="12" customHeight="1" x14ac:dyDescent="0.2">
      <c r="A18" s="218" t="s">
        <v>886</v>
      </c>
      <c r="B18" s="442" t="s">
        <v>899</v>
      </c>
      <c r="C18" s="227"/>
      <c r="E18" s="218" t="s">
        <v>900</v>
      </c>
      <c r="F18" s="220">
        <v>0</v>
      </c>
      <c r="G18" s="220">
        <v>0</v>
      </c>
      <c r="H18" s="221">
        <f t="shared" si="7"/>
        <v>0</v>
      </c>
      <c r="I18" s="220">
        <v>0</v>
      </c>
      <c r="J18" s="221">
        <f t="shared" si="8"/>
        <v>0</v>
      </c>
      <c r="M18" s="448" t="str">
        <f t="shared" si="1"/>
        <v>NC</v>
      </c>
      <c r="N18" s="222" t="str">
        <f t="shared" si="2"/>
        <v>AFUDC Amortization</v>
      </c>
      <c r="O18" s="222"/>
      <c r="P18" s="448"/>
      <c r="Q18" s="482" t="str">
        <f t="shared" si="0"/>
        <v>115019</v>
      </c>
      <c r="R18" s="523">
        <f>OtherInc!C30</f>
        <v>-7</v>
      </c>
      <c r="S18" s="523">
        <f>OtherInc!D30</f>
        <v>-6</v>
      </c>
      <c r="T18" s="523">
        <f>OtherInc!E30</f>
        <v>-7</v>
      </c>
      <c r="U18" s="523">
        <f>OtherInc!F30</f>
        <v>-6</v>
      </c>
      <c r="V18" s="523">
        <f>OtherInc!G30</f>
        <v>-7</v>
      </c>
      <c r="W18" s="523">
        <f>OtherInc!H30</f>
        <v>-6</v>
      </c>
      <c r="X18" s="523">
        <f>OtherInc!I30</f>
        <v>-7</v>
      </c>
      <c r="Y18" s="523">
        <f>OtherInc!J30</f>
        <v>-6</v>
      </c>
      <c r="Z18" s="523">
        <f>OtherInc!K30</f>
        <v>-7</v>
      </c>
      <c r="AA18" s="523">
        <f>OtherInc!L30</f>
        <v>-6</v>
      </c>
      <c r="AB18" s="523">
        <f>OtherInc!M30</f>
        <v>-7</v>
      </c>
      <c r="AC18" s="523">
        <f>OtherInc!N30</f>
        <v>-6</v>
      </c>
      <c r="AD18" s="221">
        <f t="shared" si="9"/>
        <v>-78</v>
      </c>
      <c r="AE18" s="220">
        <f t="shared" si="6"/>
        <v>-13</v>
      </c>
      <c r="AF18" s="221">
        <f t="shared" si="10"/>
        <v>-65</v>
      </c>
      <c r="AG18" s="221"/>
      <c r="AI18" s="457" t="str">
        <f t="shared" si="3"/>
        <v>NC</v>
      </c>
      <c r="AJ18" s="222" t="str">
        <f t="shared" si="4"/>
        <v>AFUDC Amortization</v>
      </c>
      <c r="AK18" s="222"/>
      <c r="AL18" s="448"/>
      <c r="AM18" s="221">
        <f t="shared" si="5"/>
        <v>-78</v>
      </c>
      <c r="AN18" s="274">
        <v>-78</v>
      </c>
      <c r="AO18" s="274">
        <v>0</v>
      </c>
      <c r="AP18" s="221">
        <f t="shared" si="11"/>
        <v>0</v>
      </c>
      <c r="AQ18" s="221">
        <f t="shared" si="12"/>
        <v>-78</v>
      </c>
      <c r="AS18" s="274">
        <v>0</v>
      </c>
      <c r="AT18" s="274">
        <v>0</v>
      </c>
      <c r="AU18" s="274">
        <v>-5</v>
      </c>
      <c r="AV18" s="221">
        <f t="shared" si="13"/>
        <v>0</v>
      </c>
      <c r="AW18" s="221">
        <f t="shared" si="14"/>
        <v>5</v>
      </c>
      <c r="BI18" s="210"/>
      <c r="BJ18" s="210"/>
    </row>
    <row r="19" spans="1:62" ht="12" customHeight="1" x14ac:dyDescent="0.2">
      <c r="A19" s="218" t="s">
        <v>886</v>
      </c>
      <c r="B19" s="442" t="s">
        <v>901</v>
      </c>
      <c r="C19" s="219"/>
      <c r="D19" s="224" t="s">
        <v>888</v>
      </c>
      <c r="E19" s="218" t="s">
        <v>902</v>
      </c>
      <c r="F19" s="220">
        <v>0</v>
      </c>
      <c r="G19" s="220">
        <v>0</v>
      </c>
      <c r="H19" s="221">
        <f t="shared" si="7"/>
        <v>0</v>
      </c>
      <c r="I19" s="220">
        <v>0</v>
      </c>
      <c r="J19" s="221">
        <f t="shared" si="8"/>
        <v>0</v>
      </c>
      <c r="M19" s="448" t="str">
        <f t="shared" si="1"/>
        <v>NC</v>
      </c>
      <c r="N19" s="222" t="str">
        <f t="shared" si="2"/>
        <v>IMP Amortization</v>
      </c>
      <c r="O19" s="222"/>
      <c r="P19" s="448" t="str">
        <f>D19</f>
        <v>L</v>
      </c>
      <c r="Q19" s="482" t="str">
        <f t="shared" si="0"/>
        <v>115020</v>
      </c>
      <c r="R19" s="221">
        <f t="shared" ref="R19:AC19" si="16">R153</f>
        <v>-349</v>
      </c>
      <c r="S19" s="221">
        <f t="shared" si="16"/>
        <v>-350</v>
      </c>
      <c r="T19" s="221">
        <f t="shared" si="16"/>
        <v>-349</v>
      </c>
      <c r="U19" s="221">
        <f t="shared" si="16"/>
        <v>-350</v>
      </c>
      <c r="V19" s="221">
        <f t="shared" si="16"/>
        <v>-349</v>
      </c>
      <c r="W19" s="221">
        <f t="shared" si="16"/>
        <v>-350</v>
      </c>
      <c r="X19" s="221">
        <f t="shared" si="16"/>
        <v>-349</v>
      </c>
      <c r="Y19" s="221">
        <f t="shared" si="16"/>
        <v>-350</v>
      </c>
      <c r="Z19" s="221">
        <f t="shared" si="16"/>
        <v>-349</v>
      </c>
      <c r="AA19" s="221">
        <f t="shared" si="16"/>
        <v>-350</v>
      </c>
      <c r="AB19" s="221">
        <f t="shared" si="16"/>
        <v>-351</v>
      </c>
      <c r="AC19" s="221">
        <f t="shared" si="16"/>
        <v>-351</v>
      </c>
      <c r="AD19" s="221">
        <f t="shared" si="9"/>
        <v>-4197</v>
      </c>
      <c r="AE19" s="220">
        <f t="shared" si="6"/>
        <v>-699</v>
      </c>
      <c r="AF19" s="221">
        <f t="shared" si="10"/>
        <v>-3498</v>
      </c>
      <c r="AI19" s="457" t="str">
        <f t="shared" si="3"/>
        <v>NC</v>
      </c>
      <c r="AJ19" s="222" t="str">
        <f t="shared" si="4"/>
        <v>IMP Amortization</v>
      </c>
      <c r="AK19" s="222"/>
      <c r="AL19" s="448"/>
      <c r="AM19" s="221">
        <f t="shared" si="5"/>
        <v>-4197</v>
      </c>
      <c r="AN19" s="274">
        <v>736</v>
      </c>
      <c r="AO19" s="274">
        <v>0</v>
      </c>
      <c r="AP19" s="221">
        <f t="shared" si="11"/>
        <v>-4933</v>
      </c>
      <c r="AQ19" s="221">
        <f t="shared" si="12"/>
        <v>-4197</v>
      </c>
      <c r="AR19" s="221"/>
      <c r="AS19" s="274">
        <v>0</v>
      </c>
      <c r="AT19" s="274">
        <v>0</v>
      </c>
      <c r="AU19" s="274">
        <v>393</v>
      </c>
      <c r="AV19" s="221">
        <f t="shared" si="13"/>
        <v>0</v>
      </c>
      <c r="AW19" s="221">
        <f t="shared" si="14"/>
        <v>-393</v>
      </c>
      <c r="BI19" s="210"/>
      <c r="BJ19" s="210"/>
    </row>
    <row r="20" spans="1:62" ht="12" customHeight="1" x14ac:dyDescent="0.2">
      <c r="A20" s="218" t="s">
        <v>886</v>
      </c>
      <c r="B20" s="441" t="s">
        <v>903</v>
      </c>
      <c r="C20" s="219"/>
      <c r="D20" s="206"/>
      <c r="E20" s="218" t="s">
        <v>904</v>
      </c>
      <c r="F20" s="220">
        <v>0</v>
      </c>
      <c r="G20" s="220">
        <v>0</v>
      </c>
      <c r="H20" s="221">
        <f t="shared" ref="H20:H49" si="17">F20-G20</f>
        <v>0</v>
      </c>
      <c r="I20" s="220">
        <v>0</v>
      </c>
      <c r="J20" s="221">
        <f t="shared" ref="J20:J49" si="18">H20-I20</f>
        <v>0</v>
      </c>
      <c r="M20" s="448" t="str">
        <f t="shared" si="1"/>
        <v>NC</v>
      </c>
      <c r="N20" s="222" t="str">
        <f t="shared" si="2"/>
        <v>Customer Prepayments (Mobil Issue)</v>
      </c>
      <c r="O20" s="222"/>
      <c r="P20" s="448"/>
      <c r="Q20" s="482" t="str">
        <f t="shared" si="0"/>
        <v>142013</v>
      </c>
      <c r="R20" s="220">
        <v>0</v>
      </c>
      <c r="S20" s="220">
        <v>0</v>
      </c>
      <c r="T20" s="220">
        <v>0</v>
      </c>
      <c r="U20" s="220">
        <v>0</v>
      </c>
      <c r="V20" s="220">
        <v>0</v>
      </c>
      <c r="W20" s="220">
        <v>0</v>
      </c>
      <c r="X20" s="220">
        <v>0</v>
      </c>
      <c r="Y20" s="220">
        <v>0</v>
      </c>
      <c r="Z20" s="220">
        <v>0</v>
      </c>
      <c r="AA20" s="220">
        <v>0</v>
      </c>
      <c r="AB20" s="220">
        <v>0</v>
      </c>
      <c r="AC20" s="220">
        <v>0</v>
      </c>
      <c r="AD20" s="221">
        <f t="shared" ref="AD20:AD49" si="19">SUM(R20:AC20)</f>
        <v>0</v>
      </c>
      <c r="AE20" s="220">
        <f t="shared" si="6"/>
        <v>0</v>
      </c>
      <c r="AF20" s="221">
        <f t="shared" ref="AF20:AF49" si="20">AD20-AE20</f>
        <v>0</v>
      </c>
      <c r="AI20" s="457" t="str">
        <f t="shared" si="3"/>
        <v>NC</v>
      </c>
      <c r="AJ20" s="222" t="str">
        <f t="shared" si="4"/>
        <v>Customer Prepayments (Mobil Issue)</v>
      </c>
      <c r="AK20" s="222"/>
      <c r="AL20" s="448"/>
      <c r="AM20" s="221">
        <f t="shared" si="5"/>
        <v>0</v>
      </c>
      <c r="AN20" s="274">
        <v>0</v>
      </c>
      <c r="AO20" s="274">
        <v>0</v>
      </c>
      <c r="AP20" s="221">
        <f t="shared" ref="AP20:AP49" si="21">AM20-AN20</f>
        <v>0</v>
      </c>
      <c r="AQ20" s="221">
        <f t="shared" ref="AQ20:AQ49" si="22">AM20-AO20</f>
        <v>0</v>
      </c>
      <c r="AS20" s="274">
        <v>0</v>
      </c>
      <c r="AT20" s="274">
        <v>0</v>
      </c>
      <c r="AU20" s="274">
        <v>-125</v>
      </c>
      <c r="AV20" s="221">
        <f t="shared" ref="AV20:AV38" si="23">AS20-AT20</f>
        <v>0</v>
      </c>
      <c r="AW20" s="221">
        <f t="shared" ref="AW20:AW38" si="24">AS20-AU20</f>
        <v>125</v>
      </c>
      <c r="BI20" s="210"/>
      <c r="BJ20" s="210"/>
    </row>
    <row r="21" spans="1:62" ht="12" customHeight="1" x14ac:dyDescent="0.2">
      <c r="A21" s="218" t="s">
        <v>886</v>
      </c>
      <c r="B21" s="441" t="s">
        <v>905</v>
      </c>
      <c r="C21" s="219"/>
      <c r="D21" s="224" t="s">
        <v>888</v>
      </c>
      <c r="E21" s="218">
        <v>143022</v>
      </c>
      <c r="F21" s="220">
        <v>0</v>
      </c>
      <c r="G21" s="220">
        <v>0</v>
      </c>
      <c r="H21" s="221">
        <f t="shared" si="17"/>
        <v>0</v>
      </c>
      <c r="I21" s="220">
        <v>0</v>
      </c>
      <c r="J21" s="221">
        <f t="shared" si="18"/>
        <v>0</v>
      </c>
      <c r="M21" s="448" t="str">
        <f t="shared" si="1"/>
        <v>NC</v>
      </c>
      <c r="N21" s="222" t="str">
        <f t="shared" si="2"/>
        <v>Fuel / UAF Loss Deferral (Pre PRA)</v>
      </c>
      <c r="O21" s="222"/>
      <c r="P21" s="448" t="str">
        <f>D21</f>
        <v>L</v>
      </c>
      <c r="Q21" s="482">
        <f t="shared" si="0"/>
        <v>143022</v>
      </c>
      <c r="R21" s="450">
        <f t="shared" ref="R21:AC21" si="25">R151</f>
        <v>-219</v>
      </c>
      <c r="S21" s="450">
        <f t="shared" si="25"/>
        <v>-219</v>
      </c>
      <c r="T21" s="450">
        <f t="shared" si="25"/>
        <v>-219</v>
      </c>
      <c r="U21" s="450">
        <f t="shared" si="25"/>
        <v>-219</v>
      </c>
      <c r="V21" s="450">
        <f t="shared" si="25"/>
        <v>-219</v>
      </c>
      <c r="W21" s="450">
        <f t="shared" si="25"/>
        <v>-219</v>
      </c>
      <c r="X21" s="450">
        <f t="shared" si="25"/>
        <v>-219</v>
      </c>
      <c r="Y21" s="450">
        <f t="shared" si="25"/>
        <v>-219</v>
      </c>
      <c r="Z21" s="450">
        <f t="shared" si="25"/>
        <v>-219</v>
      </c>
      <c r="AA21" s="450">
        <f t="shared" si="25"/>
        <v>-219</v>
      </c>
      <c r="AB21" s="450">
        <f t="shared" si="25"/>
        <v>-219</v>
      </c>
      <c r="AC21" s="450">
        <f t="shared" si="25"/>
        <v>-219</v>
      </c>
      <c r="AD21" s="221">
        <f t="shared" si="19"/>
        <v>-2628</v>
      </c>
      <c r="AE21" s="220">
        <f t="shared" si="6"/>
        <v>-438</v>
      </c>
      <c r="AF21" s="221">
        <f t="shared" si="20"/>
        <v>-2190</v>
      </c>
      <c r="AI21" s="457" t="str">
        <f t="shared" si="3"/>
        <v>NC</v>
      </c>
      <c r="AJ21" s="222" t="str">
        <f t="shared" si="4"/>
        <v>Fuel / UAF Loss Deferral (Pre PRA)</v>
      </c>
      <c r="AK21" s="222"/>
      <c r="AL21" s="448"/>
      <c r="AM21" s="221">
        <f t="shared" si="5"/>
        <v>-2628</v>
      </c>
      <c r="AN21" s="274">
        <v>-2617</v>
      </c>
      <c r="AO21" s="274">
        <v>0</v>
      </c>
      <c r="AP21" s="221">
        <f t="shared" si="21"/>
        <v>-11</v>
      </c>
      <c r="AQ21" s="221">
        <f t="shared" si="22"/>
        <v>-2628</v>
      </c>
      <c r="AS21" s="274">
        <v>0</v>
      </c>
      <c r="AT21" s="274">
        <v>0</v>
      </c>
      <c r="AU21" s="274">
        <v>0</v>
      </c>
      <c r="AV21" s="221">
        <f t="shared" si="23"/>
        <v>0</v>
      </c>
      <c r="AW21" s="221">
        <f t="shared" si="24"/>
        <v>0</v>
      </c>
      <c r="BI21" s="210"/>
      <c r="BJ21" s="210"/>
    </row>
    <row r="22" spans="1:62" ht="12" customHeight="1" x14ac:dyDescent="0.2">
      <c r="A22" s="218" t="s">
        <v>886</v>
      </c>
      <c r="B22" s="442" t="s">
        <v>908</v>
      </c>
      <c r="C22" s="227"/>
      <c r="E22" s="478" t="s">
        <v>909</v>
      </c>
      <c r="F22" s="220">
        <v>0</v>
      </c>
      <c r="G22" s="220">
        <v>0</v>
      </c>
      <c r="H22" s="221">
        <f t="shared" si="17"/>
        <v>0</v>
      </c>
      <c r="I22" s="220">
        <v>0</v>
      </c>
      <c r="J22" s="221">
        <f t="shared" si="18"/>
        <v>0</v>
      </c>
      <c r="M22" s="448" t="str">
        <f t="shared" si="1"/>
        <v>NC</v>
      </c>
      <c r="N22" s="222" t="str">
        <f t="shared" si="2"/>
        <v>Regulatory Reserve - Litigation   (NOT LINKED PRESENTLY)</v>
      </c>
      <c r="O22" s="222"/>
      <c r="P22" s="448"/>
      <c r="Q22" s="482" t="str">
        <f t="shared" si="0"/>
        <v>143024</v>
      </c>
      <c r="R22" s="220">
        <v>0</v>
      </c>
      <c r="S22" s="220">
        <v>0</v>
      </c>
      <c r="T22" s="220">
        <v>0</v>
      </c>
      <c r="U22" s="220">
        <v>0</v>
      </c>
      <c r="V22" s="220">
        <v>0</v>
      </c>
      <c r="W22" s="220">
        <v>0</v>
      </c>
      <c r="X22" s="220">
        <v>0</v>
      </c>
      <c r="Y22" s="220">
        <v>0</v>
      </c>
      <c r="Z22" s="220">
        <v>0</v>
      </c>
      <c r="AA22" s="220">
        <v>0</v>
      </c>
      <c r="AB22" s="220">
        <v>0</v>
      </c>
      <c r="AC22" s="220">
        <v>0</v>
      </c>
      <c r="AD22" s="221">
        <f t="shared" si="19"/>
        <v>0</v>
      </c>
      <c r="AE22" s="220">
        <f t="shared" si="6"/>
        <v>0</v>
      </c>
      <c r="AF22" s="221">
        <f t="shared" si="20"/>
        <v>0</v>
      </c>
      <c r="AI22" s="457" t="str">
        <f t="shared" si="3"/>
        <v>NC</v>
      </c>
      <c r="AJ22" s="222" t="str">
        <f t="shared" si="4"/>
        <v>Regulatory Reserve - Litigation   (NOT LINKED PRESENTLY)</v>
      </c>
      <c r="AK22" s="222"/>
      <c r="AL22" s="448"/>
      <c r="AM22" s="221">
        <f t="shared" si="5"/>
        <v>0</v>
      </c>
      <c r="AN22" s="274">
        <v>0</v>
      </c>
      <c r="AO22" s="274">
        <v>0</v>
      </c>
      <c r="AP22" s="221">
        <f t="shared" si="21"/>
        <v>0</v>
      </c>
      <c r="AQ22" s="221">
        <f t="shared" si="22"/>
        <v>0</v>
      </c>
      <c r="AS22" s="274">
        <v>0</v>
      </c>
      <c r="AT22" s="274">
        <v>0</v>
      </c>
      <c r="AU22" s="274">
        <v>2500</v>
      </c>
      <c r="AV22" s="221">
        <f t="shared" si="23"/>
        <v>0</v>
      </c>
      <c r="AW22" s="221">
        <f t="shared" si="24"/>
        <v>-2500</v>
      </c>
      <c r="BI22" s="210"/>
      <c r="BJ22" s="210"/>
    </row>
    <row r="23" spans="1:62" ht="12" customHeight="1" x14ac:dyDescent="0.2">
      <c r="A23" s="218" t="s">
        <v>886</v>
      </c>
      <c r="B23" s="263" t="s">
        <v>910</v>
      </c>
      <c r="C23" s="227"/>
      <c r="D23" s="224" t="s">
        <v>888</v>
      </c>
      <c r="E23" s="218">
        <v>143026</v>
      </c>
      <c r="F23" s="220">
        <v>0</v>
      </c>
      <c r="G23" s="220">
        <v>0</v>
      </c>
      <c r="H23" s="221">
        <f>F23-G23</f>
        <v>0</v>
      </c>
      <c r="I23" s="220">
        <v>0</v>
      </c>
      <c r="J23" s="221">
        <f>H23-I23</f>
        <v>0</v>
      </c>
      <c r="M23" s="448" t="str">
        <f t="shared" si="1"/>
        <v>NC</v>
      </c>
      <c r="N23" s="222" t="str">
        <f t="shared" si="2"/>
        <v>Equivalent Unit Risk Deferral / Recovery</v>
      </c>
      <c r="O23" s="222"/>
      <c r="P23" s="448" t="str">
        <f>D23</f>
        <v>L</v>
      </c>
      <c r="Q23" s="482">
        <f t="shared" si="0"/>
        <v>143026</v>
      </c>
      <c r="R23" s="450">
        <f t="shared" ref="R23:AC23" si="26">R152</f>
        <v>0</v>
      </c>
      <c r="S23" s="221">
        <f t="shared" si="26"/>
        <v>0</v>
      </c>
      <c r="T23" s="221">
        <f t="shared" si="26"/>
        <v>0</v>
      </c>
      <c r="U23" s="221">
        <f t="shared" si="26"/>
        <v>0</v>
      </c>
      <c r="V23" s="221">
        <f t="shared" si="26"/>
        <v>0</v>
      </c>
      <c r="W23" s="221">
        <f t="shared" si="26"/>
        <v>0</v>
      </c>
      <c r="X23" s="221">
        <f t="shared" si="26"/>
        <v>0</v>
      </c>
      <c r="Y23" s="221">
        <f t="shared" si="26"/>
        <v>0</v>
      </c>
      <c r="Z23" s="221">
        <f t="shared" si="26"/>
        <v>0</v>
      </c>
      <c r="AA23" s="221">
        <f t="shared" si="26"/>
        <v>0</v>
      </c>
      <c r="AB23" s="221">
        <f t="shared" si="26"/>
        <v>0</v>
      </c>
      <c r="AC23" s="221">
        <f t="shared" si="26"/>
        <v>0</v>
      </c>
      <c r="AD23" s="221">
        <f>SUM(R23:AC23)</f>
        <v>0</v>
      </c>
      <c r="AE23" s="220">
        <f t="shared" si="6"/>
        <v>0</v>
      </c>
      <c r="AF23" s="221">
        <f>AD23-AE23</f>
        <v>0</v>
      </c>
      <c r="AI23" s="457" t="str">
        <f t="shared" si="3"/>
        <v>NC</v>
      </c>
      <c r="AJ23" s="222" t="str">
        <f t="shared" si="4"/>
        <v>Equivalent Unit Risk Deferral / Recovery</v>
      </c>
      <c r="AK23" s="222"/>
      <c r="AL23" s="448"/>
      <c r="AM23" s="221">
        <f t="shared" si="5"/>
        <v>0</v>
      </c>
      <c r="AN23" s="274">
        <v>38909</v>
      </c>
      <c r="AO23" s="274">
        <v>0</v>
      </c>
      <c r="AP23" s="221">
        <f>AM23-AN23</f>
        <v>-38909</v>
      </c>
      <c r="AQ23" s="221">
        <f>AM23-AO23</f>
        <v>0</v>
      </c>
      <c r="AR23" s="221"/>
      <c r="AS23" s="274">
        <v>0</v>
      </c>
      <c r="AT23" s="274">
        <v>0</v>
      </c>
      <c r="AU23" s="274">
        <v>0</v>
      </c>
      <c r="AV23" s="221">
        <f>AS23-AT23</f>
        <v>0</v>
      </c>
      <c r="AW23" s="221">
        <f>AS23-AU23</f>
        <v>0</v>
      </c>
      <c r="BI23" s="210"/>
      <c r="BJ23" s="210"/>
    </row>
    <row r="24" spans="1:62" ht="12" customHeight="1" x14ac:dyDescent="0.2">
      <c r="A24" s="218" t="s">
        <v>886</v>
      </c>
      <c r="B24" s="441" t="s">
        <v>911</v>
      </c>
      <c r="C24" s="219"/>
      <c r="D24" s="206"/>
      <c r="E24" s="218">
        <v>143027</v>
      </c>
      <c r="F24" s="220">
        <v>0</v>
      </c>
      <c r="G24" s="220">
        <v>0</v>
      </c>
      <c r="H24" s="221">
        <f t="shared" si="17"/>
        <v>0</v>
      </c>
      <c r="I24" s="220">
        <v>0</v>
      </c>
      <c r="J24" s="221">
        <f t="shared" si="18"/>
        <v>0</v>
      </c>
      <c r="M24" s="448" t="str">
        <f t="shared" si="1"/>
        <v>NC</v>
      </c>
      <c r="N24" s="222" t="str">
        <f t="shared" si="2"/>
        <v>PRA (Gain) / Loss on Fuel / UAF Deferral</v>
      </c>
      <c r="O24" s="222"/>
      <c r="P24" s="448"/>
      <c r="Q24" s="482">
        <f t="shared" si="0"/>
        <v>143027</v>
      </c>
      <c r="R24" s="641">
        <v>0</v>
      </c>
      <c r="S24" s="641">
        <v>0</v>
      </c>
      <c r="T24" s="641">
        <v>0</v>
      </c>
      <c r="U24" s="641">
        <v>0</v>
      </c>
      <c r="V24" s="641">
        <v>0</v>
      </c>
      <c r="W24" s="641">
        <v>0</v>
      </c>
      <c r="X24" s="641">
        <v>0</v>
      </c>
      <c r="Y24" s="641">
        <v>0</v>
      </c>
      <c r="Z24" s="641">
        <v>0</v>
      </c>
      <c r="AA24" s="641">
        <v>0</v>
      </c>
      <c r="AB24" s="641">
        <v>0</v>
      </c>
      <c r="AC24" s="641">
        <v>0</v>
      </c>
      <c r="AD24" s="221">
        <f t="shared" si="19"/>
        <v>0</v>
      </c>
      <c r="AE24" s="220">
        <f t="shared" si="6"/>
        <v>0</v>
      </c>
      <c r="AF24" s="221">
        <f t="shared" si="20"/>
        <v>0</v>
      </c>
      <c r="AI24" s="457" t="str">
        <f t="shared" si="3"/>
        <v>NC</v>
      </c>
      <c r="AJ24" s="222" t="str">
        <f t="shared" si="4"/>
        <v>PRA (Gain) / Loss on Fuel / UAF Deferral</v>
      </c>
      <c r="AK24" s="222"/>
      <c r="AL24" s="448"/>
      <c r="AM24" s="221">
        <f t="shared" si="5"/>
        <v>0</v>
      </c>
      <c r="AN24" s="274">
        <v>10611</v>
      </c>
      <c r="AO24" s="274">
        <v>0</v>
      </c>
      <c r="AP24" s="221">
        <f t="shared" si="21"/>
        <v>-10611</v>
      </c>
      <c r="AQ24" s="221">
        <f t="shared" si="22"/>
        <v>0</v>
      </c>
      <c r="AS24" s="274">
        <v>0</v>
      </c>
      <c r="AT24" s="274">
        <v>0</v>
      </c>
      <c r="AU24" s="274">
        <v>1000</v>
      </c>
      <c r="AV24" s="221">
        <f t="shared" si="23"/>
        <v>0</v>
      </c>
      <c r="AW24" s="221">
        <f t="shared" si="24"/>
        <v>-1000</v>
      </c>
      <c r="BI24" s="210"/>
      <c r="BJ24" s="210"/>
    </row>
    <row r="25" spans="1:62" ht="12" customHeight="1" x14ac:dyDescent="0.2">
      <c r="A25" s="218" t="s">
        <v>886</v>
      </c>
      <c r="B25" s="441" t="s">
        <v>912</v>
      </c>
      <c r="C25" s="219"/>
      <c r="D25" s="224" t="s">
        <v>888</v>
      </c>
      <c r="E25" s="218" t="s">
        <v>913</v>
      </c>
      <c r="F25" s="220">
        <v>0</v>
      </c>
      <c r="G25" s="220">
        <v>0</v>
      </c>
      <c r="H25" s="221">
        <f t="shared" si="17"/>
        <v>0</v>
      </c>
      <c r="I25" s="220">
        <v>0</v>
      </c>
      <c r="J25" s="221">
        <f t="shared" si="18"/>
        <v>0</v>
      </c>
      <c r="M25" s="448" t="str">
        <f t="shared" si="1"/>
        <v>NC</v>
      </c>
      <c r="N25" s="222" t="str">
        <f t="shared" si="2"/>
        <v>FERC Order Billing (ACA - Amortization)</v>
      </c>
      <c r="O25" s="222"/>
      <c r="P25" s="448" t="str">
        <f>D25</f>
        <v>L</v>
      </c>
      <c r="Q25" s="482" t="str">
        <f t="shared" si="0"/>
        <v>144002</v>
      </c>
      <c r="R25" s="221">
        <f t="shared" ref="R25:AC25" si="27">R145</f>
        <v>-228</v>
      </c>
      <c r="S25" s="221">
        <f t="shared" si="27"/>
        <v>-228</v>
      </c>
      <c r="T25" s="221">
        <f t="shared" si="27"/>
        <v>-228</v>
      </c>
      <c r="U25" s="221">
        <f t="shared" si="27"/>
        <v>-228</v>
      </c>
      <c r="V25" s="221">
        <f t="shared" si="27"/>
        <v>-228</v>
      </c>
      <c r="W25" s="221">
        <f t="shared" si="27"/>
        <v>-228</v>
      </c>
      <c r="X25" s="221">
        <f t="shared" si="27"/>
        <v>-228</v>
      </c>
      <c r="Y25" s="221">
        <f t="shared" si="27"/>
        <v>-228</v>
      </c>
      <c r="Z25" s="221">
        <f t="shared" si="27"/>
        <v>-229</v>
      </c>
      <c r="AA25" s="221">
        <f t="shared" si="27"/>
        <v>-240</v>
      </c>
      <c r="AB25" s="221">
        <f t="shared" si="27"/>
        <v>-240</v>
      </c>
      <c r="AC25" s="221">
        <f t="shared" si="27"/>
        <v>-240</v>
      </c>
      <c r="AD25" s="221">
        <f t="shared" si="19"/>
        <v>-2773</v>
      </c>
      <c r="AE25" s="220">
        <f t="shared" si="6"/>
        <v>-456</v>
      </c>
      <c r="AF25" s="221">
        <f t="shared" si="20"/>
        <v>-2317</v>
      </c>
      <c r="AH25" s="223"/>
      <c r="AI25" s="457" t="str">
        <f t="shared" si="3"/>
        <v>NC</v>
      </c>
      <c r="AJ25" s="222" t="str">
        <f t="shared" si="4"/>
        <v>FERC Order Billing (ACA - Amortization)</v>
      </c>
      <c r="AK25" s="222"/>
      <c r="AL25" s="448"/>
      <c r="AM25" s="221">
        <f t="shared" si="5"/>
        <v>-2773</v>
      </c>
      <c r="AN25" s="274">
        <v>-2870</v>
      </c>
      <c r="AO25" s="274">
        <v>0</v>
      </c>
      <c r="AP25" s="221">
        <f t="shared" si="21"/>
        <v>97</v>
      </c>
      <c r="AQ25" s="221">
        <f t="shared" si="22"/>
        <v>-2773</v>
      </c>
      <c r="AR25" s="221"/>
      <c r="AS25" s="274">
        <v>0</v>
      </c>
      <c r="AT25" s="274">
        <v>0</v>
      </c>
      <c r="AU25" s="274">
        <v>-312</v>
      </c>
      <c r="AV25" s="221">
        <f t="shared" si="23"/>
        <v>0</v>
      </c>
      <c r="AW25" s="221">
        <f t="shared" si="24"/>
        <v>312</v>
      </c>
      <c r="BI25" s="210"/>
      <c r="BJ25" s="210"/>
    </row>
    <row r="26" spans="1:62" ht="12" customHeight="1" x14ac:dyDescent="0.2">
      <c r="A26" s="218" t="s">
        <v>886</v>
      </c>
      <c r="B26" s="441" t="s">
        <v>914</v>
      </c>
      <c r="C26" s="219"/>
      <c r="D26" s="206"/>
      <c r="E26" s="478" t="s">
        <v>915</v>
      </c>
      <c r="F26" s="220">
        <v>0</v>
      </c>
      <c r="G26" s="220">
        <v>0</v>
      </c>
      <c r="H26" s="221">
        <f t="shared" si="17"/>
        <v>0</v>
      </c>
      <c r="I26" s="220">
        <v>0</v>
      </c>
      <c r="J26" s="221">
        <f t="shared" si="18"/>
        <v>0</v>
      </c>
      <c r="M26" s="448" t="str">
        <f t="shared" si="1"/>
        <v>NC</v>
      </c>
      <c r="N26" s="222" t="str">
        <f t="shared" si="2"/>
        <v xml:space="preserve">   ACA Payment</v>
      </c>
      <c r="O26" s="222"/>
      <c r="P26" s="448"/>
      <c r="Q26" s="482" t="str">
        <f t="shared" si="0"/>
        <v>"</v>
      </c>
      <c r="R26" s="220">
        <v>0</v>
      </c>
      <c r="S26" s="220">
        <v>0</v>
      </c>
      <c r="T26" s="220">
        <v>0</v>
      </c>
      <c r="U26" s="220">
        <v>0</v>
      </c>
      <c r="V26" s="220">
        <v>0</v>
      </c>
      <c r="W26" s="220">
        <v>0</v>
      </c>
      <c r="X26" s="220">
        <v>0</v>
      </c>
      <c r="Y26" s="220">
        <v>0</v>
      </c>
      <c r="Z26" s="220">
        <v>2880</v>
      </c>
      <c r="AA26" s="220">
        <v>0</v>
      </c>
      <c r="AB26" s="220">
        <v>0</v>
      </c>
      <c r="AC26" s="220">
        <v>0</v>
      </c>
      <c r="AD26" s="221">
        <f t="shared" si="19"/>
        <v>2880</v>
      </c>
      <c r="AE26" s="220">
        <f t="shared" si="6"/>
        <v>0</v>
      </c>
      <c r="AF26" s="221">
        <f t="shared" si="20"/>
        <v>2880</v>
      </c>
      <c r="AI26" s="457" t="str">
        <f t="shared" si="3"/>
        <v>NC</v>
      </c>
      <c r="AJ26" s="222" t="str">
        <f t="shared" si="4"/>
        <v xml:space="preserve">   ACA Payment</v>
      </c>
      <c r="AK26" s="222"/>
      <c r="AL26" s="448"/>
      <c r="AM26" s="221">
        <f t="shared" si="5"/>
        <v>2880</v>
      </c>
      <c r="AN26" s="274">
        <v>2737</v>
      </c>
      <c r="AO26" s="274">
        <v>0</v>
      </c>
      <c r="AP26" s="221">
        <f t="shared" si="21"/>
        <v>143</v>
      </c>
      <c r="AQ26" s="221">
        <f t="shared" si="22"/>
        <v>2880</v>
      </c>
      <c r="AR26" s="221"/>
      <c r="AS26" s="274">
        <v>0</v>
      </c>
      <c r="AT26" s="274">
        <v>0</v>
      </c>
      <c r="AU26" s="274">
        <v>0</v>
      </c>
      <c r="AV26" s="221">
        <f t="shared" si="23"/>
        <v>0</v>
      </c>
      <c r="AW26" s="221">
        <f t="shared" si="24"/>
        <v>0</v>
      </c>
      <c r="BI26" s="210"/>
      <c r="BJ26" s="210"/>
    </row>
    <row r="27" spans="1:62" ht="12" customHeight="1" x14ac:dyDescent="0.2">
      <c r="A27" s="218" t="s">
        <v>886</v>
      </c>
      <c r="B27" s="441" t="s">
        <v>916</v>
      </c>
      <c r="C27" s="219"/>
      <c r="D27" s="206"/>
      <c r="E27" s="218" t="s">
        <v>917</v>
      </c>
      <c r="F27" s="220">
        <v>0</v>
      </c>
      <c r="G27" s="220">
        <v>0</v>
      </c>
      <c r="H27" s="221">
        <f t="shared" si="17"/>
        <v>0</v>
      </c>
      <c r="I27" s="220">
        <v>0</v>
      </c>
      <c r="J27" s="221">
        <f t="shared" si="18"/>
        <v>0</v>
      </c>
      <c r="M27" s="448" t="str">
        <f t="shared" si="1"/>
        <v>NC</v>
      </c>
      <c r="N27" s="222" t="str">
        <f t="shared" si="2"/>
        <v xml:space="preserve">Deferred Regulatory Expenditures </v>
      </c>
      <c r="O27" s="222"/>
      <c r="P27" s="448"/>
      <c r="Q27" s="482" t="str">
        <f t="shared" si="0"/>
        <v>144007</v>
      </c>
      <c r="R27" s="220">
        <v>0</v>
      </c>
      <c r="S27" s="220">
        <v>0</v>
      </c>
      <c r="T27" s="220">
        <v>0</v>
      </c>
      <c r="U27" s="220">
        <v>0</v>
      </c>
      <c r="V27" s="220">
        <v>0</v>
      </c>
      <c r="W27" s="220">
        <v>0</v>
      </c>
      <c r="X27" s="220">
        <v>0</v>
      </c>
      <c r="Y27" s="220">
        <v>0</v>
      </c>
      <c r="Z27" s="220">
        <v>0</v>
      </c>
      <c r="AA27" s="220">
        <v>0</v>
      </c>
      <c r="AB27" s="220">
        <v>0</v>
      </c>
      <c r="AC27" s="220">
        <v>0</v>
      </c>
      <c r="AD27" s="221">
        <f t="shared" si="19"/>
        <v>0</v>
      </c>
      <c r="AE27" s="220">
        <f t="shared" si="6"/>
        <v>0</v>
      </c>
      <c r="AF27" s="221">
        <f t="shared" si="20"/>
        <v>0</v>
      </c>
      <c r="AI27" s="457" t="str">
        <f t="shared" si="3"/>
        <v>NC</v>
      </c>
      <c r="AJ27" s="222" t="str">
        <f t="shared" si="4"/>
        <v xml:space="preserve">Deferred Regulatory Expenditures </v>
      </c>
      <c r="AK27" s="222"/>
      <c r="AL27" s="448"/>
      <c r="AM27" s="221">
        <f t="shared" si="5"/>
        <v>0</v>
      </c>
      <c r="AN27" s="274">
        <v>0</v>
      </c>
      <c r="AO27" s="274">
        <v>0</v>
      </c>
      <c r="AP27" s="221">
        <f t="shared" si="21"/>
        <v>0</v>
      </c>
      <c r="AQ27" s="221">
        <f t="shared" si="22"/>
        <v>0</v>
      </c>
      <c r="AR27" s="221"/>
      <c r="AS27" s="274">
        <v>0</v>
      </c>
      <c r="AT27" s="274">
        <v>0</v>
      </c>
      <c r="AU27" s="274">
        <v>0</v>
      </c>
      <c r="AV27" s="221">
        <f t="shared" si="23"/>
        <v>0</v>
      </c>
      <c r="AW27" s="221">
        <f t="shared" si="24"/>
        <v>0</v>
      </c>
      <c r="BI27" s="210"/>
      <c r="BJ27" s="210"/>
    </row>
    <row r="28" spans="1:62" ht="12" customHeight="1" x14ac:dyDescent="0.2">
      <c r="A28" s="218" t="s">
        <v>886</v>
      </c>
      <c r="B28" s="441" t="s">
        <v>918</v>
      </c>
      <c r="C28" s="219"/>
      <c r="D28" s="224" t="s">
        <v>888</v>
      </c>
      <c r="E28" s="478" t="s">
        <v>792</v>
      </c>
      <c r="F28" s="220">
        <v>0</v>
      </c>
      <c r="G28" s="220">
        <v>0</v>
      </c>
      <c r="H28" s="221">
        <f t="shared" si="17"/>
        <v>0</v>
      </c>
      <c r="I28" s="220">
        <v>0</v>
      </c>
      <c r="J28" s="221">
        <f t="shared" si="18"/>
        <v>0</v>
      </c>
      <c r="M28" s="448" t="str">
        <f t="shared" si="1"/>
        <v>NC</v>
      </c>
      <c r="N28" s="222" t="str">
        <f t="shared" si="2"/>
        <v>Transport Rate Case Reserve</v>
      </c>
      <c r="O28" s="222"/>
      <c r="P28" s="448" t="str">
        <f>D28</f>
        <v>L</v>
      </c>
      <c r="Q28" s="482" t="str">
        <f t="shared" si="0"/>
        <v>144004</v>
      </c>
      <c r="R28" s="450">
        <f t="shared" ref="R28:AC28" si="28">R134</f>
        <v>0</v>
      </c>
      <c r="S28" s="450">
        <f t="shared" si="28"/>
        <v>0</v>
      </c>
      <c r="T28" s="450">
        <f t="shared" si="28"/>
        <v>0</v>
      </c>
      <c r="U28" s="450">
        <f t="shared" si="28"/>
        <v>0</v>
      </c>
      <c r="V28" s="450">
        <f t="shared" si="28"/>
        <v>0</v>
      </c>
      <c r="W28" s="450">
        <f t="shared" si="28"/>
        <v>0</v>
      </c>
      <c r="X28" s="450">
        <f t="shared" si="28"/>
        <v>0</v>
      </c>
      <c r="Y28" s="450">
        <f t="shared" si="28"/>
        <v>0</v>
      </c>
      <c r="Z28" s="450">
        <f t="shared" si="28"/>
        <v>0</v>
      </c>
      <c r="AA28" s="450">
        <f t="shared" si="28"/>
        <v>0</v>
      </c>
      <c r="AB28" s="450">
        <f t="shared" si="28"/>
        <v>0</v>
      </c>
      <c r="AC28" s="450">
        <f t="shared" si="28"/>
        <v>0</v>
      </c>
      <c r="AD28" s="221">
        <f t="shared" si="19"/>
        <v>0</v>
      </c>
      <c r="AE28" s="220">
        <f t="shared" si="6"/>
        <v>0</v>
      </c>
      <c r="AF28" s="221">
        <f t="shared" si="20"/>
        <v>0</v>
      </c>
      <c r="AI28" s="457" t="str">
        <f t="shared" si="3"/>
        <v>NC</v>
      </c>
      <c r="AJ28" s="222" t="str">
        <f t="shared" si="4"/>
        <v>Transport Rate Case Reserve</v>
      </c>
      <c r="AK28" s="222"/>
      <c r="AL28" s="448"/>
      <c r="AM28" s="221">
        <f t="shared" si="5"/>
        <v>0</v>
      </c>
      <c r="AN28" s="274">
        <v>0</v>
      </c>
      <c r="AO28" s="274">
        <v>0</v>
      </c>
      <c r="AP28" s="221">
        <f t="shared" si="21"/>
        <v>0</v>
      </c>
      <c r="AQ28" s="221">
        <f t="shared" si="22"/>
        <v>0</v>
      </c>
      <c r="AR28" s="221"/>
      <c r="AS28" s="274">
        <v>0</v>
      </c>
      <c r="AT28" s="274">
        <v>0</v>
      </c>
      <c r="AU28" s="274">
        <v>0</v>
      </c>
      <c r="AV28" s="221">
        <f t="shared" si="23"/>
        <v>0</v>
      </c>
      <c r="AW28" s="221">
        <f t="shared" si="24"/>
        <v>0</v>
      </c>
      <c r="BI28" s="210"/>
      <c r="BJ28" s="210"/>
    </row>
    <row r="29" spans="1:62" ht="12" customHeight="1" x14ac:dyDescent="0.2">
      <c r="A29" s="218" t="s">
        <v>886</v>
      </c>
      <c r="B29" s="441" t="s">
        <v>919</v>
      </c>
      <c r="C29" s="219"/>
      <c r="D29" s="224" t="s">
        <v>888</v>
      </c>
      <c r="E29" s="218" t="s">
        <v>920</v>
      </c>
      <c r="F29" s="220">
        <v>0</v>
      </c>
      <c r="G29" s="220">
        <v>0</v>
      </c>
      <c r="H29" s="221">
        <f t="shared" si="17"/>
        <v>0</v>
      </c>
      <c r="I29" s="220">
        <v>0</v>
      </c>
      <c r="J29" s="221">
        <f t="shared" si="18"/>
        <v>0</v>
      </c>
      <c r="M29" s="448" t="str">
        <f t="shared" si="1"/>
        <v>NC</v>
      </c>
      <c r="N29" s="222" t="str">
        <f t="shared" si="2"/>
        <v>Other Regulatory Reserve Issues</v>
      </c>
      <c r="O29" s="222"/>
      <c r="P29" s="448" t="str">
        <f>D29</f>
        <v>L</v>
      </c>
      <c r="Q29" s="482" t="str">
        <f t="shared" si="0"/>
        <v>144009</v>
      </c>
      <c r="R29" s="221">
        <f t="shared" ref="R29:AC29" si="29">R141</f>
        <v>121</v>
      </c>
      <c r="S29" s="221">
        <f t="shared" si="29"/>
        <v>182</v>
      </c>
      <c r="T29" s="221">
        <f t="shared" si="29"/>
        <v>152</v>
      </c>
      <c r="U29" s="221">
        <f t="shared" si="29"/>
        <v>111</v>
      </c>
      <c r="V29" s="221">
        <f t="shared" si="29"/>
        <v>220</v>
      </c>
      <c r="W29" s="221">
        <f t="shared" si="29"/>
        <v>129</v>
      </c>
      <c r="X29" s="221">
        <f t="shared" si="29"/>
        <v>175</v>
      </c>
      <c r="Y29" s="221">
        <f t="shared" si="29"/>
        <v>176</v>
      </c>
      <c r="Z29" s="221">
        <f t="shared" si="29"/>
        <v>209</v>
      </c>
      <c r="AA29" s="221">
        <f t="shared" si="29"/>
        <v>151</v>
      </c>
      <c r="AB29" s="221">
        <f t="shared" si="29"/>
        <v>244</v>
      </c>
      <c r="AC29" s="221">
        <f t="shared" si="29"/>
        <v>138</v>
      </c>
      <c r="AD29" s="221">
        <f t="shared" si="19"/>
        <v>2008</v>
      </c>
      <c r="AE29" s="220">
        <f t="shared" si="6"/>
        <v>303</v>
      </c>
      <c r="AF29" s="221">
        <f t="shared" si="20"/>
        <v>1705</v>
      </c>
      <c r="AI29" s="457" t="str">
        <f t="shared" si="3"/>
        <v>NC</v>
      </c>
      <c r="AJ29" s="222" t="str">
        <f t="shared" si="4"/>
        <v>Other Regulatory Reserve Issues</v>
      </c>
      <c r="AK29" s="222"/>
      <c r="AL29" s="448"/>
      <c r="AM29" s="221">
        <f t="shared" si="5"/>
        <v>2008</v>
      </c>
      <c r="AN29" s="274">
        <v>-271</v>
      </c>
      <c r="AO29" s="274">
        <v>0</v>
      </c>
      <c r="AP29" s="221">
        <f t="shared" si="21"/>
        <v>2279</v>
      </c>
      <c r="AQ29" s="221">
        <f t="shared" si="22"/>
        <v>2008</v>
      </c>
      <c r="AR29" s="221"/>
      <c r="AS29" s="274">
        <v>0</v>
      </c>
      <c r="AT29" s="274">
        <v>0</v>
      </c>
      <c r="AU29" s="274">
        <v>1143</v>
      </c>
      <c r="AV29" s="221">
        <f t="shared" si="23"/>
        <v>0</v>
      </c>
      <c r="AW29" s="221">
        <f t="shared" si="24"/>
        <v>-1143</v>
      </c>
      <c r="BI29" s="210"/>
      <c r="BJ29" s="210"/>
    </row>
    <row r="30" spans="1:62" ht="12" customHeight="1" x14ac:dyDescent="0.2">
      <c r="A30" s="218" t="s">
        <v>886</v>
      </c>
      <c r="B30" s="441" t="s">
        <v>921</v>
      </c>
      <c r="C30" s="219"/>
      <c r="D30" s="224" t="s">
        <v>888</v>
      </c>
      <c r="E30" s="478" t="s">
        <v>1116</v>
      </c>
      <c r="F30" s="220">
        <v>0</v>
      </c>
      <c r="G30" s="220">
        <v>0</v>
      </c>
      <c r="H30" s="221">
        <f t="shared" si="17"/>
        <v>0</v>
      </c>
      <c r="I30" s="220">
        <v>0</v>
      </c>
      <c r="J30" s="221">
        <f t="shared" si="18"/>
        <v>0</v>
      </c>
      <c r="M30" s="448" t="str">
        <f t="shared" si="1"/>
        <v>NC</v>
      </c>
      <c r="N30" s="222" t="str">
        <f t="shared" si="2"/>
        <v>South Georgia Adjustment (Net)</v>
      </c>
      <c r="O30" s="222"/>
      <c r="P30" s="448" t="str">
        <f>D30</f>
        <v>L</v>
      </c>
      <c r="Q30" s="482" t="str">
        <f t="shared" si="0"/>
        <v>144012</v>
      </c>
      <c r="R30" s="221">
        <f t="shared" ref="R30:AC30" si="30">R155</f>
        <v>-2</v>
      </c>
      <c r="S30" s="221">
        <f t="shared" si="30"/>
        <v>-3</v>
      </c>
      <c r="T30" s="221">
        <f t="shared" si="30"/>
        <v>-2</v>
      </c>
      <c r="U30" s="221">
        <f>U155</f>
        <v>-3</v>
      </c>
      <c r="V30" s="221">
        <f t="shared" si="30"/>
        <v>-2</v>
      </c>
      <c r="W30" s="221">
        <f>W155</f>
        <v>-3</v>
      </c>
      <c r="X30" s="221">
        <f t="shared" si="30"/>
        <v>-2</v>
      </c>
      <c r="Y30" s="221">
        <f t="shared" si="30"/>
        <v>-3</v>
      </c>
      <c r="Z30" s="221">
        <f t="shared" si="30"/>
        <v>-3</v>
      </c>
      <c r="AA30" s="221">
        <f t="shared" si="30"/>
        <v>-3</v>
      </c>
      <c r="AB30" s="221">
        <f t="shared" si="30"/>
        <v>-2</v>
      </c>
      <c r="AC30" s="221">
        <f t="shared" si="30"/>
        <v>-3</v>
      </c>
      <c r="AD30" s="221">
        <f t="shared" si="19"/>
        <v>-31</v>
      </c>
      <c r="AE30" s="220">
        <f t="shared" si="6"/>
        <v>-5</v>
      </c>
      <c r="AF30" s="221">
        <f t="shared" si="20"/>
        <v>-26</v>
      </c>
      <c r="AI30" s="457" t="str">
        <f t="shared" si="3"/>
        <v>NC</v>
      </c>
      <c r="AJ30" s="222" t="str">
        <f t="shared" si="4"/>
        <v>South Georgia Adjustment (Net)</v>
      </c>
      <c r="AK30" s="222"/>
      <c r="AL30" s="448"/>
      <c r="AM30" s="221">
        <f t="shared" si="5"/>
        <v>-31</v>
      </c>
      <c r="AN30" s="274">
        <v>-32</v>
      </c>
      <c r="AO30" s="274">
        <v>0</v>
      </c>
      <c r="AP30" s="221">
        <f t="shared" si="21"/>
        <v>1</v>
      </c>
      <c r="AQ30" s="221">
        <f t="shared" si="22"/>
        <v>-31</v>
      </c>
      <c r="AR30" s="221"/>
      <c r="AS30" s="274">
        <v>0</v>
      </c>
      <c r="AT30" s="274">
        <v>0</v>
      </c>
      <c r="AU30" s="274">
        <v>365</v>
      </c>
      <c r="AV30" s="221">
        <f t="shared" si="23"/>
        <v>0</v>
      </c>
      <c r="AW30" s="221">
        <f t="shared" si="24"/>
        <v>-365</v>
      </c>
      <c r="BI30" s="210"/>
      <c r="BJ30" s="210"/>
    </row>
    <row r="31" spans="1:62" ht="12" customHeight="1" x14ac:dyDescent="0.2">
      <c r="A31" s="218" t="s">
        <v>886</v>
      </c>
      <c r="B31" s="441" t="s">
        <v>922</v>
      </c>
      <c r="C31" s="219"/>
      <c r="D31" s="224" t="s">
        <v>888</v>
      </c>
      <c r="E31" s="218" t="s">
        <v>924</v>
      </c>
      <c r="F31" s="220">
        <v>0</v>
      </c>
      <c r="G31" s="220">
        <v>0</v>
      </c>
      <c r="H31" s="221">
        <f t="shared" si="17"/>
        <v>0</v>
      </c>
      <c r="I31" s="220">
        <v>0</v>
      </c>
      <c r="J31" s="221">
        <f t="shared" si="18"/>
        <v>0</v>
      </c>
      <c r="M31" s="448" t="str">
        <f t="shared" si="1"/>
        <v>NC</v>
      </c>
      <c r="N31" s="222" t="str">
        <f t="shared" si="2"/>
        <v>Reverse Auction 1 - Billings / Carrying Charges</v>
      </c>
      <c r="O31" s="222"/>
      <c r="P31" s="448" t="str">
        <f>D31</f>
        <v>L</v>
      </c>
      <c r="Q31" s="482" t="str">
        <f t="shared" si="0"/>
        <v>144026</v>
      </c>
      <c r="R31" s="221">
        <f t="shared" ref="R31:AC31" si="31">R91</f>
        <v>0</v>
      </c>
      <c r="S31" s="221">
        <f t="shared" si="31"/>
        <v>0</v>
      </c>
      <c r="T31" s="221">
        <f t="shared" si="31"/>
        <v>0</v>
      </c>
      <c r="U31" s="221">
        <f t="shared" si="31"/>
        <v>0</v>
      </c>
      <c r="V31" s="221">
        <f t="shared" si="31"/>
        <v>0</v>
      </c>
      <c r="W31" s="221">
        <f t="shared" si="31"/>
        <v>0</v>
      </c>
      <c r="X31" s="221">
        <f t="shared" si="31"/>
        <v>0</v>
      </c>
      <c r="Y31" s="221">
        <f t="shared" si="31"/>
        <v>0</v>
      </c>
      <c r="Z31" s="221">
        <f t="shared" si="31"/>
        <v>0</v>
      </c>
      <c r="AA31" s="221">
        <f t="shared" si="31"/>
        <v>0</v>
      </c>
      <c r="AB31" s="221">
        <f t="shared" si="31"/>
        <v>0</v>
      </c>
      <c r="AC31" s="221">
        <f t="shared" si="31"/>
        <v>0</v>
      </c>
      <c r="AD31" s="221">
        <f t="shared" si="19"/>
        <v>0</v>
      </c>
      <c r="AE31" s="220">
        <f t="shared" si="6"/>
        <v>0</v>
      </c>
      <c r="AF31" s="221">
        <f t="shared" si="20"/>
        <v>0</v>
      </c>
      <c r="AI31" s="457" t="str">
        <f t="shared" si="3"/>
        <v>NC</v>
      </c>
      <c r="AJ31" s="222" t="str">
        <f t="shared" si="4"/>
        <v>Reverse Auction 1 - Billings / Carrying Charges</v>
      </c>
      <c r="AK31" s="222"/>
      <c r="AL31" s="448"/>
      <c r="AM31" s="221">
        <f t="shared" si="5"/>
        <v>0</v>
      </c>
      <c r="AN31" s="274">
        <v>-627</v>
      </c>
      <c r="AO31" s="274">
        <v>0</v>
      </c>
      <c r="AP31" s="221">
        <f t="shared" si="21"/>
        <v>627</v>
      </c>
      <c r="AQ31" s="221">
        <f t="shared" si="22"/>
        <v>0</v>
      </c>
      <c r="AR31" s="221"/>
      <c r="AS31" s="274">
        <v>0</v>
      </c>
      <c r="AT31" s="274">
        <v>0</v>
      </c>
      <c r="AU31" s="274">
        <v>-1411</v>
      </c>
      <c r="AV31" s="221">
        <f t="shared" si="23"/>
        <v>0</v>
      </c>
      <c r="AW31" s="221">
        <f t="shared" si="24"/>
        <v>1411</v>
      </c>
      <c r="BI31" s="210"/>
      <c r="BJ31" s="210"/>
    </row>
    <row r="32" spans="1:62" ht="12" customHeight="1" x14ac:dyDescent="0.2">
      <c r="A32" s="218" t="s">
        <v>886</v>
      </c>
      <c r="B32" s="442" t="s">
        <v>926</v>
      </c>
      <c r="C32" s="227"/>
      <c r="D32" s="206"/>
      <c r="E32" s="218" t="s">
        <v>927</v>
      </c>
      <c r="F32" s="220">
        <v>0</v>
      </c>
      <c r="G32" s="220">
        <v>0</v>
      </c>
      <c r="H32" s="221">
        <f t="shared" si="17"/>
        <v>0</v>
      </c>
      <c r="I32" s="220">
        <v>0</v>
      </c>
      <c r="J32" s="221">
        <f t="shared" si="18"/>
        <v>0</v>
      </c>
      <c r="M32" s="448" t="str">
        <f t="shared" si="1"/>
        <v>NC</v>
      </c>
      <c r="N32" s="222" t="str">
        <f t="shared" si="2"/>
        <v xml:space="preserve">                           - Payment Amortization</v>
      </c>
      <c r="O32" s="222"/>
      <c r="P32" s="448"/>
      <c r="Q32" s="482" t="str">
        <f t="shared" si="0"/>
        <v>144034</v>
      </c>
      <c r="R32" s="220">
        <v>0</v>
      </c>
      <c r="S32" s="220">
        <v>0</v>
      </c>
      <c r="T32" s="220">
        <v>0</v>
      </c>
      <c r="U32" s="220">
        <v>0</v>
      </c>
      <c r="V32" s="220">
        <v>0</v>
      </c>
      <c r="W32" s="220">
        <v>0</v>
      </c>
      <c r="X32" s="220">
        <v>0</v>
      </c>
      <c r="Y32" s="220">
        <v>0</v>
      </c>
      <c r="Z32" s="220">
        <v>0</v>
      </c>
      <c r="AA32" s="220">
        <v>0</v>
      </c>
      <c r="AB32" s="220">
        <v>0</v>
      </c>
      <c r="AC32" s="220">
        <v>0</v>
      </c>
      <c r="AD32" s="221">
        <f t="shared" si="19"/>
        <v>0</v>
      </c>
      <c r="AE32" s="220">
        <f t="shared" si="6"/>
        <v>0</v>
      </c>
      <c r="AF32" s="221">
        <f t="shared" si="20"/>
        <v>0</v>
      </c>
      <c r="AI32" s="457" t="str">
        <f t="shared" si="3"/>
        <v>NC</v>
      </c>
      <c r="AJ32" s="222" t="str">
        <f t="shared" si="4"/>
        <v xml:space="preserve">                           - Payment Amortization</v>
      </c>
      <c r="AK32" s="222"/>
      <c r="AL32" s="448"/>
      <c r="AM32" s="221">
        <f t="shared" si="5"/>
        <v>0</v>
      </c>
      <c r="AN32" s="274">
        <v>7200</v>
      </c>
      <c r="AO32" s="274">
        <v>0</v>
      </c>
      <c r="AP32" s="221">
        <f t="shared" si="21"/>
        <v>-7200</v>
      </c>
      <c r="AQ32" s="221">
        <f t="shared" si="22"/>
        <v>0</v>
      </c>
      <c r="AS32" s="274">
        <v>0</v>
      </c>
      <c r="AT32" s="274">
        <v>0</v>
      </c>
      <c r="AU32" s="274">
        <v>808</v>
      </c>
      <c r="AV32" s="221">
        <f t="shared" si="23"/>
        <v>0</v>
      </c>
      <c r="AW32" s="221">
        <f t="shared" si="24"/>
        <v>-808</v>
      </c>
      <c r="BI32" s="210"/>
      <c r="BJ32" s="210"/>
    </row>
    <row r="33" spans="1:62" ht="12" customHeight="1" x14ac:dyDescent="0.2">
      <c r="A33" s="218" t="s">
        <v>886</v>
      </c>
      <c r="B33" s="441" t="s">
        <v>928</v>
      </c>
      <c r="C33" s="219"/>
      <c r="D33" s="224" t="s">
        <v>888</v>
      </c>
      <c r="E33" s="218" t="s">
        <v>929</v>
      </c>
      <c r="F33" s="220">
        <v>0</v>
      </c>
      <c r="G33" s="220">
        <v>0</v>
      </c>
      <c r="H33" s="221">
        <f t="shared" si="17"/>
        <v>0</v>
      </c>
      <c r="I33" s="220">
        <v>0</v>
      </c>
      <c r="J33" s="221">
        <f t="shared" si="18"/>
        <v>0</v>
      </c>
      <c r="M33" s="448" t="str">
        <f t="shared" si="1"/>
        <v>NC</v>
      </c>
      <c r="N33" s="222" t="str">
        <f t="shared" si="2"/>
        <v>Stranded 858 - Normal Activity</v>
      </c>
      <c r="O33" s="222"/>
      <c r="P33" s="448" t="str">
        <f>D33</f>
        <v>L</v>
      </c>
      <c r="Q33" s="482" t="str">
        <f t="shared" si="0"/>
        <v>144032</v>
      </c>
      <c r="R33" s="221">
        <f t="shared" ref="R33:AC33" si="32">R103</f>
        <v>0</v>
      </c>
      <c r="S33" s="221">
        <f t="shared" si="32"/>
        <v>-1</v>
      </c>
      <c r="T33" s="221">
        <f t="shared" si="32"/>
        <v>0</v>
      </c>
      <c r="U33" s="221">
        <f t="shared" si="32"/>
        <v>-1</v>
      </c>
      <c r="V33" s="221">
        <f t="shared" si="32"/>
        <v>0</v>
      </c>
      <c r="W33" s="221">
        <f t="shared" si="32"/>
        <v>-1</v>
      </c>
      <c r="X33" s="221">
        <f t="shared" si="32"/>
        <v>0</v>
      </c>
      <c r="Y33" s="221">
        <f t="shared" si="32"/>
        <v>-1</v>
      </c>
      <c r="Z33" s="221">
        <f t="shared" si="32"/>
        <v>0</v>
      </c>
      <c r="AA33" s="221">
        <f t="shared" si="32"/>
        <v>-1</v>
      </c>
      <c r="AB33" s="221">
        <f t="shared" si="32"/>
        <v>0</v>
      </c>
      <c r="AC33" s="221">
        <f t="shared" si="32"/>
        <v>-1</v>
      </c>
      <c r="AD33" s="221">
        <f t="shared" si="19"/>
        <v>-6</v>
      </c>
      <c r="AE33" s="220">
        <f t="shared" si="6"/>
        <v>-1</v>
      </c>
      <c r="AF33" s="221">
        <f t="shared" si="20"/>
        <v>-5</v>
      </c>
      <c r="AI33" s="457" t="str">
        <f t="shared" si="3"/>
        <v>NC</v>
      </c>
      <c r="AJ33" s="222" t="str">
        <f t="shared" si="4"/>
        <v>Stranded 858 - Normal Activity</v>
      </c>
      <c r="AK33" s="222"/>
      <c r="AL33" s="448"/>
      <c r="AM33" s="221">
        <f t="shared" si="5"/>
        <v>-6</v>
      </c>
      <c r="AN33" s="274">
        <v>-5</v>
      </c>
      <c r="AO33" s="274">
        <v>0</v>
      </c>
      <c r="AP33" s="221">
        <f t="shared" si="21"/>
        <v>-1</v>
      </c>
      <c r="AQ33" s="221">
        <f t="shared" si="22"/>
        <v>-6</v>
      </c>
      <c r="AS33" s="274">
        <v>0</v>
      </c>
      <c r="AT33" s="274">
        <v>0</v>
      </c>
      <c r="AU33" s="274">
        <v>-162</v>
      </c>
      <c r="AV33" s="221">
        <f t="shared" si="23"/>
        <v>0</v>
      </c>
      <c r="AW33" s="221">
        <f t="shared" si="24"/>
        <v>162</v>
      </c>
      <c r="BI33" s="210"/>
      <c r="BJ33" s="210"/>
    </row>
    <row r="34" spans="1:62" ht="12" customHeight="1" x14ac:dyDescent="0.2">
      <c r="A34" s="218" t="s">
        <v>886</v>
      </c>
      <c r="B34" s="441" t="s">
        <v>930</v>
      </c>
      <c r="C34" s="219"/>
      <c r="D34" s="224" t="s">
        <v>888</v>
      </c>
      <c r="E34" s="218" t="s">
        <v>931</v>
      </c>
      <c r="F34" s="220">
        <v>0</v>
      </c>
      <c r="G34" s="220">
        <v>0</v>
      </c>
      <c r="H34" s="221">
        <f t="shared" si="17"/>
        <v>0</v>
      </c>
      <c r="I34" s="220">
        <v>0</v>
      </c>
      <c r="J34" s="221">
        <f t="shared" si="18"/>
        <v>0</v>
      </c>
      <c r="M34" s="448" t="str">
        <f t="shared" si="1"/>
        <v>NC</v>
      </c>
      <c r="N34" s="222" t="str">
        <f t="shared" si="2"/>
        <v>Stranded 858 Reverse Auction (R.A.)</v>
      </c>
      <c r="O34" s="222"/>
      <c r="P34" s="448" t="str">
        <f>D34</f>
        <v>L</v>
      </c>
      <c r="Q34" s="482" t="str">
        <f t="shared" si="0"/>
        <v>144028</v>
      </c>
      <c r="R34" s="221">
        <f t="shared" ref="R34:AC34" si="33">R107</f>
        <v>0</v>
      </c>
      <c r="S34" s="221">
        <f t="shared" si="33"/>
        <v>0</v>
      </c>
      <c r="T34" s="221">
        <f t="shared" si="33"/>
        <v>0</v>
      </c>
      <c r="U34" s="221">
        <f t="shared" si="33"/>
        <v>0</v>
      </c>
      <c r="V34" s="221">
        <f t="shared" si="33"/>
        <v>0</v>
      </c>
      <c r="W34" s="221">
        <f t="shared" si="33"/>
        <v>0</v>
      </c>
      <c r="X34" s="221">
        <f t="shared" si="33"/>
        <v>0</v>
      </c>
      <c r="Y34" s="221">
        <f t="shared" si="33"/>
        <v>0</v>
      </c>
      <c r="Z34" s="221">
        <f t="shared" si="33"/>
        <v>0</v>
      </c>
      <c r="AA34" s="221">
        <f t="shared" si="33"/>
        <v>0</v>
      </c>
      <c r="AB34" s="221">
        <f t="shared" si="33"/>
        <v>0</v>
      </c>
      <c r="AC34" s="221">
        <f t="shared" si="33"/>
        <v>0</v>
      </c>
      <c r="AD34" s="221">
        <f t="shared" si="19"/>
        <v>0</v>
      </c>
      <c r="AE34" s="220">
        <f t="shared" si="6"/>
        <v>0</v>
      </c>
      <c r="AF34" s="221">
        <f t="shared" si="20"/>
        <v>0</v>
      </c>
      <c r="AI34" s="457" t="str">
        <f t="shared" si="3"/>
        <v>NC</v>
      </c>
      <c r="AJ34" s="222" t="str">
        <f t="shared" si="4"/>
        <v>Stranded 858 Reverse Auction (R.A.)</v>
      </c>
      <c r="AK34" s="222"/>
      <c r="AL34" s="448"/>
      <c r="AM34" s="221">
        <f t="shared" si="5"/>
        <v>0</v>
      </c>
      <c r="AN34" s="274">
        <v>0</v>
      </c>
      <c r="AO34" s="274">
        <v>0</v>
      </c>
      <c r="AP34" s="221">
        <f t="shared" si="21"/>
        <v>0</v>
      </c>
      <c r="AQ34" s="221">
        <f t="shared" si="22"/>
        <v>0</v>
      </c>
      <c r="AR34" s="221"/>
      <c r="AS34" s="274">
        <v>0</v>
      </c>
      <c r="AT34" s="274">
        <v>0</v>
      </c>
      <c r="AU34" s="274">
        <v>-31</v>
      </c>
      <c r="AV34" s="221">
        <f t="shared" si="23"/>
        <v>0</v>
      </c>
      <c r="AW34" s="221">
        <f t="shared" si="24"/>
        <v>31</v>
      </c>
      <c r="BI34" s="210"/>
      <c r="BJ34" s="210"/>
    </row>
    <row r="35" spans="1:62" ht="12" customHeight="1" x14ac:dyDescent="0.2">
      <c r="A35" s="218" t="s">
        <v>886</v>
      </c>
      <c r="B35" s="441" t="s">
        <v>932</v>
      </c>
      <c r="C35" s="227"/>
      <c r="D35" s="224" t="s">
        <v>888</v>
      </c>
      <c r="E35" s="218" t="s">
        <v>933</v>
      </c>
      <c r="F35" s="220">
        <v>0</v>
      </c>
      <c r="G35" s="220">
        <v>0</v>
      </c>
      <c r="H35" s="221">
        <f t="shared" si="17"/>
        <v>0</v>
      </c>
      <c r="I35" s="220">
        <v>0</v>
      </c>
      <c r="J35" s="221">
        <f t="shared" si="18"/>
        <v>0</v>
      </c>
      <c r="M35" s="448" t="str">
        <f t="shared" si="1"/>
        <v>NC</v>
      </c>
      <c r="N35" s="222" t="str">
        <f t="shared" si="2"/>
        <v>GSR - 10% Commodity Billings Only</v>
      </c>
      <c r="O35" s="222"/>
      <c r="P35" s="448" t="str">
        <f>D35</f>
        <v>L</v>
      </c>
      <c r="Q35" s="482" t="str">
        <f t="shared" si="0"/>
        <v>144031</v>
      </c>
      <c r="R35" s="221">
        <f t="shared" ref="R35:AC35" si="34">R111</f>
        <v>0</v>
      </c>
      <c r="S35" s="221">
        <f t="shared" si="34"/>
        <v>0</v>
      </c>
      <c r="T35" s="221">
        <f t="shared" si="34"/>
        <v>0</v>
      </c>
      <c r="U35" s="221">
        <f t="shared" si="34"/>
        <v>0</v>
      </c>
      <c r="V35" s="221">
        <f t="shared" si="34"/>
        <v>0</v>
      </c>
      <c r="W35" s="221">
        <f t="shared" si="34"/>
        <v>0</v>
      </c>
      <c r="X35" s="221">
        <f t="shared" si="34"/>
        <v>0</v>
      </c>
      <c r="Y35" s="221">
        <f t="shared" si="34"/>
        <v>0</v>
      </c>
      <c r="Z35" s="221">
        <f t="shared" si="34"/>
        <v>0</v>
      </c>
      <c r="AA35" s="221">
        <f t="shared" si="34"/>
        <v>0</v>
      </c>
      <c r="AB35" s="221">
        <f t="shared" si="34"/>
        <v>0</v>
      </c>
      <c r="AC35" s="221">
        <f t="shared" si="34"/>
        <v>0</v>
      </c>
      <c r="AD35" s="221">
        <f t="shared" si="19"/>
        <v>0</v>
      </c>
      <c r="AE35" s="220">
        <f t="shared" si="6"/>
        <v>0</v>
      </c>
      <c r="AF35" s="221">
        <f t="shared" si="20"/>
        <v>0</v>
      </c>
      <c r="AI35" s="457" t="str">
        <f t="shared" si="3"/>
        <v>NC</v>
      </c>
      <c r="AJ35" s="222" t="str">
        <f t="shared" si="4"/>
        <v>GSR - 10% Commodity Billings Only</v>
      </c>
      <c r="AK35" s="222"/>
      <c r="AL35" s="448"/>
      <c r="AM35" s="221">
        <f t="shared" si="5"/>
        <v>0</v>
      </c>
      <c r="AN35" s="274">
        <v>0</v>
      </c>
      <c r="AO35" s="274">
        <v>0</v>
      </c>
      <c r="AP35" s="221">
        <f t="shared" si="21"/>
        <v>0</v>
      </c>
      <c r="AQ35" s="221">
        <f t="shared" si="22"/>
        <v>0</v>
      </c>
      <c r="AS35" s="274">
        <v>0</v>
      </c>
      <c r="AT35" s="274">
        <v>0</v>
      </c>
      <c r="AU35" s="274">
        <v>-25</v>
      </c>
      <c r="AV35" s="221">
        <f t="shared" si="23"/>
        <v>0</v>
      </c>
      <c r="AW35" s="221">
        <f t="shared" si="24"/>
        <v>25</v>
      </c>
      <c r="BI35" s="210"/>
      <c r="BJ35" s="210"/>
    </row>
    <row r="36" spans="1:62" ht="12" customHeight="1" x14ac:dyDescent="0.2">
      <c r="A36" s="218" t="s">
        <v>886</v>
      </c>
      <c r="B36" s="441" t="s">
        <v>934</v>
      </c>
      <c r="C36" s="227"/>
      <c r="D36" s="224" t="s">
        <v>888</v>
      </c>
      <c r="E36" s="218" t="s">
        <v>935</v>
      </c>
      <c r="F36" s="220">
        <v>0</v>
      </c>
      <c r="G36" s="220">
        <v>0</v>
      </c>
      <c r="H36" s="221">
        <f t="shared" si="17"/>
        <v>0</v>
      </c>
      <c r="I36" s="220">
        <v>0</v>
      </c>
      <c r="J36" s="221">
        <f t="shared" si="18"/>
        <v>0</v>
      </c>
      <c r="M36" s="448" t="str">
        <f t="shared" si="1"/>
        <v>NC</v>
      </c>
      <c r="N36" s="222" t="str">
        <f t="shared" si="2"/>
        <v>GSR R.A. - Billings / Carrying Charges</v>
      </c>
      <c r="O36" s="222"/>
      <c r="P36" s="448" t="str">
        <f>D36</f>
        <v>L</v>
      </c>
      <c r="Q36" s="482" t="str">
        <f t="shared" si="0"/>
        <v>144035</v>
      </c>
      <c r="R36" s="221">
        <f t="shared" ref="R36:AC36" si="35">R119</f>
        <v>0</v>
      </c>
      <c r="S36" s="221">
        <f t="shared" si="35"/>
        <v>0</v>
      </c>
      <c r="T36" s="221">
        <f t="shared" si="35"/>
        <v>0</v>
      </c>
      <c r="U36" s="221">
        <f t="shared" si="35"/>
        <v>0</v>
      </c>
      <c r="V36" s="221">
        <f t="shared" si="35"/>
        <v>0</v>
      </c>
      <c r="W36" s="221">
        <f t="shared" si="35"/>
        <v>0</v>
      </c>
      <c r="X36" s="221">
        <f t="shared" si="35"/>
        <v>0</v>
      </c>
      <c r="Y36" s="221">
        <f t="shared" si="35"/>
        <v>0</v>
      </c>
      <c r="Z36" s="221">
        <f t="shared" si="35"/>
        <v>0</v>
      </c>
      <c r="AA36" s="221">
        <f t="shared" si="35"/>
        <v>0</v>
      </c>
      <c r="AB36" s="221">
        <f t="shared" si="35"/>
        <v>0</v>
      </c>
      <c r="AC36" s="221">
        <f t="shared" si="35"/>
        <v>0</v>
      </c>
      <c r="AD36" s="221">
        <f t="shared" si="19"/>
        <v>0</v>
      </c>
      <c r="AE36" s="220">
        <f t="shared" si="6"/>
        <v>0</v>
      </c>
      <c r="AF36" s="221">
        <f t="shared" si="20"/>
        <v>0</v>
      </c>
      <c r="AG36" s="221"/>
      <c r="AH36" s="221"/>
      <c r="AI36" s="457" t="str">
        <f t="shared" si="3"/>
        <v>NC</v>
      </c>
      <c r="AJ36" s="222" t="str">
        <f t="shared" si="4"/>
        <v>GSR R.A. - Billings / Carrying Charges</v>
      </c>
      <c r="AK36" s="222"/>
      <c r="AL36" s="448"/>
      <c r="AM36" s="221">
        <f t="shared" si="5"/>
        <v>0</v>
      </c>
      <c r="AN36" s="274">
        <v>222</v>
      </c>
      <c r="AO36" s="274">
        <v>0</v>
      </c>
      <c r="AP36" s="221">
        <f t="shared" si="21"/>
        <v>-222</v>
      </c>
      <c r="AQ36" s="221">
        <f t="shared" si="22"/>
        <v>0</v>
      </c>
      <c r="AR36" s="221"/>
      <c r="AS36" s="274">
        <v>0</v>
      </c>
      <c r="AT36" s="274">
        <v>0</v>
      </c>
      <c r="AU36" s="274">
        <v>199</v>
      </c>
      <c r="AV36" s="221">
        <f t="shared" si="23"/>
        <v>0</v>
      </c>
      <c r="AW36" s="221">
        <f t="shared" si="24"/>
        <v>-199</v>
      </c>
      <c r="BI36" s="210"/>
      <c r="BJ36" s="210"/>
    </row>
    <row r="37" spans="1:62" ht="12" customHeight="1" x14ac:dyDescent="0.2">
      <c r="A37" s="218" t="s">
        <v>886</v>
      </c>
      <c r="B37" s="441" t="s">
        <v>936</v>
      </c>
      <c r="C37" s="219"/>
      <c r="D37" s="224" t="s">
        <v>888</v>
      </c>
      <c r="E37" s="218" t="s">
        <v>937</v>
      </c>
      <c r="F37" s="220">
        <v>0</v>
      </c>
      <c r="G37" s="220">
        <v>0</v>
      </c>
      <c r="H37" s="221">
        <f t="shared" si="17"/>
        <v>0</v>
      </c>
      <c r="I37" s="220">
        <v>0</v>
      </c>
      <c r="J37" s="221">
        <f t="shared" si="18"/>
        <v>0</v>
      </c>
      <c r="M37" s="448" t="str">
        <f t="shared" si="1"/>
        <v>NC</v>
      </c>
      <c r="N37" s="222" t="str">
        <f t="shared" si="2"/>
        <v>Reverse Auction 2 - Billings / Carrying Charges</v>
      </c>
      <c r="O37" s="222"/>
      <c r="P37" s="448" t="str">
        <f>D37</f>
        <v>L</v>
      </c>
      <c r="Q37" s="482" t="str">
        <f t="shared" si="0"/>
        <v>144036</v>
      </c>
      <c r="R37" s="221">
        <f t="shared" ref="R37:AC37" si="36">R95</f>
        <v>-12</v>
      </c>
      <c r="S37" s="221">
        <f t="shared" si="36"/>
        <v>-10</v>
      </c>
      <c r="T37" s="221">
        <f t="shared" si="36"/>
        <v>-12</v>
      </c>
      <c r="U37" s="221">
        <f t="shared" si="36"/>
        <v>-11</v>
      </c>
      <c r="V37" s="221">
        <f t="shared" si="36"/>
        <v>-12</v>
      </c>
      <c r="W37" s="221">
        <f t="shared" si="36"/>
        <v>-12</v>
      </c>
      <c r="X37" s="221">
        <f t="shared" si="36"/>
        <v>-12</v>
      </c>
      <c r="Y37" s="221">
        <f t="shared" si="36"/>
        <v>-12</v>
      </c>
      <c r="Z37" s="221">
        <f t="shared" si="36"/>
        <v>-12</v>
      </c>
      <c r="AA37" s="221">
        <f t="shared" si="36"/>
        <v>-6</v>
      </c>
      <c r="AB37" s="221">
        <f t="shared" si="36"/>
        <v>-6</v>
      </c>
      <c r="AC37" s="221">
        <f t="shared" si="36"/>
        <v>-6</v>
      </c>
      <c r="AD37" s="221">
        <f t="shared" si="19"/>
        <v>-123</v>
      </c>
      <c r="AE37" s="220">
        <f t="shared" si="6"/>
        <v>-22</v>
      </c>
      <c r="AF37" s="221">
        <f t="shared" si="20"/>
        <v>-101</v>
      </c>
      <c r="AI37" s="457" t="str">
        <f t="shared" si="3"/>
        <v>NC</v>
      </c>
      <c r="AJ37" s="222" t="str">
        <f t="shared" si="4"/>
        <v>Reverse Auction 2 - Billings / Carrying Charges</v>
      </c>
      <c r="AK37" s="222"/>
      <c r="AL37" s="448"/>
      <c r="AM37" s="221">
        <f t="shared" si="5"/>
        <v>-123</v>
      </c>
      <c r="AN37" s="274">
        <v>-209</v>
      </c>
      <c r="AO37" s="274">
        <v>0</v>
      </c>
      <c r="AP37" s="221">
        <f t="shared" si="21"/>
        <v>86</v>
      </c>
      <c r="AQ37" s="221">
        <f t="shared" si="22"/>
        <v>-123</v>
      </c>
      <c r="AR37" s="221"/>
      <c r="AS37" s="274">
        <v>0</v>
      </c>
      <c r="AT37" s="274">
        <v>0</v>
      </c>
      <c r="AU37" s="274">
        <v>-187</v>
      </c>
      <c r="AV37" s="221">
        <f t="shared" si="23"/>
        <v>0</v>
      </c>
      <c r="AW37" s="221">
        <f t="shared" si="24"/>
        <v>187</v>
      </c>
      <c r="BI37" s="210"/>
      <c r="BJ37" s="210"/>
    </row>
    <row r="38" spans="1:62" ht="12" customHeight="1" x14ac:dyDescent="0.2">
      <c r="A38" s="218" t="s">
        <v>886</v>
      </c>
      <c r="B38" s="442" t="s">
        <v>926</v>
      </c>
      <c r="C38" s="219"/>
      <c r="D38" s="206"/>
      <c r="E38" s="218" t="s">
        <v>938</v>
      </c>
      <c r="F38" s="220">
        <v>0</v>
      </c>
      <c r="G38" s="220">
        <v>0</v>
      </c>
      <c r="H38" s="221">
        <f t="shared" si="17"/>
        <v>0</v>
      </c>
      <c r="I38" s="220">
        <v>0</v>
      </c>
      <c r="J38" s="221">
        <f t="shared" si="18"/>
        <v>0</v>
      </c>
      <c r="M38" s="448" t="str">
        <f t="shared" si="1"/>
        <v>NC</v>
      </c>
      <c r="N38" s="222" t="str">
        <f t="shared" si="2"/>
        <v xml:space="preserve">                           - Payment Amortization</v>
      </c>
      <c r="O38" s="222"/>
      <c r="P38" s="448"/>
      <c r="Q38" s="482" t="str">
        <f t="shared" si="0"/>
        <v>144037</v>
      </c>
      <c r="R38" s="220">
        <v>80</v>
      </c>
      <c r="S38" s="220">
        <v>80</v>
      </c>
      <c r="T38" s="220">
        <v>80</v>
      </c>
      <c r="U38" s="220">
        <v>80</v>
      </c>
      <c r="V38" s="220">
        <v>80</v>
      </c>
      <c r="W38" s="220">
        <v>80</v>
      </c>
      <c r="X38" s="220">
        <v>80</v>
      </c>
      <c r="Y38" s="220">
        <v>80</v>
      </c>
      <c r="Z38" s="220">
        <v>80</v>
      </c>
      <c r="AA38" s="220">
        <v>80</v>
      </c>
      <c r="AB38" s="220">
        <v>80</v>
      </c>
      <c r="AC38" s="220">
        <v>80</v>
      </c>
      <c r="AD38" s="221">
        <f t="shared" si="19"/>
        <v>960</v>
      </c>
      <c r="AE38" s="220">
        <f t="shared" si="6"/>
        <v>160</v>
      </c>
      <c r="AF38" s="221">
        <f t="shared" si="20"/>
        <v>800</v>
      </c>
      <c r="AI38" s="457" t="str">
        <f t="shared" si="3"/>
        <v>NC</v>
      </c>
      <c r="AJ38" s="222" t="str">
        <f t="shared" si="4"/>
        <v xml:space="preserve">                           - Payment Amortization</v>
      </c>
      <c r="AK38" s="222"/>
      <c r="AL38" s="448"/>
      <c r="AM38" s="221">
        <f t="shared" si="5"/>
        <v>960</v>
      </c>
      <c r="AN38" s="274">
        <v>960</v>
      </c>
      <c r="AO38" s="274">
        <v>0</v>
      </c>
      <c r="AP38" s="221">
        <f t="shared" si="21"/>
        <v>0</v>
      </c>
      <c r="AQ38" s="221">
        <f t="shared" si="22"/>
        <v>960</v>
      </c>
      <c r="AR38" s="221"/>
      <c r="AS38" s="274">
        <v>0</v>
      </c>
      <c r="AT38" s="274">
        <v>0</v>
      </c>
      <c r="AU38" s="274">
        <v>96</v>
      </c>
      <c r="AV38" s="221">
        <f t="shared" si="23"/>
        <v>0</v>
      </c>
      <c r="AW38" s="221">
        <f t="shared" si="24"/>
        <v>-96</v>
      </c>
      <c r="BI38" s="210"/>
      <c r="BJ38" s="210"/>
    </row>
    <row r="39" spans="1:62" ht="12" customHeight="1" x14ac:dyDescent="0.2">
      <c r="A39" s="218" t="s">
        <v>886</v>
      </c>
      <c r="B39" s="441" t="s">
        <v>939</v>
      </c>
      <c r="C39" s="219"/>
      <c r="D39" s="224" t="s">
        <v>888</v>
      </c>
      <c r="E39" s="228" t="s">
        <v>940</v>
      </c>
      <c r="F39" s="220">
        <v>0</v>
      </c>
      <c r="G39" s="220">
        <v>0</v>
      </c>
      <c r="H39" s="221">
        <f t="shared" si="17"/>
        <v>0</v>
      </c>
      <c r="I39" s="220">
        <v>0</v>
      </c>
      <c r="J39" s="221">
        <f t="shared" si="18"/>
        <v>0</v>
      </c>
      <c r="M39" s="448" t="str">
        <f t="shared" si="1"/>
        <v>NC</v>
      </c>
      <c r="N39" s="222" t="str">
        <f t="shared" si="2"/>
        <v>Reverse Auction 3 - Billings / Carrying Charges / Amortization</v>
      </c>
      <c r="O39" s="222"/>
      <c r="P39" s="448" t="str">
        <f>D39</f>
        <v>L</v>
      </c>
      <c r="Q39" s="482" t="str">
        <f t="shared" si="0"/>
        <v>144038</v>
      </c>
      <c r="R39" s="221">
        <f t="shared" ref="R39:AC39" si="37">R99</f>
        <v>0</v>
      </c>
      <c r="S39" s="221">
        <f t="shared" si="37"/>
        <v>0</v>
      </c>
      <c r="T39" s="221">
        <f t="shared" si="37"/>
        <v>0</v>
      </c>
      <c r="U39" s="221">
        <f t="shared" si="37"/>
        <v>0</v>
      </c>
      <c r="V39" s="221">
        <f t="shared" si="37"/>
        <v>0</v>
      </c>
      <c r="W39" s="221">
        <f t="shared" si="37"/>
        <v>0</v>
      </c>
      <c r="X39" s="221">
        <f t="shared" si="37"/>
        <v>0</v>
      </c>
      <c r="Y39" s="221">
        <f t="shared" si="37"/>
        <v>0</v>
      </c>
      <c r="Z39" s="221">
        <f t="shared" si="37"/>
        <v>0</v>
      </c>
      <c r="AA39" s="221">
        <f t="shared" si="37"/>
        <v>0</v>
      </c>
      <c r="AB39" s="221">
        <f t="shared" si="37"/>
        <v>0</v>
      </c>
      <c r="AC39" s="221">
        <f t="shared" si="37"/>
        <v>0</v>
      </c>
      <c r="AD39" s="221">
        <f t="shared" si="19"/>
        <v>0</v>
      </c>
      <c r="AE39" s="220">
        <f t="shared" si="6"/>
        <v>0</v>
      </c>
      <c r="AF39" s="221">
        <f t="shared" si="20"/>
        <v>0</v>
      </c>
      <c r="AI39" s="457" t="str">
        <f t="shared" si="3"/>
        <v>NC</v>
      </c>
      <c r="AJ39" s="222" t="str">
        <f t="shared" si="4"/>
        <v>Reverse Auction 3 - Billings / Carrying Charges / Amortization</v>
      </c>
      <c r="AK39" s="222"/>
      <c r="AL39" s="448"/>
      <c r="AM39" s="221">
        <f t="shared" si="5"/>
        <v>0</v>
      </c>
      <c r="AN39" s="274">
        <v>0</v>
      </c>
      <c r="AO39" s="274">
        <v>0</v>
      </c>
      <c r="AP39" s="221">
        <f t="shared" si="21"/>
        <v>0</v>
      </c>
      <c r="AQ39" s="221">
        <f t="shared" si="22"/>
        <v>0</v>
      </c>
      <c r="AS39" s="274">
        <v>0</v>
      </c>
      <c r="AT39" s="274">
        <v>0</v>
      </c>
      <c r="AU39" s="274">
        <v>-484</v>
      </c>
      <c r="AV39" s="221">
        <f t="shared" ref="AV39:AV49" si="38">AS39-AT39</f>
        <v>0</v>
      </c>
      <c r="AW39" s="221">
        <f t="shared" ref="AW39:AW49" si="39">AS39-AU39</f>
        <v>484</v>
      </c>
      <c r="BI39" s="210"/>
      <c r="BJ39" s="210"/>
    </row>
    <row r="40" spans="1:62" ht="12" customHeight="1" x14ac:dyDescent="0.2">
      <c r="A40" s="218" t="s">
        <v>886</v>
      </c>
      <c r="B40" s="441" t="s">
        <v>941</v>
      </c>
      <c r="C40" s="219"/>
      <c r="D40" s="224" t="s">
        <v>888</v>
      </c>
      <c r="E40" s="228">
        <v>144040</v>
      </c>
      <c r="F40" s="220">
        <v>0</v>
      </c>
      <c r="G40" s="220">
        <v>0</v>
      </c>
      <c r="H40" s="221">
        <f t="shared" si="17"/>
        <v>0</v>
      </c>
      <c r="I40" s="220">
        <v>0</v>
      </c>
      <c r="J40" s="221">
        <f t="shared" si="18"/>
        <v>0</v>
      </c>
      <c r="M40" s="448" t="str">
        <f t="shared" si="1"/>
        <v>NC</v>
      </c>
      <c r="N40" s="222" t="str">
        <f t="shared" si="2"/>
        <v xml:space="preserve">Order 528 - Billings / Carrying Charges </v>
      </c>
      <c r="O40" s="222"/>
      <c r="P40" s="448" t="str">
        <f>D40</f>
        <v>L</v>
      </c>
      <c r="Q40" s="482">
        <f t="shared" si="0"/>
        <v>144040</v>
      </c>
      <c r="R40" s="221">
        <f t="shared" ref="R40:AC40" si="40">R115</f>
        <v>0</v>
      </c>
      <c r="S40" s="221">
        <f t="shared" si="40"/>
        <v>0</v>
      </c>
      <c r="T40" s="221">
        <f t="shared" si="40"/>
        <v>0</v>
      </c>
      <c r="U40" s="221">
        <f t="shared" si="40"/>
        <v>0</v>
      </c>
      <c r="V40" s="221">
        <f t="shared" si="40"/>
        <v>0</v>
      </c>
      <c r="W40" s="221">
        <f t="shared" si="40"/>
        <v>0</v>
      </c>
      <c r="X40" s="221">
        <f t="shared" si="40"/>
        <v>0</v>
      </c>
      <c r="Y40" s="221">
        <f t="shared" si="40"/>
        <v>0</v>
      </c>
      <c r="Z40" s="221">
        <f t="shared" si="40"/>
        <v>0</v>
      </c>
      <c r="AA40" s="221">
        <f t="shared" si="40"/>
        <v>0</v>
      </c>
      <c r="AB40" s="221">
        <f t="shared" si="40"/>
        <v>0</v>
      </c>
      <c r="AC40" s="221">
        <f t="shared" si="40"/>
        <v>0</v>
      </c>
      <c r="AD40" s="221">
        <f t="shared" si="19"/>
        <v>0</v>
      </c>
      <c r="AE40" s="220">
        <f t="shared" si="6"/>
        <v>0</v>
      </c>
      <c r="AF40" s="221">
        <f t="shared" si="20"/>
        <v>0</v>
      </c>
      <c r="AI40" s="457" t="str">
        <f t="shared" si="3"/>
        <v>NC</v>
      </c>
      <c r="AJ40" s="222" t="str">
        <f t="shared" si="4"/>
        <v xml:space="preserve">Order 528 - Billings / Carrying Charges </v>
      </c>
      <c r="AK40" s="222"/>
      <c r="AL40" s="448"/>
      <c r="AM40" s="221">
        <f t="shared" si="5"/>
        <v>0</v>
      </c>
      <c r="AN40" s="274">
        <v>0</v>
      </c>
      <c r="AO40" s="274">
        <v>0</v>
      </c>
      <c r="AP40" s="221">
        <f t="shared" si="21"/>
        <v>0</v>
      </c>
      <c r="AQ40" s="221">
        <f t="shared" si="22"/>
        <v>0</v>
      </c>
      <c r="AS40" s="274">
        <v>0</v>
      </c>
      <c r="AT40" s="274">
        <v>0</v>
      </c>
      <c r="AU40" s="274">
        <v>-218</v>
      </c>
      <c r="AV40" s="221">
        <f t="shared" si="38"/>
        <v>0</v>
      </c>
      <c r="AW40" s="221">
        <f t="shared" si="39"/>
        <v>218</v>
      </c>
      <c r="BI40" s="210"/>
      <c r="BJ40" s="210"/>
    </row>
    <row r="41" spans="1:62" ht="12" customHeight="1" x14ac:dyDescent="0.2">
      <c r="A41" s="218" t="s">
        <v>886</v>
      </c>
      <c r="B41" s="441" t="s">
        <v>942</v>
      </c>
      <c r="C41" s="227"/>
      <c r="D41" s="224" t="s">
        <v>888</v>
      </c>
      <c r="E41" s="228">
        <v>144050</v>
      </c>
      <c r="F41" s="220">
        <v>0</v>
      </c>
      <c r="G41" s="220">
        <v>0</v>
      </c>
      <c r="H41" s="221">
        <f t="shared" si="17"/>
        <v>0</v>
      </c>
      <c r="I41" s="220">
        <v>0</v>
      </c>
      <c r="J41" s="221">
        <f t="shared" si="18"/>
        <v>0</v>
      </c>
      <c r="M41" s="448" t="str">
        <f t="shared" si="1"/>
        <v>NC</v>
      </c>
      <c r="N41" s="222" t="str">
        <f t="shared" si="2"/>
        <v xml:space="preserve">Carlton Resolution - Billings / Carrying Charges </v>
      </c>
      <c r="O41" s="222"/>
      <c r="P41" s="448" t="str">
        <f>D41</f>
        <v>L</v>
      </c>
      <c r="Q41" s="482">
        <f t="shared" si="0"/>
        <v>144050</v>
      </c>
      <c r="R41" s="221">
        <f t="shared" ref="R41:AC41" si="41">R123</f>
        <v>-302</v>
      </c>
      <c r="S41" s="221">
        <f t="shared" si="41"/>
        <v>-259</v>
      </c>
      <c r="T41" s="221">
        <f t="shared" si="41"/>
        <v>-220</v>
      </c>
      <c r="U41" s="221">
        <f t="shared" si="41"/>
        <v>-15</v>
      </c>
      <c r="V41" s="221">
        <f t="shared" si="41"/>
        <v>2057</v>
      </c>
      <c r="W41" s="221">
        <f t="shared" si="41"/>
        <v>0</v>
      </c>
      <c r="X41" s="221">
        <f t="shared" si="41"/>
        <v>0</v>
      </c>
      <c r="Y41" s="221">
        <f t="shared" si="41"/>
        <v>0</v>
      </c>
      <c r="Z41" s="221">
        <f t="shared" si="41"/>
        <v>0</v>
      </c>
      <c r="AA41" s="221">
        <f t="shared" si="41"/>
        <v>0</v>
      </c>
      <c r="AB41" s="221">
        <f t="shared" si="41"/>
        <v>-206</v>
      </c>
      <c r="AC41" s="221">
        <f t="shared" si="41"/>
        <v>-295</v>
      </c>
      <c r="AD41" s="221">
        <f t="shared" si="19"/>
        <v>760</v>
      </c>
      <c r="AE41" s="220">
        <f t="shared" si="6"/>
        <v>-561</v>
      </c>
      <c r="AF41" s="221">
        <f t="shared" si="20"/>
        <v>1321</v>
      </c>
      <c r="AI41" s="457" t="str">
        <f t="shared" si="3"/>
        <v>NC</v>
      </c>
      <c r="AJ41" s="222" t="str">
        <f t="shared" si="4"/>
        <v xml:space="preserve">Carlton Resolution - Billings / Carrying Charges </v>
      </c>
      <c r="AK41" s="222"/>
      <c r="AL41" s="448"/>
      <c r="AM41" s="221">
        <f t="shared" si="5"/>
        <v>760</v>
      </c>
      <c r="AN41" s="274">
        <v>-202</v>
      </c>
      <c r="AO41" s="274">
        <v>0</v>
      </c>
      <c r="AP41" s="221">
        <f t="shared" si="21"/>
        <v>962</v>
      </c>
      <c r="AQ41" s="221">
        <f t="shared" si="22"/>
        <v>760</v>
      </c>
      <c r="AS41" s="274">
        <v>0</v>
      </c>
      <c r="AT41" s="274">
        <v>0</v>
      </c>
      <c r="AU41" s="274">
        <v>-287</v>
      </c>
      <c r="AV41" s="221">
        <f t="shared" si="38"/>
        <v>0</v>
      </c>
      <c r="AW41" s="221">
        <f t="shared" si="39"/>
        <v>287</v>
      </c>
      <c r="BI41" s="210"/>
      <c r="BJ41" s="210"/>
    </row>
    <row r="42" spans="1:62" ht="12" customHeight="1" x14ac:dyDescent="0.2">
      <c r="A42" s="218" t="s">
        <v>886</v>
      </c>
      <c r="B42" s="441" t="s">
        <v>943</v>
      </c>
      <c r="C42" s="227"/>
      <c r="D42" s="224" t="s">
        <v>888</v>
      </c>
      <c r="E42" s="228">
        <v>144051</v>
      </c>
      <c r="F42" s="220">
        <v>0</v>
      </c>
      <c r="G42" s="220">
        <v>0</v>
      </c>
      <c r="H42" s="221">
        <f t="shared" si="17"/>
        <v>0</v>
      </c>
      <c r="I42" s="220">
        <v>0</v>
      </c>
      <c r="J42" s="221">
        <f t="shared" si="18"/>
        <v>0</v>
      </c>
      <c r="M42" s="448" t="str">
        <f t="shared" si="1"/>
        <v>NC</v>
      </c>
      <c r="N42" s="222" t="str">
        <f t="shared" si="2"/>
        <v>System Balancing Agreement (SBA)</v>
      </c>
      <c r="O42" s="222"/>
      <c r="P42" s="448" t="str">
        <f>D42</f>
        <v>L</v>
      </c>
      <c r="Q42" s="482">
        <f t="shared" si="0"/>
        <v>144051</v>
      </c>
      <c r="R42" s="221">
        <f t="shared" ref="R42:AC42" si="42">R127</f>
        <v>603</v>
      </c>
      <c r="S42" s="221">
        <f t="shared" si="42"/>
        <v>604</v>
      </c>
      <c r="T42" s="221">
        <f t="shared" si="42"/>
        <v>603</v>
      </c>
      <c r="U42" s="221">
        <f t="shared" si="42"/>
        <v>-127</v>
      </c>
      <c r="V42" s="221">
        <f t="shared" si="42"/>
        <v>-128</v>
      </c>
      <c r="W42" s="221">
        <f t="shared" si="42"/>
        <v>-508</v>
      </c>
      <c r="X42" s="221">
        <f t="shared" si="42"/>
        <v>-509</v>
      </c>
      <c r="Y42" s="221">
        <f t="shared" si="42"/>
        <v>-508</v>
      </c>
      <c r="Z42" s="221">
        <f t="shared" si="42"/>
        <v>-228</v>
      </c>
      <c r="AA42" s="221">
        <f t="shared" si="42"/>
        <v>-227</v>
      </c>
      <c r="AB42" s="221">
        <f t="shared" si="42"/>
        <v>-228</v>
      </c>
      <c r="AC42" s="221">
        <f t="shared" si="42"/>
        <v>604</v>
      </c>
      <c r="AD42" s="221">
        <f t="shared" si="19"/>
        <v>-49</v>
      </c>
      <c r="AE42" s="220">
        <f t="shared" si="6"/>
        <v>1207</v>
      </c>
      <c r="AF42" s="221">
        <f t="shared" si="20"/>
        <v>-1256</v>
      </c>
      <c r="AI42" s="457" t="str">
        <f t="shared" si="3"/>
        <v>NC</v>
      </c>
      <c r="AJ42" s="222" t="str">
        <f t="shared" si="4"/>
        <v>System Balancing Agreement (SBA)</v>
      </c>
      <c r="AK42" s="222"/>
      <c r="AL42" s="448"/>
      <c r="AM42" s="221">
        <f t="shared" si="5"/>
        <v>-49</v>
      </c>
      <c r="AN42" s="274">
        <v>462</v>
      </c>
      <c r="AO42" s="274">
        <v>0</v>
      </c>
      <c r="AP42" s="221">
        <f t="shared" si="21"/>
        <v>-511</v>
      </c>
      <c r="AQ42" s="221">
        <f t="shared" si="22"/>
        <v>-49</v>
      </c>
      <c r="AS42" s="274">
        <v>0</v>
      </c>
      <c r="AT42" s="274">
        <v>0</v>
      </c>
      <c r="AU42" s="274">
        <v>-25</v>
      </c>
      <c r="AV42" s="221">
        <f t="shared" si="38"/>
        <v>0</v>
      </c>
      <c r="AW42" s="221">
        <f t="shared" si="39"/>
        <v>25</v>
      </c>
      <c r="BI42" s="210"/>
      <c r="BJ42" s="210"/>
    </row>
    <row r="43" spans="1:62" ht="12" customHeight="1" x14ac:dyDescent="0.2">
      <c r="A43" s="218" t="s">
        <v>886</v>
      </c>
      <c r="B43" s="441" t="s">
        <v>1061</v>
      </c>
      <c r="C43" s="219"/>
      <c r="D43" s="224" t="s">
        <v>888</v>
      </c>
      <c r="E43" s="478" t="s">
        <v>262</v>
      </c>
      <c r="F43" s="220">
        <v>0</v>
      </c>
      <c r="G43" s="220">
        <v>0</v>
      </c>
      <c r="H43" s="221">
        <f>F43-G43</f>
        <v>0</v>
      </c>
      <c r="I43" s="220">
        <v>0</v>
      </c>
      <c r="J43" s="221">
        <f>H43-I43</f>
        <v>0</v>
      </c>
      <c r="M43" s="448" t="str">
        <f>A43</f>
        <v>NC</v>
      </c>
      <c r="N43" s="222" t="str">
        <f>B43</f>
        <v>Book Gain / (Loss) on Asset Sales</v>
      </c>
      <c r="O43" s="222"/>
      <c r="P43" s="448" t="str">
        <f>D43</f>
        <v>L</v>
      </c>
      <c r="Q43" s="482" t="str">
        <f>E43</f>
        <v>151001</v>
      </c>
      <c r="R43" s="450">
        <f>SUM(OtherInc!C31:C33)</f>
        <v>0</v>
      </c>
      <c r="S43" s="450">
        <f>SUM(OtherInc!D31:D33)</f>
        <v>0</v>
      </c>
      <c r="T43" s="450">
        <f>SUM(OtherInc!E31:E33)</f>
        <v>0</v>
      </c>
      <c r="U43" s="450">
        <f>SUM(OtherInc!F31:F33)</f>
        <v>0</v>
      </c>
      <c r="V43" s="450">
        <f>SUM(OtherInc!G31:G33)</f>
        <v>0</v>
      </c>
      <c r="W43" s="450">
        <f>SUM(OtherInc!H31:H33)</f>
        <v>7600</v>
      </c>
      <c r="X43" s="450">
        <f>SUM(OtherInc!I31:I33)</f>
        <v>0</v>
      </c>
      <c r="Y43" s="450">
        <f>SUM(OtherInc!J31:J33)</f>
        <v>0</v>
      </c>
      <c r="Z43" s="450">
        <f>SUM(OtherInc!K31:K33)</f>
        <v>0</v>
      </c>
      <c r="AA43" s="450">
        <f>SUM(OtherInc!L31:L33)</f>
        <v>0</v>
      </c>
      <c r="AB43" s="450">
        <f>SUM(OtherInc!M31:M33)</f>
        <v>0</v>
      </c>
      <c r="AC43" s="450">
        <f>SUM(OtherInc!N31:N33)</f>
        <v>5000</v>
      </c>
      <c r="AD43" s="221">
        <f>SUM(R43:AC43)</f>
        <v>12600</v>
      </c>
      <c r="AE43" s="220">
        <f t="shared" si="6"/>
        <v>0</v>
      </c>
      <c r="AF43" s="221">
        <f>AD43-AE43</f>
        <v>12600</v>
      </c>
      <c r="AI43" s="457" t="str">
        <f>M43</f>
        <v>NC</v>
      </c>
      <c r="AJ43" s="222" t="str">
        <f>B43</f>
        <v>Book Gain / (Loss) on Asset Sales</v>
      </c>
      <c r="AK43" s="222"/>
      <c r="AL43" s="222"/>
      <c r="AM43" s="221">
        <f>AD43</f>
        <v>12600</v>
      </c>
      <c r="AN43" s="274">
        <v>2853</v>
      </c>
      <c r="AO43" s="274">
        <v>0</v>
      </c>
      <c r="AP43" s="221">
        <f>AM43-AN43</f>
        <v>9747</v>
      </c>
      <c r="AQ43" s="221">
        <f>AM43-AO43</f>
        <v>12600</v>
      </c>
      <c r="AR43" s="221"/>
      <c r="AS43" s="274">
        <v>0</v>
      </c>
      <c r="AT43" s="274">
        <v>0</v>
      </c>
      <c r="AU43" s="274">
        <v>0</v>
      </c>
      <c r="AV43" s="221">
        <f>AS43-AT43</f>
        <v>0</v>
      </c>
      <c r="AW43" s="221">
        <f>AS43-AU43</f>
        <v>0</v>
      </c>
      <c r="BI43" s="210"/>
      <c r="BJ43" s="210"/>
    </row>
    <row r="44" spans="1:62" ht="12" customHeight="1" x14ac:dyDescent="0.2">
      <c r="A44" s="218" t="s">
        <v>886</v>
      </c>
      <c r="B44" s="1004" t="s">
        <v>588</v>
      </c>
      <c r="C44" s="219"/>
      <c r="D44" s="206"/>
      <c r="E44" s="478" t="s">
        <v>263</v>
      </c>
      <c r="F44" s="220">
        <v>0</v>
      </c>
      <c r="G44" s="220">
        <v>0</v>
      </c>
      <c r="H44" s="221">
        <f>F44-G44</f>
        <v>0</v>
      </c>
      <c r="I44" s="220">
        <v>0</v>
      </c>
      <c r="J44" s="221">
        <f>H44-I44</f>
        <v>0</v>
      </c>
      <c r="M44" s="448" t="str">
        <f t="shared" si="1"/>
        <v>NC</v>
      </c>
      <c r="N44" s="222" t="str">
        <f t="shared" si="2"/>
        <v>Tax (G) / L on Asset Sales - Mops (6/02)</v>
      </c>
      <c r="O44" s="222"/>
      <c r="P44" s="448"/>
      <c r="Q44" s="482" t="str">
        <f t="shared" si="0"/>
        <v>151002</v>
      </c>
      <c r="R44" s="641">
        <f>-2391+2391</f>
        <v>0</v>
      </c>
      <c r="S44" s="641">
        <f>-2391+2391</f>
        <v>0</v>
      </c>
      <c r="T44" s="641">
        <f>-2391+2391</f>
        <v>0</v>
      </c>
      <c r="U44" s="641">
        <f>((-6800-3000+1000)+1800)+(-1100+600+1100-600)+7000</f>
        <v>0</v>
      </c>
      <c r="V44" s="641">
        <v>0</v>
      </c>
      <c r="W44" s="641">
        <v>-5600</v>
      </c>
      <c r="X44" s="641">
        <v>0</v>
      </c>
      <c r="Y44" s="641">
        <v>0</v>
      </c>
      <c r="Z44" s="641">
        <v>0</v>
      </c>
      <c r="AA44" s="641">
        <v>0</v>
      </c>
      <c r="AB44" s="641">
        <v>0</v>
      </c>
      <c r="AC44" s="641">
        <v>0</v>
      </c>
      <c r="AD44" s="221">
        <f>SUM(R44:AC44)</f>
        <v>-5600</v>
      </c>
      <c r="AE44" s="220">
        <f t="shared" si="6"/>
        <v>0</v>
      </c>
      <c r="AF44" s="221">
        <f>AD44-AE44</f>
        <v>-5600</v>
      </c>
      <c r="AI44" s="457" t="str">
        <f t="shared" si="3"/>
        <v>NC</v>
      </c>
      <c r="AJ44" s="222" t="str">
        <f t="shared" si="4"/>
        <v>Tax (G) / L on Asset Sales - Mops (6/02)</v>
      </c>
      <c r="AK44" s="222"/>
      <c r="AL44" s="222"/>
      <c r="AM44" s="221">
        <f t="shared" si="5"/>
        <v>-5600</v>
      </c>
      <c r="AN44" s="274">
        <v>0</v>
      </c>
      <c r="AO44" s="274">
        <v>0</v>
      </c>
      <c r="AP44" s="221">
        <f>AM44-AN44</f>
        <v>-5600</v>
      </c>
      <c r="AQ44" s="221">
        <f>AM44-AO44</f>
        <v>-5600</v>
      </c>
      <c r="AR44" s="221"/>
      <c r="AS44" s="274">
        <v>0</v>
      </c>
      <c r="AT44" s="274">
        <v>0</v>
      </c>
      <c r="AU44" s="274">
        <v>0</v>
      </c>
      <c r="AV44" s="221">
        <f>AS44-AT44</f>
        <v>0</v>
      </c>
      <c r="AW44" s="221">
        <f>AS44-AU44</f>
        <v>0</v>
      </c>
      <c r="BI44" s="210"/>
      <c r="BJ44" s="210"/>
    </row>
    <row r="45" spans="1:62" ht="12" customHeight="1" x14ac:dyDescent="0.2">
      <c r="A45" s="218" t="s">
        <v>886</v>
      </c>
      <c r="B45" s="1004" t="s">
        <v>5</v>
      </c>
      <c r="C45" s="219"/>
      <c r="D45" s="206"/>
      <c r="E45" s="478" t="s">
        <v>915</v>
      </c>
      <c r="F45" s="220">
        <v>0</v>
      </c>
      <c r="G45" s="220">
        <v>0</v>
      </c>
      <c r="H45" s="221">
        <f>F45-G45</f>
        <v>0</v>
      </c>
      <c r="I45" s="220">
        <v>0</v>
      </c>
      <c r="J45" s="221">
        <f>H45-I45</f>
        <v>0</v>
      </c>
      <c r="M45" s="448" t="str">
        <f t="shared" si="1"/>
        <v>NC</v>
      </c>
      <c r="N45" s="222" t="str">
        <f t="shared" si="2"/>
        <v xml:space="preserve">          - East Leg (12/02)</v>
      </c>
      <c r="O45" s="222"/>
      <c r="P45" s="448"/>
      <c r="Q45" s="482" t="str">
        <f t="shared" si="0"/>
        <v>"</v>
      </c>
      <c r="R45" s="641">
        <v>0</v>
      </c>
      <c r="S45" s="641">
        <f>-2391+2391</f>
        <v>0</v>
      </c>
      <c r="T45" s="641">
        <v>0</v>
      </c>
      <c r="U45" s="641">
        <v>0</v>
      </c>
      <c r="V45" s="641">
        <v>0</v>
      </c>
      <c r="W45" s="641">
        <v>0</v>
      </c>
      <c r="X45" s="641">
        <v>0</v>
      </c>
      <c r="Y45" s="641">
        <v>0</v>
      </c>
      <c r="Z45" s="641">
        <v>0</v>
      </c>
      <c r="AA45" s="641">
        <v>0</v>
      </c>
      <c r="AB45" s="641">
        <v>0</v>
      </c>
      <c r="AC45" s="641">
        <v>0</v>
      </c>
      <c r="AD45" s="221">
        <f>SUM(R45:AC45)</f>
        <v>0</v>
      </c>
      <c r="AE45" s="220">
        <f t="shared" si="6"/>
        <v>0</v>
      </c>
      <c r="AF45" s="221">
        <f>AD45-AE45</f>
        <v>0</v>
      </c>
      <c r="AI45" s="457" t="str">
        <f t="shared" si="3"/>
        <v>NC</v>
      </c>
      <c r="AJ45" s="222" t="str">
        <f t="shared" si="4"/>
        <v xml:space="preserve">          - East Leg (12/02)</v>
      </c>
      <c r="AK45" s="222"/>
      <c r="AL45" s="222"/>
      <c r="AM45" s="221">
        <f t="shared" si="5"/>
        <v>0</v>
      </c>
      <c r="AN45" s="274">
        <v>-3868</v>
      </c>
      <c r="AO45" s="274">
        <v>0</v>
      </c>
      <c r="AP45" s="221">
        <f>AM45-AN45</f>
        <v>3868</v>
      </c>
      <c r="AQ45" s="221">
        <f>AM45-AO45</f>
        <v>0</v>
      </c>
      <c r="AR45" s="221"/>
      <c r="AS45" s="274">
        <v>0</v>
      </c>
      <c r="AT45" s="274">
        <v>0</v>
      </c>
      <c r="AU45" s="274">
        <v>-2785</v>
      </c>
      <c r="AV45" s="221">
        <f>AS45-AT45</f>
        <v>0</v>
      </c>
      <c r="AW45" s="221">
        <f>AS45-AU45</f>
        <v>2785</v>
      </c>
      <c r="BI45" s="210"/>
      <c r="BJ45" s="210"/>
    </row>
    <row r="46" spans="1:62" ht="12" customHeight="1" x14ac:dyDescent="0.2">
      <c r="A46" s="218" t="s">
        <v>886</v>
      </c>
      <c r="B46" s="441" t="s">
        <v>6</v>
      </c>
      <c r="C46" s="219"/>
      <c r="D46" s="206"/>
      <c r="E46" s="478" t="s">
        <v>915</v>
      </c>
      <c r="F46" s="220">
        <v>0</v>
      </c>
      <c r="G46" s="220">
        <v>0</v>
      </c>
      <c r="H46" s="221">
        <f>F46-G46</f>
        <v>0</v>
      </c>
      <c r="I46" s="220">
        <v>0</v>
      </c>
      <c r="J46" s="221">
        <f>H46-I46</f>
        <v>0</v>
      </c>
      <c r="M46" s="448" t="str">
        <f t="shared" si="1"/>
        <v>NC</v>
      </c>
      <c r="N46" s="222" t="str">
        <f t="shared" si="2"/>
        <v xml:space="preserve">          - Other (???)</v>
      </c>
      <c r="O46" s="222"/>
      <c r="P46" s="448"/>
      <c r="Q46" s="482" t="str">
        <f t="shared" si="0"/>
        <v>"</v>
      </c>
      <c r="R46" s="641">
        <v>0</v>
      </c>
      <c r="S46" s="641">
        <f>-2391+2391</f>
        <v>0</v>
      </c>
      <c r="T46" s="641">
        <v>0</v>
      </c>
      <c r="U46" s="641">
        <v>0</v>
      </c>
      <c r="V46" s="641">
        <v>0</v>
      </c>
      <c r="W46" s="641">
        <v>0</v>
      </c>
      <c r="X46" s="641">
        <v>0</v>
      </c>
      <c r="Y46" s="641">
        <v>0</v>
      </c>
      <c r="Z46" s="641">
        <v>0</v>
      </c>
      <c r="AA46" s="641">
        <v>0</v>
      </c>
      <c r="AB46" s="641">
        <v>0</v>
      </c>
      <c r="AC46" s="641">
        <v>-5000</v>
      </c>
      <c r="AD46" s="221">
        <f>SUM(R46:AC46)</f>
        <v>-5000</v>
      </c>
      <c r="AE46" s="220">
        <f t="shared" si="6"/>
        <v>0</v>
      </c>
      <c r="AF46" s="221">
        <f>AD46-AE46</f>
        <v>-5000</v>
      </c>
      <c r="AI46" s="457" t="str">
        <f t="shared" si="3"/>
        <v>NC</v>
      </c>
      <c r="AJ46" s="222" t="str">
        <f t="shared" si="4"/>
        <v xml:space="preserve">          - Other (???)</v>
      </c>
      <c r="AK46" s="222"/>
      <c r="AL46" s="222"/>
      <c r="AM46" s="221">
        <f t="shared" si="5"/>
        <v>-5000</v>
      </c>
      <c r="AN46" s="274">
        <v>0</v>
      </c>
      <c r="AO46" s="274">
        <v>0</v>
      </c>
      <c r="AP46" s="221">
        <f>AM46-AN46</f>
        <v>-5000</v>
      </c>
      <c r="AQ46" s="221">
        <f>AM46-AO46</f>
        <v>-5000</v>
      </c>
      <c r="AR46" s="221"/>
      <c r="AS46" s="274">
        <v>0</v>
      </c>
      <c r="AT46" s="274">
        <v>0</v>
      </c>
      <c r="AU46" s="274">
        <v>-5000</v>
      </c>
      <c r="AV46" s="221">
        <f>AS46-AT46</f>
        <v>0</v>
      </c>
      <c r="AW46" s="221">
        <f>AS46-AU46</f>
        <v>5000</v>
      </c>
      <c r="BI46" s="210"/>
      <c r="BJ46" s="210"/>
    </row>
    <row r="47" spans="1:62" ht="12" customHeight="1" x14ac:dyDescent="0.2">
      <c r="A47" s="218" t="s">
        <v>886</v>
      </c>
      <c r="B47" s="441" t="s">
        <v>944</v>
      </c>
      <c r="C47" s="219"/>
      <c r="D47" s="224" t="s">
        <v>888</v>
      </c>
      <c r="E47" s="218" t="s">
        <v>945</v>
      </c>
      <c r="F47" s="220">
        <v>0</v>
      </c>
      <c r="G47" s="220">
        <v>0</v>
      </c>
      <c r="H47" s="221">
        <f>F47-G47</f>
        <v>0</v>
      </c>
      <c r="I47" s="220">
        <v>0</v>
      </c>
      <c r="J47" s="221">
        <f>H47-I47</f>
        <v>0</v>
      </c>
      <c r="M47" s="448" t="str">
        <f t="shared" si="1"/>
        <v>NC</v>
      </c>
      <c r="N47" s="222" t="str">
        <f t="shared" si="2"/>
        <v>Premium on Reacquired Debt from Corporate</v>
      </c>
      <c r="O47" s="222"/>
      <c r="P47" s="448" t="str">
        <f t="shared" ref="P47:P56" si="43">D47</f>
        <v>L</v>
      </c>
      <c r="Q47" s="482" t="str">
        <f t="shared" si="0"/>
        <v>155002</v>
      </c>
      <c r="R47" s="221">
        <f t="shared" ref="R47:AC47" si="44">R161</f>
        <v>-38</v>
      </c>
      <c r="S47" s="221">
        <f t="shared" si="44"/>
        <v>-38</v>
      </c>
      <c r="T47" s="221">
        <f t="shared" si="44"/>
        <v>-38</v>
      </c>
      <c r="U47" s="221">
        <f t="shared" si="44"/>
        <v>-38</v>
      </c>
      <c r="V47" s="221">
        <f t="shared" si="44"/>
        <v>-38</v>
      </c>
      <c r="W47" s="221">
        <f t="shared" si="44"/>
        <v>-37</v>
      </c>
      <c r="X47" s="221">
        <f t="shared" si="44"/>
        <v>-39</v>
      </c>
      <c r="Y47" s="221">
        <f t="shared" si="44"/>
        <v>-37</v>
      </c>
      <c r="Z47" s="221">
        <f t="shared" si="44"/>
        <v>-39</v>
      </c>
      <c r="AA47" s="221">
        <f t="shared" si="44"/>
        <v>-32</v>
      </c>
      <c r="AB47" s="221">
        <f t="shared" si="44"/>
        <v>-28</v>
      </c>
      <c r="AC47" s="221">
        <f t="shared" si="44"/>
        <v>-27</v>
      </c>
      <c r="AD47" s="221">
        <f>SUM(R47:AC47)</f>
        <v>-429</v>
      </c>
      <c r="AE47" s="220">
        <f t="shared" si="6"/>
        <v>-76</v>
      </c>
      <c r="AF47" s="221">
        <f>AD47-AE47</f>
        <v>-353</v>
      </c>
      <c r="AG47" s="223"/>
      <c r="AI47" s="457" t="str">
        <f t="shared" si="3"/>
        <v>NC</v>
      </c>
      <c r="AJ47" s="222" t="str">
        <f t="shared" si="4"/>
        <v>Premium on Reacquired Debt from Corporate</v>
      </c>
      <c r="AK47" s="222"/>
      <c r="AL47" s="448"/>
      <c r="AM47" s="221">
        <f t="shared" si="5"/>
        <v>-429</v>
      </c>
      <c r="AN47" s="274">
        <v>-457</v>
      </c>
      <c r="AO47" s="274">
        <v>0</v>
      </c>
      <c r="AP47" s="221">
        <f>AM47-AN47</f>
        <v>28</v>
      </c>
      <c r="AQ47" s="221">
        <f>AM47-AO47</f>
        <v>-429</v>
      </c>
      <c r="AR47" s="221"/>
      <c r="AS47" s="274">
        <v>0</v>
      </c>
      <c r="AT47" s="274">
        <v>0</v>
      </c>
      <c r="AU47" s="274">
        <v>-42</v>
      </c>
      <c r="AV47" s="221">
        <f>AS47-AT47</f>
        <v>0</v>
      </c>
      <c r="AW47" s="221">
        <f>AS47-AU47</f>
        <v>42</v>
      </c>
      <c r="BI47" s="210"/>
      <c r="BJ47" s="210"/>
    </row>
    <row r="48" spans="1:62" ht="12" customHeight="1" x14ac:dyDescent="0.2">
      <c r="A48" s="218" t="s">
        <v>886</v>
      </c>
      <c r="B48" s="442" t="s">
        <v>972</v>
      </c>
      <c r="C48" s="227"/>
      <c r="D48" s="224" t="s">
        <v>888</v>
      </c>
      <c r="E48" s="228">
        <v>161007</v>
      </c>
      <c r="F48" s="220">
        <v>0</v>
      </c>
      <c r="G48" s="220">
        <v>0</v>
      </c>
      <c r="H48" s="221">
        <f t="shared" si="17"/>
        <v>0</v>
      </c>
      <c r="I48" s="220">
        <v>0</v>
      </c>
      <c r="J48" s="221">
        <f t="shared" si="18"/>
        <v>0</v>
      </c>
      <c r="M48" s="448" t="str">
        <f t="shared" si="1"/>
        <v>NC</v>
      </c>
      <c r="N48" s="222" t="str">
        <f t="shared" si="2"/>
        <v xml:space="preserve">Severance &amp; Relocation Recovery </v>
      </c>
      <c r="O48" s="222"/>
      <c r="P48" s="448" t="str">
        <f t="shared" si="43"/>
        <v>L</v>
      </c>
      <c r="Q48" s="482">
        <f t="shared" si="0"/>
        <v>161007</v>
      </c>
      <c r="R48" s="221">
        <f t="shared" ref="R48:W48" si="45">R149</f>
        <v>-127</v>
      </c>
      <c r="S48" s="221">
        <f t="shared" si="45"/>
        <v>-127</v>
      </c>
      <c r="T48" s="221">
        <f t="shared" si="45"/>
        <v>-127</v>
      </c>
      <c r="U48" s="221">
        <f t="shared" si="45"/>
        <v>-127</v>
      </c>
      <c r="V48" s="221">
        <f t="shared" si="45"/>
        <v>-127</v>
      </c>
      <c r="W48" s="221">
        <f t="shared" si="45"/>
        <v>-127</v>
      </c>
      <c r="X48" s="221">
        <f t="shared" ref="X48:AC48" si="46">X149</f>
        <v>-127</v>
      </c>
      <c r="Y48" s="221">
        <f t="shared" si="46"/>
        <v>-127</v>
      </c>
      <c r="Z48" s="221">
        <f t="shared" si="46"/>
        <v>-127</v>
      </c>
      <c r="AA48" s="221">
        <f t="shared" si="46"/>
        <v>-127</v>
      </c>
      <c r="AB48" s="221">
        <f t="shared" si="46"/>
        <v>-128</v>
      </c>
      <c r="AC48" s="221">
        <f t="shared" si="46"/>
        <v>-128</v>
      </c>
      <c r="AD48" s="221">
        <f t="shared" si="19"/>
        <v>-1526</v>
      </c>
      <c r="AE48" s="220">
        <f t="shared" si="6"/>
        <v>-254</v>
      </c>
      <c r="AF48" s="221">
        <f t="shared" si="20"/>
        <v>-1272</v>
      </c>
      <c r="AI48" s="457" t="str">
        <f t="shared" si="3"/>
        <v>NC</v>
      </c>
      <c r="AJ48" s="222" t="str">
        <f t="shared" si="4"/>
        <v xml:space="preserve">Severance &amp; Relocation Recovery </v>
      </c>
      <c r="AK48" s="222"/>
      <c r="AL48" s="448"/>
      <c r="AM48" s="221">
        <f t="shared" si="5"/>
        <v>-1526</v>
      </c>
      <c r="AN48" s="274">
        <v>-1519</v>
      </c>
      <c r="AO48" s="274">
        <v>0</v>
      </c>
      <c r="AP48" s="221">
        <f t="shared" si="21"/>
        <v>-7</v>
      </c>
      <c r="AQ48" s="221">
        <f t="shared" si="22"/>
        <v>-1526</v>
      </c>
      <c r="AS48" s="274">
        <v>0</v>
      </c>
      <c r="AT48" s="274">
        <v>0</v>
      </c>
      <c r="AU48" s="274">
        <v>250</v>
      </c>
      <c r="AV48" s="221">
        <f t="shared" si="38"/>
        <v>0</v>
      </c>
      <c r="AW48" s="221">
        <f t="shared" si="39"/>
        <v>-250</v>
      </c>
      <c r="BI48" s="210"/>
      <c r="BJ48" s="210"/>
    </row>
    <row r="49" spans="1:62" ht="12" customHeight="1" x14ac:dyDescent="0.2">
      <c r="A49" s="218" t="s">
        <v>886</v>
      </c>
      <c r="B49" s="442" t="s">
        <v>1064</v>
      </c>
      <c r="C49" s="227"/>
      <c r="D49" s="224" t="s">
        <v>888</v>
      </c>
      <c r="E49" s="218">
        <v>164014</v>
      </c>
      <c r="F49" s="220">
        <v>0</v>
      </c>
      <c r="G49" s="220">
        <v>0</v>
      </c>
      <c r="H49" s="221">
        <f t="shared" si="17"/>
        <v>0</v>
      </c>
      <c r="I49" s="220">
        <v>0</v>
      </c>
      <c r="J49" s="221">
        <f t="shared" si="18"/>
        <v>0</v>
      </c>
      <c r="M49" s="448" t="str">
        <f t="shared" si="1"/>
        <v>NC</v>
      </c>
      <c r="N49" s="222" t="str">
        <f t="shared" si="2"/>
        <v>Other (Was Uncollectible Accts Recovery until 6/00)</v>
      </c>
      <c r="O49" s="222"/>
      <c r="P49" s="448"/>
      <c r="Q49" s="482">
        <f t="shared" si="0"/>
        <v>164014</v>
      </c>
      <c r="R49" s="220">
        <v>0</v>
      </c>
      <c r="S49" s="220">
        <v>0</v>
      </c>
      <c r="T49" s="220">
        <v>0</v>
      </c>
      <c r="U49" s="220">
        <v>0</v>
      </c>
      <c r="V49" s="220">
        <v>0</v>
      </c>
      <c r="W49" s="220">
        <v>0</v>
      </c>
      <c r="X49" s="220">
        <v>0</v>
      </c>
      <c r="Y49" s="220">
        <v>0</v>
      </c>
      <c r="Z49" s="220">
        <v>0</v>
      </c>
      <c r="AA49" s="220">
        <v>0</v>
      </c>
      <c r="AB49" s="220">
        <v>0</v>
      </c>
      <c r="AC49" s="220">
        <v>0</v>
      </c>
      <c r="AD49" s="221">
        <f t="shared" si="19"/>
        <v>0</v>
      </c>
      <c r="AE49" s="220">
        <f t="shared" si="6"/>
        <v>0</v>
      </c>
      <c r="AF49" s="221">
        <f t="shared" si="20"/>
        <v>0</v>
      </c>
      <c r="AI49" s="457" t="str">
        <f t="shared" si="3"/>
        <v>NC</v>
      </c>
      <c r="AJ49" s="222" t="str">
        <f t="shared" si="4"/>
        <v>Other (Was Uncollectible Accts Recovery until 6/00)</v>
      </c>
      <c r="AK49" s="222"/>
      <c r="AL49" s="448"/>
      <c r="AM49" s="221">
        <f t="shared" si="5"/>
        <v>0</v>
      </c>
      <c r="AN49" s="274">
        <v>0</v>
      </c>
      <c r="AO49" s="274">
        <v>0</v>
      </c>
      <c r="AP49" s="221">
        <f t="shared" si="21"/>
        <v>0</v>
      </c>
      <c r="AQ49" s="221">
        <f t="shared" si="22"/>
        <v>0</v>
      </c>
      <c r="AS49" s="274">
        <v>0</v>
      </c>
      <c r="AT49" s="274">
        <v>0</v>
      </c>
      <c r="AU49" s="274">
        <v>0</v>
      </c>
      <c r="AV49" s="221">
        <f t="shared" si="38"/>
        <v>0</v>
      </c>
      <c r="AW49" s="221">
        <f t="shared" si="39"/>
        <v>0</v>
      </c>
      <c r="BI49" s="210"/>
      <c r="BJ49" s="210"/>
    </row>
    <row r="50" spans="1:62" ht="12" customHeight="1" x14ac:dyDescent="0.2">
      <c r="A50" s="218" t="s">
        <v>886</v>
      </c>
      <c r="B50" s="442" t="s">
        <v>192</v>
      </c>
      <c r="C50" s="227"/>
      <c r="D50" s="224" t="s">
        <v>888</v>
      </c>
      <c r="E50" s="218">
        <v>161002</v>
      </c>
      <c r="F50" s="220">
        <v>0</v>
      </c>
      <c r="G50" s="220">
        <v>0</v>
      </c>
      <c r="H50" s="221">
        <f t="shared" ref="H50:H56" si="47">F50-G50</f>
        <v>0</v>
      </c>
      <c r="I50" s="220">
        <v>0</v>
      </c>
      <c r="J50" s="221">
        <f t="shared" ref="J50:J56" si="48">H50-I50</f>
        <v>0</v>
      </c>
      <c r="M50" s="448" t="str">
        <f t="shared" si="1"/>
        <v>NC</v>
      </c>
      <c r="N50" s="222" t="str">
        <f t="shared" si="2"/>
        <v xml:space="preserve">FAS 106 Benefits Amortization </v>
      </c>
      <c r="O50" s="222"/>
      <c r="P50" s="448" t="str">
        <f t="shared" si="43"/>
        <v>L</v>
      </c>
      <c r="Q50" s="482">
        <f t="shared" si="0"/>
        <v>161002</v>
      </c>
      <c r="R50" s="523">
        <f t="shared" ref="R50:W50" si="49">R147</f>
        <v>-86</v>
      </c>
      <c r="S50" s="523">
        <f t="shared" si="49"/>
        <v>-85</v>
      </c>
      <c r="T50" s="523">
        <f t="shared" si="49"/>
        <v>-86</v>
      </c>
      <c r="U50" s="523">
        <f t="shared" si="49"/>
        <v>-86</v>
      </c>
      <c r="V50" s="523">
        <f t="shared" si="49"/>
        <v>-86</v>
      </c>
      <c r="W50" s="523">
        <f t="shared" si="49"/>
        <v>-85</v>
      </c>
      <c r="X50" s="523">
        <f t="shared" ref="X50:AC50" si="50">X147</f>
        <v>-86</v>
      </c>
      <c r="Y50" s="523">
        <f t="shared" si="50"/>
        <v>-85</v>
      </c>
      <c r="Z50" s="523">
        <f t="shared" si="50"/>
        <v>-86</v>
      </c>
      <c r="AA50" s="523">
        <f t="shared" si="50"/>
        <v>-85</v>
      </c>
      <c r="AB50" s="523">
        <f t="shared" si="50"/>
        <v>-86</v>
      </c>
      <c r="AC50" s="523">
        <f t="shared" si="50"/>
        <v>-86</v>
      </c>
      <c r="AD50" s="221">
        <f t="shared" ref="AD50:AD56" si="51">SUM(R50:AC50)</f>
        <v>-1028</v>
      </c>
      <c r="AE50" s="220">
        <f t="shared" si="6"/>
        <v>-171</v>
      </c>
      <c r="AF50" s="221">
        <f t="shared" ref="AF50:AF56" si="52">AD50-AE50</f>
        <v>-857</v>
      </c>
      <c r="AI50" s="457" t="str">
        <f t="shared" si="3"/>
        <v>NC</v>
      </c>
      <c r="AJ50" s="222" t="str">
        <f t="shared" si="4"/>
        <v xml:space="preserve">FAS 106 Benefits Amortization </v>
      </c>
      <c r="AK50" s="222"/>
      <c r="AL50" s="448"/>
      <c r="AM50" s="221">
        <f t="shared" si="5"/>
        <v>-1028</v>
      </c>
      <c r="AN50" s="274">
        <v>-1027</v>
      </c>
      <c r="AO50" s="274">
        <v>0</v>
      </c>
      <c r="AP50" s="221">
        <f t="shared" ref="AP50:AP56" si="53">AM50-AN50</f>
        <v>-1</v>
      </c>
      <c r="AQ50" s="221">
        <f t="shared" ref="AQ50:AQ56" si="54">AM50-AO50</f>
        <v>-1028</v>
      </c>
      <c r="AR50" s="221"/>
      <c r="AS50" s="274">
        <v>0</v>
      </c>
      <c r="AT50" s="274">
        <v>0</v>
      </c>
      <c r="AU50" s="274">
        <v>0</v>
      </c>
      <c r="AV50" s="221">
        <f t="shared" ref="AV50:AV56" si="55">AS50-AT50</f>
        <v>0</v>
      </c>
      <c r="AW50" s="221">
        <f t="shared" ref="AW50:AW56" si="56">AS50-AU50</f>
        <v>0</v>
      </c>
      <c r="BI50" s="210"/>
      <c r="BJ50" s="210"/>
    </row>
    <row r="51" spans="1:62" ht="12" customHeight="1" x14ac:dyDescent="0.2">
      <c r="A51" s="218" t="s">
        <v>886</v>
      </c>
      <c r="B51" s="442" t="s">
        <v>1136</v>
      </c>
      <c r="C51" s="227"/>
      <c r="D51" s="224" t="s">
        <v>888</v>
      </c>
      <c r="E51" s="218">
        <v>133011</v>
      </c>
      <c r="F51" s="220">
        <v>0</v>
      </c>
      <c r="G51" s="220">
        <v>0</v>
      </c>
      <c r="H51" s="221">
        <f t="shared" si="47"/>
        <v>0</v>
      </c>
      <c r="I51" s="220">
        <v>0</v>
      </c>
      <c r="J51" s="221">
        <f t="shared" si="48"/>
        <v>0</v>
      </c>
      <c r="M51" s="448" t="str">
        <f t="shared" si="1"/>
        <v>NC</v>
      </c>
      <c r="N51" s="222" t="str">
        <f t="shared" si="2"/>
        <v>2223 Dodge Street Amortization</v>
      </c>
      <c r="O51" s="222"/>
      <c r="P51" s="448" t="str">
        <f t="shared" si="43"/>
        <v>L</v>
      </c>
      <c r="Q51" s="482">
        <f t="shared" si="0"/>
        <v>133011</v>
      </c>
      <c r="R51" s="450">
        <f t="shared" ref="R51:W51" si="57">R148</f>
        <v>-31</v>
      </c>
      <c r="S51" s="450">
        <f t="shared" si="57"/>
        <v>-31</v>
      </c>
      <c r="T51" s="450">
        <f t="shared" si="57"/>
        <v>-32</v>
      </c>
      <c r="U51" s="450">
        <f t="shared" si="57"/>
        <v>-31</v>
      </c>
      <c r="V51" s="450">
        <f t="shared" si="57"/>
        <v>-31</v>
      </c>
      <c r="W51" s="450">
        <f t="shared" si="57"/>
        <v>-32</v>
      </c>
      <c r="X51" s="450">
        <f t="shared" ref="X51:AC51" si="58">X148</f>
        <v>-31</v>
      </c>
      <c r="Y51" s="450">
        <f t="shared" si="58"/>
        <v>-31</v>
      </c>
      <c r="Z51" s="450">
        <f t="shared" si="58"/>
        <v>-32</v>
      </c>
      <c r="AA51" s="450">
        <f t="shared" si="58"/>
        <v>-32</v>
      </c>
      <c r="AB51" s="450">
        <f t="shared" si="58"/>
        <v>-32</v>
      </c>
      <c r="AC51" s="450">
        <f t="shared" si="58"/>
        <v>-32</v>
      </c>
      <c r="AD51" s="221">
        <f t="shared" si="51"/>
        <v>-378</v>
      </c>
      <c r="AE51" s="220">
        <f t="shared" si="6"/>
        <v>-62</v>
      </c>
      <c r="AF51" s="221">
        <f t="shared" si="52"/>
        <v>-316</v>
      </c>
      <c r="AI51" s="457" t="str">
        <f t="shared" si="3"/>
        <v>NC</v>
      </c>
      <c r="AJ51" s="222" t="str">
        <f t="shared" si="4"/>
        <v>2223 Dodge Street Amortization</v>
      </c>
      <c r="AK51" s="222"/>
      <c r="AL51" s="448"/>
      <c r="AM51" s="221">
        <f t="shared" si="5"/>
        <v>-378</v>
      </c>
      <c r="AN51" s="274">
        <v>-378</v>
      </c>
      <c r="AO51" s="274">
        <v>0</v>
      </c>
      <c r="AP51" s="221">
        <f t="shared" si="53"/>
        <v>0</v>
      </c>
      <c r="AQ51" s="221">
        <f t="shared" si="54"/>
        <v>-378</v>
      </c>
      <c r="AR51" s="221"/>
      <c r="AS51" s="274">
        <v>0</v>
      </c>
      <c r="AT51" s="274">
        <v>0</v>
      </c>
      <c r="AU51" s="274">
        <v>0</v>
      </c>
      <c r="AV51" s="221">
        <f t="shared" si="55"/>
        <v>0</v>
      </c>
      <c r="AW51" s="221">
        <f t="shared" si="56"/>
        <v>0</v>
      </c>
      <c r="BI51" s="210"/>
      <c r="BJ51" s="210"/>
    </row>
    <row r="52" spans="1:62" ht="12" customHeight="1" x14ac:dyDescent="0.2">
      <c r="A52" s="218" t="s">
        <v>886</v>
      </c>
      <c r="B52" s="441" t="s">
        <v>389</v>
      </c>
      <c r="C52" s="219"/>
      <c r="D52" s="224"/>
      <c r="E52" s="218">
        <v>156001</v>
      </c>
      <c r="F52" s="220">
        <v>0</v>
      </c>
      <c r="G52" s="220">
        <v>0</v>
      </c>
      <c r="H52" s="221">
        <f t="shared" si="47"/>
        <v>0</v>
      </c>
      <c r="I52" s="220">
        <v>0</v>
      </c>
      <c r="J52" s="221">
        <f t="shared" si="48"/>
        <v>0</v>
      </c>
      <c r="M52" s="448" t="str">
        <f>A52</f>
        <v>NC</v>
      </c>
      <c r="N52" s="222" t="str">
        <f>B52</f>
        <v>Mark to Market</v>
      </c>
      <c r="O52" s="222"/>
      <c r="P52" s="448"/>
      <c r="Q52" s="482">
        <f>E52</f>
        <v>156001</v>
      </c>
      <c r="R52" s="220">
        <v>0</v>
      </c>
      <c r="S52" s="220">
        <v>0</v>
      </c>
      <c r="T52" s="220">
        <v>0</v>
      </c>
      <c r="U52" s="220">
        <v>0</v>
      </c>
      <c r="V52" s="220">
        <v>0</v>
      </c>
      <c r="W52" s="220">
        <v>0</v>
      </c>
      <c r="X52" s="220">
        <v>0</v>
      </c>
      <c r="Y52" s="220">
        <v>0</v>
      </c>
      <c r="Z52" s="220">
        <v>0</v>
      </c>
      <c r="AA52" s="220">
        <v>0</v>
      </c>
      <c r="AB52" s="220">
        <v>1000</v>
      </c>
      <c r="AC52" s="220">
        <v>0</v>
      </c>
      <c r="AD52" s="221">
        <f t="shared" si="51"/>
        <v>1000</v>
      </c>
      <c r="AE52" s="220">
        <f t="shared" si="6"/>
        <v>0</v>
      </c>
      <c r="AF52" s="221">
        <f t="shared" si="52"/>
        <v>1000</v>
      </c>
      <c r="AI52" s="457" t="str">
        <f>M52</f>
        <v>NC</v>
      </c>
      <c r="AJ52" s="222" t="str">
        <f>B52</f>
        <v>Mark to Market</v>
      </c>
      <c r="AK52" s="222"/>
      <c r="AL52" s="448"/>
      <c r="AM52" s="221">
        <f>AD52</f>
        <v>1000</v>
      </c>
      <c r="AN52" s="274">
        <v>-844</v>
      </c>
      <c r="AO52" s="274">
        <v>0</v>
      </c>
      <c r="AP52" s="221">
        <f t="shared" si="53"/>
        <v>1844</v>
      </c>
      <c r="AQ52" s="221">
        <f t="shared" si="54"/>
        <v>1000</v>
      </c>
      <c r="AS52" s="274">
        <v>0</v>
      </c>
      <c r="AT52" s="274">
        <v>0</v>
      </c>
      <c r="AU52" s="274">
        <v>0</v>
      </c>
      <c r="AV52" s="221">
        <f t="shared" si="55"/>
        <v>0</v>
      </c>
      <c r="AW52" s="221">
        <f t="shared" si="56"/>
        <v>0</v>
      </c>
      <c r="BI52" s="210"/>
      <c r="BJ52" s="210"/>
    </row>
    <row r="53" spans="1:62" ht="12" customHeight="1" x14ac:dyDescent="0.2">
      <c r="A53" s="218" t="s">
        <v>886</v>
      </c>
      <c r="B53" s="441" t="s">
        <v>946</v>
      </c>
      <c r="C53" s="219"/>
      <c r="D53" s="224" t="s">
        <v>888</v>
      </c>
      <c r="E53" s="218" t="s">
        <v>947</v>
      </c>
      <c r="F53" s="220">
        <v>0</v>
      </c>
      <c r="G53" s="220">
        <v>0</v>
      </c>
      <c r="H53" s="221">
        <f t="shared" si="47"/>
        <v>0</v>
      </c>
      <c r="I53" s="220">
        <v>0</v>
      </c>
      <c r="J53" s="221">
        <f t="shared" si="48"/>
        <v>0</v>
      </c>
      <c r="M53" s="448" t="str">
        <f t="shared" si="1"/>
        <v>NC</v>
      </c>
      <c r="N53" s="222" t="str">
        <f t="shared" si="2"/>
        <v>Pipe Recoating</v>
      </c>
      <c r="O53" s="222"/>
      <c r="P53" s="448" t="str">
        <f t="shared" si="43"/>
        <v>L</v>
      </c>
      <c r="Q53" s="482" t="str">
        <f t="shared" si="0"/>
        <v>174011</v>
      </c>
      <c r="R53" s="450">
        <f t="shared" ref="R53:AC53" si="59">R154</f>
        <v>-27</v>
      </c>
      <c r="S53" s="221">
        <f t="shared" si="59"/>
        <v>-27</v>
      </c>
      <c r="T53" s="221">
        <f t="shared" si="59"/>
        <v>-27</v>
      </c>
      <c r="U53" s="221">
        <f t="shared" si="59"/>
        <v>-27</v>
      </c>
      <c r="V53" s="221">
        <f t="shared" si="59"/>
        <v>-27</v>
      </c>
      <c r="W53" s="221">
        <f t="shared" si="59"/>
        <v>-27</v>
      </c>
      <c r="X53" s="221">
        <f t="shared" si="59"/>
        <v>-27</v>
      </c>
      <c r="Y53" s="221">
        <f t="shared" si="59"/>
        <v>-27</v>
      </c>
      <c r="Z53" s="221">
        <f t="shared" si="59"/>
        <v>-27</v>
      </c>
      <c r="AA53" s="221">
        <f t="shared" si="59"/>
        <v>-27</v>
      </c>
      <c r="AB53" s="221">
        <f t="shared" si="59"/>
        <v>-27</v>
      </c>
      <c r="AC53" s="221">
        <f t="shared" si="59"/>
        <v>-27</v>
      </c>
      <c r="AD53" s="221">
        <f t="shared" si="51"/>
        <v>-324</v>
      </c>
      <c r="AE53" s="220">
        <f t="shared" si="6"/>
        <v>-54</v>
      </c>
      <c r="AF53" s="221">
        <f t="shared" si="52"/>
        <v>-270</v>
      </c>
      <c r="AH53" s="223"/>
      <c r="AI53" s="457" t="str">
        <f t="shared" si="3"/>
        <v>NC</v>
      </c>
      <c r="AJ53" s="222" t="str">
        <f t="shared" si="4"/>
        <v>Pipe Recoating</v>
      </c>
      <c r="AK53" s="222"/>
      <c r="AL53" s="448"/>
      <c r="AM53" s="221">
        <f t="shared" si="5"/>
        <v>-324</v>
      </c>
      <c r="AN53" s="274">
        <v>-314</v>
      </c>
      <c r="AO53" s="274">
        <v>0</v>
      </c>
      <c r="AP53" s="221">
        <f t="shared" si="53"/>
        <v>-10</v>
      </c>
      <c r="AQ53" s="221">
        <f t="shared" si="54"/>
        <v>-324</v>
      </c>
      <c r="AR53" s="221"/>
      <c r="AS53" s="274">
        <v>0</v>
      </c>
      <c r="AT53" s="274">
        <v>0</v>
      </c>
      <c r="AU53" s="274">
        <v>-16</v>
      </c>
      <c r="AV53" s="221">
        <f t="shared" si="55"/>
        <v>0</v>
      </c>
      <c r="AW53" s="221">
        <f t="shared" si="56"/>
        <v>16</v>
      </c>
      <c r="BI53" s="210"/>
      <c r="BJ53" s="210"/>
    </row>
    <row r="54" spans="1:62" ht="12" customHeight="1" x14ac:dyDescent="0.2">
      <c r="A54" s="218" t="s">
        <v>886</v>
      </c>
      <c r="B54" s="441" t="s">
        <v>355</v>
      </c>
      <c r="C54" s="219"/>
      <c r="D54" s="224" t="s">
        <v>888</v>
      </c>
      <c r="E54" s="218">
        <v>176003</v>
      </c>
      <c r="F54" s="220">
        <v>0</v>
      </c>
      <c r="G54" s="220">
        <v>0</v>
      </c>
      <c r="H54" s="221">
        <f t="shared" si="47"/>
        <v>0</v>
      </c>
      <c r="I54" s="220">
        <v>0</v>
      </c>
      <c r="J54" s="221">
        <f t="shared" si="48"/>
        <v>0</v>
      </c>
      <c r="M54" s="448" t="str">
        <f t="shared" si="1"/>
        <v>NC</v>
      </c>
      <c r="N54" s="222" t="str">
        <f t="shared" si="2"/>
        <v>Bad Debt Expense / TIS Adjustments for Jan. &amp; Feb.</v>
      </c>
      <c r="O54" s="222"/>
      <c r="P54" s="448" t="str">
        <f t="shared" si="43"/>
        <v>L</v>
      </c>
      <c r="Q54" s="482">
        <f t="shared" si="0"/>
        <v>176003</v>
      </c>
      <c r="R54" s="220">
        <v>0</v>
      </c>
      <c r="S54" s="220">
        <v>0</v>
      </c>
      <c r="T54" s="220">
        <v>0</v>
      </c>
      <c r="U54" s="220">
        <v>0</v>
      </c>
      <c r="V54" s="220">
        <v>0</v>
      </c>
      <c r="W54" s="220">
        <v>0</v>
      </c>
      <c r="X54" s="220">
        <v>0</v>
      </c>
      <c r="Y54" s="220">
        <v>0</v>
      </c>
      <c r="Z54" s="220">
        <v>0</v>
      </c>
      <c r="AA54" s="220">
        <v>0</v>
      </c>
      <c r="AB54" s="220">
        <v>0</v>
      </c>
      <c r="AC54" s="220">
        <v>0</v>
      </c>
      <c r="AD54" s="221">
        <f t="shared" si="51"/>
        <v>0</v>
      </c>
      <c r="AE54" s="220">
        <f t="shared" si="6"/>
        <v>0</v>
      </c>
      <c r="AF54" s="221">
        <f t="shared" si="52"/>
        <v>0</v>
      </c>
      <c r="AH54" s="223"/>
      <c r="AI54" s="457" t="str">
        <f t="shared" si="3"/>
        <v>NC</v>
      </c>
      <c r="AJ54" s="222" t="str">
        <f t="shared" si="4"/>
        <v>Bad Debt Expense / TIS Adjustments for Jan. &amp; Feb.</v>
      </c>
      <c r="AK54" s="222"/>
      <c r="AL54" s="448"/>
      <c r="AM54" s="221">
        <f t="shared" si="5"/>
        <v>0</v>
      </c>
      <c r="AN54" s="274">
        <v>0</v>
      </c>
      <c r="AO54" s="274">
        <v>0</v>
      </c>
      <c r="AP54" s="221">
        <f t="shared" si="53"/>
        <v>0</v>
      </c>
      <c r="AQ54" s="221">
        <f t="shared" si="54"/>
        <v>0</v>
      </c>
      <c r="AR54" s="221"/>
      <c r="AS54" s="274">
        <v>0</v>
      </c>
      <c r="AT54" s="274">
        <v>0</v>
      </c>
      <c r="AU54" s="274">
        <v>0</v>
      </c>
      <c r="AV54" s="221">
        <f t="shared" si="55"/>
        <v>0</v>
      </c>
      <c r="AW54" s="221">
        <f t="shared" si="56"/>
        <v>0</v>
      </c>
      <c r="BI54" s="210"/>
      <c r="BJ54" s="210"/>
    </row>
    <row r="55" spans="1:62" ht="12" customHeight="1" x14ac:dyDescent="0.2">
      <c r="A55" s="218" t="s">
        <v>886</v>
      </c>
      <c r="B55" s="442" t="s">
        <v>948</v>
      </c>
      <c r="C55" s="227"/>
      <c r="D55" s="224" t="s">
        <v>888</v>
      </c>
      <c r="E55" s="218">
        <v>177038</v>
      </c>
      <c r="F55" s="220">
        <v>0</v>
      </c>
      <c r="G55" s="220">
        <v>0</v>
      </c>
      <c r="H55" s="221">
        <f>F55-G55</f>
        <v>0</v>
      </c>
      <c r="I55" s="220">
        <v>0</v>
      </c>
      <c r="J55" s="221">
        <f>H55-I55</f>
        <v>0</v>
      </c>
      <c r="M55" s="448" t="str">
        <f>A55</f>
        <v>NC</v>
      </c>
      <c r="N55" s="222" t="str">
        <f>B55</f>
        <v>Operation Information Costs Amortization</v>
      </c>
      <c r="O55" s="222"/>
      <c r="P55" s="448" t="str">
        <f>D55</f>
        <v>L</v>
      </c>
      <c r="Q55" s="482">
        <f>E55</f>
        <v>177038</v>
      </c>
      <c r="R55" s="523">
        <f>R146</f>
        <v>0</v>
      </c>
      <c r="S55" s="523">
        <f t="shared" ref="S55:AC55" si="60">S146</f>
        <v>0</v>
      </c>
      <c r="T55" s="523">
        <f t="shared" si="60"/>
        <v>0</v>
      </c>
      <c r="U55" s="523">
        <f t="shared" si="60"/>
        <v>0</v>
      </c>
      <c r="V55" s="523">
        <f t="shared" si="60"/>
        <v>0</v>
      </c>
      <c r="W55" s="523">
        <f t="shared" si="60"/>
        <v>0</v>
      </c>
      <c r="X55" s="523">
        <f t="shared" si="60"/>
        <v>0</v>
      </c>
      <c r="Y55" s="523">
        <f t="shared" si="60"/>
        <v>0</v>
      </c>
      <c r="Z55" s="523">
        <f t="shared" si="60"/>
        <v>0</v>
      </c>
      <c r="AA55" s="523">
        <f t="shared" si="60"/>
        <v>0</v>
      </c>
      <c r="AB55" s="523">
        <f t="shared" si="60"/>
        <v>0</v>
      </c>
      <c r="AC55" s="523">
        <f t="shared" si="60"/>
        <v>0</v>
      </c>
      <c r="AD55" s="221">
        <f>SUM(R55:AC55)</f>
        <v>0</v>
      </c>
      <c r="AE55" s="220">
        <f t="shared" si="6"/>
        <v>0</v>
      </c>
      <c r="AF55" s="221">
        <f>AD55-AE55</f>
        <v>0</v>
      </c>
      <c r="AH55" s="223"/>
      <c r="AI55" s="457" t="str">
        <f>M55</f>
        <v>NC</v>
      </c>
      <c r="AJ55" s="222" t="str">
        <f>B55</f>
        <v>Operation Information Costs Amortization</v>
      </c>
      <c r="AK55" s="222"/>
      <c r="AL55" s="448"/>
      <c r="AM55" s="221">
        <f>AD55</f>
        <v>0</v>
      </c>
      <c r="AN55" s="274">
        <v>-278</v>
      </c>
      <c r="AO55" s="274">
        <v>0</v>
      </c>
      <c r="AP55" s="221">
        <f>AM55-AN55</f>
        <v>278</v>
      </c>
      <c r="AQ55" s="221">
        <f>AM55-AO55</f>
        <v>0</v>
      </c>
      <c r="AS55" s="274">
        <v>0</v>
      </c>
      <c r="AT55" s="274">
        <v>0</v>
      </c>
      <c r="AU55" s="274">
        <v>-46</v>
      </c>
      <c r="AV55" s="221">
        <f>AS55-AT55</f>
        <v>0</v>
      </c>
      <c r="AW55" s="221">
        <f>AS55-AU55</f>
        <v>46</v>
      </c>
      <c r="BI55" s="210"/>
      <c r="BJ55" s="210"/>
    </row>
    <row r="56" spans="1:62" ht="12" customHeight="1" x14ac:dyDescent="0.2">
      <c r="A56" s="218" t="s">
        <v>886</v>
      </c>
      <c r="B56" s="227" t="s">
        <v>351</v>
      </c>
      <c r="C56" s="227"/>
      <c r="D56" s="224" t="s">
        <v>888</v>
      </c>
      <c r="E56" s="218">
        <v>195131</v>
      </c>
      <c r="F56" s="275">
        <v>0</v>
      </c>
      <c r="G56" s="275">
        <v>0</v>
      </c>
      <c r="H56" s="229">
        <f t="shared" si="47"/>
        <v>0</v>
      </c>
      <c r="I56" s="275">
        <v>0</v>
      </c>
      <c r="J56" s="229">
        <f t="shared" si="48"/>
        <v>0</v>
      </c>
      <c r="M56" s="448" t="str">
        <f t="shared" si="1"/>
        <v>NC</v>
      </c>
      <c r="N56" s="222" t="str">
        <f t="shared" si="2"/>
        <v>Ad Valorem Taxes</v>
      </c>
      <c r="O56" s="222"/>
      <c r="P56" s="448" t="str">
        <f t="shared" si="43"/>
        <v>L</v>
      </c>
      <c r="Q56" s="482">
        <f t="shared" si="0"/>
        <v>195131</v>
      </c>
      <c r="R56" s="549">
        <f>R131</f>
        <v>0</v>
      </c>
      <c r="S56" s="549">
        <f t="shared" ref="S56:AC56" si="61">S131</f>
        <v>0</v>
      </c>
      <c r="T56" s="549">
        <f t="shared" si="61"/>
        <v>0</v>
      </c>
      <c r="U56" s="549">
        <f t="shared" si="61"/>
        <v>0</v>
      </c>
      <c r="V56" s="549">
        <f t="shared" si="61"/>
        <v>0</v>
      </c>
      <c r="W56" s="549">
        <f t="shared" si="61"/>
        <v>0</v>
      </c>
      <c r="X56" s="549">
        <f t="shared" si="61"/>
        <v>0</v>
      </c>
      <c r="Y56" s="549">
        <f t="shared" si="61"/>
        <v>0</v>
      </c>
      <c r="Z56" s="549">
        <f t="shared" si="61"/>
        <v>0</v>
      </c>
      <c r="AA56" s="549">
        <f t="shared" si="61"/>
        <v>0</v>
      </c>
      <c r="AB56" s="549">
        <f t="shared" si="61"/>
        <v>0</v>
      </c>
      <c r="AC56" s="549">
        <f t="shared" si="61"/>
        <v>0</v>
      </c>
      <c r="AD56" s="229">
        <f t="shared" si="51"/>
        <v>0</v>
      </c>
      <c r="AE56" s="220">
        <f t="shared" si="6"/>
        <v>0</v>
      </c>
      <c r="AF56" s="229">
        <f t="shared" si="52"/>
        <v>0</v>
      </c>
      <c r="AG56" s="221"/>
      <c r="AI56" s="457" t="str">
        <f t="shared" si="3"/>
        <v>NC</v>
      </c>
      <c r="AJ56" s="222" t="str">
        <f t="shared" si="4"/>
        <v>Ad Valorem Taxes</v>
      </c>
      <c r="AK56" s="222"/>
      <c r="AL56" s="448"/>
      <c r="AM56" s="229">
        <f t="shared" si="5"/>
        <v>0</v>
      </c>
      <c r="AN56" s="276">
        <v>0</v>
      </c>
      <c r="AO56" s="276">
        <v>0</v>
      </c>
      <c r="AP56" s="229">
        <f t="shared" si="53"/>
        <v>0</v>
      </c>
      <c r="AQ56" s="229">
        <f t="shared" si="54"/>
        <v>0</v>
      </c>
      <c r="AS56" s="276">
        <v>0</v>
      </c>
      <c r="AT56" s="276">
        <v>0</v>
      </c>
      <c r="AU56" s="276">
        <v>0</v>
      </c>
      <c r="AV56" s="229">
        <f t="shared" si="55"/>
        <v>0</v>
      </c>
      <c r="AW56" s="229">
        <f t="shared" si="56"/>
        <v>0</v>
      </c>
      <c r="BI56" s="210"/>
      <c r="BJ56" s="210"/>
    </row>
    <row r="57" spans="1:62" ht="3.95" customHeight="1" x14ac:dyDescent="0.2">
      <c r="AE57" s="220"/>
      <c r="BI57" s="210"/>
      <c r="BJ57" s="210"/>
    </row>
    <row r="58" spans="1:62" ht="12" customHeight="1" x14ac:dyDescent="0.2">
      <c r="B58" s="441" t="s">
        <v>952</v>
      </c>
      <c r="C58" s="219"/>
      <c r="D58" s="206"/>
      <c r="F58" s="221">
        <f>SUM(F9:F10)</f>
        <v>0</v>
      </c>
      <c r="G58" s="221">
        <f>SUM(G9:G10)</f>
        <v>0</v>
      </c>
      <c r="H58" s="221">
        <f>SUM(H9:H10)</f>
        <v>0</v>
      </c>
      <c r="I58" s="221">
        <f>SUM(I9:I10)</f>
        <v>0</v>
      </c>
      <c r="J58" s="221">
        <f>SUM(J9:J10)</f>
        <v>0</v>
      </c>
      <c r="N58" s="222" t="str">
        <f>B58</f>
        <v xml:space="preserve">    Total - Current</v>
      </c>
      <c r="O58" s="222"/>
      <c r="P58" s="206"/>
      <c r="R58" s="221">
        <f t="shared" ref="R58:AF58" si="62">SUM(R9:R10)</f>
        <v>0</v>
      </c>
      <c r="S58" s="221">
        <f t="shared" si="62"/>
        <v>0</v>
      </c>
      <c r="T58" s="221">
        <f t="shared" si="62"/>
        <v>0</v>
      </c>
      <c r="U58" s="221">
        <f t="shared" si="62"/>
        <v>0</v>
      </c>
      <c r="V58" s="221">
        <f t="shared" si="62"/>
        <v>0</v>
      </c>
      <c r="W58" s="221">
        <f t="shared" si="62"/>
        <v>0</v>
      </c>
      <c r="X58" s="221">
        <f t="shared" si="62"/>
        <v>0</v>
      </c>
      <c r="Y58" s="221">
        <f t="shared" si="62"/>
        <v>0</v>
      </c>
      <c r="Z58" s="221">
        <f t="shared" si="62"/>
        <v>0</v>
      </c>
      <c r="AA58" s="221">
        <f t="shared" si="62"/>
        <v>0</v>
      </c>
      <c r="AB58" s="221">
        <f t="shared" si="62"/>
        <v>0</v>
      </c>
      <c r="AC58" s="221">
        <f t="shared" si="62"/>
        <v>0</v>
      </c>
      <c r="AD58" s="221">
        <f t="shared" si="62"/>
        <v>0</v>
      </c>
      <c r="AE58" s="221">
        <f t="shared" si="62"/>
        <v>0</v>
      </c>
      <c r="AF58" s="221">
        <f t="shared" si="62"/>
        <v>0</v>
      </c>
      <c r="AG58" s="223"/>
      <c r="AH58" s="223"/>
      <c r="AJ58" s="222" t="str">
        <f>B58</f>
        <v xml:space="preserve">    Total - Current</v>
      </c>
      <c r="AK58" s="222"/>
      <c r="AL58" s="206"/>
      <c r="AM58" s="221">
        <f>AD58</f>
        <v>0</v>
      </c>
      <c r="AN58" s="221">
        <f>SUM(AN9:AN10)</f>
        <v>0</v>
      </c>
      <c r="AO58" s="221">
        <f>SUM(AO9:AO10)</f>
        <v>0</v>
      </c>
      <c r="AP58" s="221">
        <f>SUM(AP9:AP10)</f>
        <v>0</v>
      </c>
      <c r="AQ58" s="221">
        <f>SUM(AQ9:AQ10)</f>
        <v>0</v>
      </c>
      <c r="AR58" s="221"/>
      <c r="AS58" s="221">
        <f>SUM(AS9:AS10)</f>
        <v>0</v>
      </c>
      <c r="AT58" s="221">
        <f>SUM(AT9:AT10)</f>
        <v>0</v>
      </c>
      <c r="AU58" s="221">
        <f>SUM(AU9:AU10)</f>
        <v>0</v>
      </c>
      <c r="AV58" s="221">
        <f>SUM(AV9:AV10)</f>
        <v>0</v>
      </c>
      <c r="AW58" s="221">
        <f>SUM(AW9:AW10)</f>
        <v>0</v>
      </c>
      <c r="BI58" s="210"/>
      <c r="BJ58" s="210"/>
    </row>
    <row r="59" spans="1:62" ht="12" customHeight="1" x14ac:dyDescent="0.2">
      <c r="B59" s="441" t="s">
        <v>953</v>
      </c>
      <c r="C59" s="219"/>
      <c r="D59" s="206"/>
      <c r="F59" s="229">
        <f>SUM(F11:F56)</f>
        <v>0</v>
      </c>
      <c r="G59" s="229">
        <f>SUM(G11:G56)</f>
        <v>0</v>
      </c>
      <c r="H59" s="229">
        <f>SUM(H11:H56)</f>
        <v>0</v>
      </c>
      <c r="I59" s="229">
        <f>SUM(I11:I56)</f>
        <v>0</v>
      </c>
      <c r="J59" s="229">
        <f>SUM(J11:J56)</f>
        <v>0</v>
      </c>
      <c r="N59" s="222" t="str">
        <f>B59</f>
        <v xml:space="preserve">            - Noncurrent</v>
      </c>
      <c r="O59" s="222"/>
      <c r="P59" s="206"/>
      <c r="R59" s="229">
        <f t="shared" ref="R59:AF59" si="63">SUM(R11:R56)</f>
        <v>1877</v>
      </c>
      <c r="S59" s="229">
        <f t="shared" si="63"/>
        <v>1948</v>
      </c>
      <c r="T59" s="229">
        <f t="shared" si="63"/>
        <v>1998</v>
      </c>
      <c r="U59" s="229">
        <f t="shared" si="63"/>
        <v>1481</v>
      </c>
      <c r="V59" s="229">
        <f t="shared" si="63"/>
        <v>3791</v>
      </c>
      <c r="W59" s="229">
        <f t="shared" si="63"/>
        <v>3368</v>
      </c>
      <c r="X59" s="229">
        <f t="shared" si="63"/>
        <v>1013</v>
      </c>
      <c r="Y59" s="229">
        <f t="shared" si="63"/>
        <v>1143</v>
      </c>
      <c r="Z59" s="229">
        <f t="shared" si="63"/>
        <v>4453</v>
      </c>
      <c r="AA59" s="229">
        <f t="shared" si="63"/>
        <v>1547</v>
      </c>
      <c r="AB59" s="229">
        <f t="shared" si="63"/>
        <v>343</v>
      </c>
      <c r="AC59" s="229">
        <f t="shared" si="63"/>
        <v>1968</v>
      </c>
      <c r="AD59" s="229">
        <f t="shared" si="63"/>
        <v>24930</v>
      </c>
      <c r="AE59" s="229">
        <f t="shared" si="63"/>
        <v>3825</v>
      </c>
      <c r="AF59" s="229">
        <f t="shared" si="63"/>
        <v>21105</v>
      </c>
      <c r="AG59" s="223"/>
      <c r="AH59" s="223"/>
      <c r="AJ59" s="222" t="str">
        <f>B59</f>
        <v xml:space="preserve">            - Noncurrent</v>
      </c>
      <c r="AK59" s="222"/>
      <c r="AL59" s="206"/>
      <c r="AM59" s="229">
        <f>AD59</f>
        <v>24930</v>
      </c>
      <c r="AN59" s="229">
        <f>SUM(AN11:AN56)</f>
        <v>79840</v>
      </c>
      <c r="AO59" s="229">
        <f>SUM(AO11:AO56)</f>
        <v>0</v>
      </c>
      <c r="AP59" s="229">
        <f>SUM(AP11:AP56)</f>
        <v>-54910</v>
      </c>
      <c r="AQ59" s="229">
        <f>SUM(AQ11:AQ56)</f>
        <v>24930</v>
      </c>
      <c r="AR59" s="221"/>
      <c r="AS59" s="229">
        <f>SUM(AS11:AS56)</f>
        <v>0</v>
      </c>
      <c r="AT59" s="229">
        <f>SUM(AT11:AT56)</f>
        <v>0</v>
      </c>
      <c r="AU59" s="229">
        <f>SUM(AU11:AU56)</f>
        <v>-10694</v>
      </c>
      <c r="AV59" s="229">
        <f>SUM(AV11:AV56)</f>
        <v>0</v>
      </c>
      <c r="AW59" s="229">
        <f>SUM(AW11:AW56)</f>
        <v>10694</v>
      </c>
      <c r="BI59" s="210"/>
      <c r="BJ59" s="210"/>
    </row>
    <row r="60" spans="1:62" ht="3.95" customHeight="1" x14ac:dyDescent="0.2">
      <c r="F60" s="230"/>
      <c r="G60" s="230"/>
      <c r="H60" s="230"/>
      <c r="I60" s="230"/>
      <c r="J60" s="230"/>
      <c r="R60" s="230"/>
      <c r="S60" s="230"/>
      <c r="T60" s="230"/>
      <c r="U60" s="230"/>
      <c r="V60" s="230"/>
      <c r="W60" s="230"/>
      <c r="X60" s="230"/>
      <c r="Y60" s="230"/>
      <c r="Z60" s="230"/>
      <c r="AA60" s="230"/>
      <c r="AB60" s="230"/>
      <c r="AC60" s="230"/>
      <c r="AD60" s="230"/>
      <c r="AE60" s="230"/>
      <c r="AF60" s="230"/>
      <c r="AM60" s="230"/>
      <c r="AN60" s="230"/>
      <c r="AO60" s="230"/>
      <c r="AP60" s="230"/>
      <c r="AQ60" s="230"/>
      <c r="AS60" s="230"/>
      <c r="AT60" s="230"/>
      <c r="AU60" s="230"/>
      <c r="AV60" s="230"/>
      <c r="AW60" s="230"/>
      <c r="BI60" s="210"/>
      <c r="BJ60" s="210"/>
    </row>
    <row r="61" spans="1:62" ht="12" customHeight="1" x14ac:dyDescent="0.2">
      <c r="B61" s="441" t="s">
        <v>962</v>
      </c>
      <c r="C61" s="219"/>
      <c r="D61" s="206"/>
      <c r="F61" s="229">
        <f>F58+F59</f>
        <v>0</v>
      </c>
      <c r="G61" s="229">
        <f>G58+G59</f>
        <v>0</v>
      </c>
      <c r="H61" s="229">
        <f>H58+H59</f>
        <v>0</v>
      </c>
      <c r="I61" s="229">
        <f>I58+I59</f>
        <v>0</v>
      </c>
      <c r="J61" s="229">
        <f>J58+J59</f>
        <v>0</v>
      </c>
      <c r="N61" s="222" t="str">
        <f>B61</f>
        <v xml:space="preserve">        Total Basis</v>
      </c>
      <c r="O61" s="222"/>
      <c r="P61" s="206"/>
      <c r="R61" s="229">
        <f t="shared" ref="R61:AF61" si="64">R58+R59</f>
        <v>1877</v>
      </c>
      <c r="S61" s="229">
        <f t="shared" si="64"/>
        <v>1948</v>
      </c>
      <c r="T61" s="229">
        <f t="shared" si="64"/>
        <v>1998</v>
      </c>
      <c r="U61" s="229">
        <f t="shared" si="64"/>
        <v>1481</v>
      </c>
      <c r="V61" s="229">
        <f t="shared" si="64"/>
        <v>3791</v>
      </c>
      <c r="W61" s="229">
        <f t="shared" si="64"/>
        <v>3368</v>
      </c>
      <c r="X61" s="229">
        <f t="shared" si="64"/>
        <v>1013</v>
      </c>
      <c r="Y61" s="229">
        <f t="shared" si="64"/>
        <v>1143</v>
      </c>
      <c r="Z61" s="229">
        <f t="shared" si="64"/>
        <v>4453</v>
      </c>
      <c r="AA61" s="229">
        <f t="shared" si="64"/>
        <v>1547</v>
      </c>
      <c r="AB61" s="229">
        <f t="shared" si="64"/>
        <v>343</v>
      </c>
      <c r="AC61" s="229">
        <f t="shared" si="64"/>
        <v>1968</v>
      </c>
      <c r="AD61" s="229">
        <f t="shared" si="64"/>
        <v>24930</v>
      </c>
      <c r="AE61" s="229">
        <f t="shared" si="64"/>
        <v>3825</v>
      </c>
      <c r="AF61" s="229">
        <f t="shared" si="64"/>
        <v>21105</v>
      </c>
      <c r="AG61" s="223"/>
      <c r="AH61" s="223"/>
      <c r="AJ61" s="222" t="str">
        <f>B61</f>
        <v xml:space="preserve">        Total Basis</v>
      </c>
      <c r="AK61" s="222"/>
      <c r="AL61" s="206"/>
      <c r="AM61" s="229">
        <f t="shared" ref="AM61:AW61" si="65">AM58+AM59</f>
        <v>24930</v>
      </c>
      <c r="AN61" s="229">
        <f t="shared" si="65"/>
        <v>79840</v>
      </c>
      <c r="AO61" s="229">
        <f t="shared" si="65"/>
        <v>0</v>
      </c>
      <c r="AP61" s="229">
        <f t="shared" si="65"/>
        <v>-54910</v>
      </c>
      <c r="AQ61" s="229">
        <f t="shared" si="65"/>
        <v>24930</v>
      </c>
      <c r="AR61" s="221"/>
      <c r="AS61" s="229">
        <f t="shared" si="65"/>
        <v>0</v>
      </c>
      <c r="AT61" s="229">
        <f t="shared" si="65"/>
        <v>0</v>
      </c>
      <c r="AU61" s="229">
        <f t="shared" si="65"/>
        <v>-10694</v>
      </c>
      <c r="AV61" s="229">
        <f t="shared" si="65"/>
        <v>0</v>
      </c>
      <c r="AW61" s="229">
        <f t="shared" si="65"/>
        <v>10694</v>
      </c>
      <c r="BI61" s="210"/>
      <c r="BJ61" s="210"/>
    </row>
    <row r="62" spans="1:62" ht="8.1" customHeight="1" x14ac:dyDescent="0.2">
      <c r="B62" s="206"/>
      <c r="C62" s="206"/>
      <c r="D62" s="206"/>
      <c r="N62" s="222"/>
      <c r="O62" s="222"/>
      <c r="P62" s="206"/>
      <c r="R62" s="221"/>
      <c r="S62" s="221"/>
      <c r="T62" s="221"/>
      <c r="U62" s="221"/>
      <c r="V62" s="221"/>
      <c r="W62" s="221"/>
      <c r="X62" s="221"/>
      <c r="Y62" s="221"/>
      <c r="Z62" s="221"/>
      <c r="AA62" s="221"/>
      <c r="AB62" s="221"/>
      <c r="AC62" s="221"/>
      <c r="AD62" s="221"/>
      <c r="AE62" s="221"/>
      <c r="AF62" s="221"/>
      <c r="AG62" s="223"/>
      <c r="AH62" s="223"/>
      <c r="AJ62" s="206"/>
      <c r="AK62" s="206"/>
      <c r="AL62" s="206"/>
      <c r="AM62" s="221"/>
      <c r="AN62" s="221"/>
      <c r="AO62" s="221"/>
      <c r="AP62" s="221"/>
      <c r="AQ62" s="221"/>
      <c r="AR62" s="221"/>
      <c r="AS62" s="221"/>
      <c r="AT62" s="221"/>
      <c r="AU62" s="221"/>
      <c r="AV62" s="221"/>
      <c r="AW62" s="221"/>
      <c r="BI62" s="210"/>
      <c r="BJ62" s="210"/>
    </row>
    <row r="63" spans="1:62" ht="12" customHeight="1" x14ac:dyDescent="0.2">
      <c r="B63" s="442" t="s">
        <v>963</v>
      </c>
      <c r="C63" s="227"/>
      <c r="F63" s="221">
        <f>ROUND(F58*0.3947,0)</f>
        <v>0</v>
      </c>
      <c r="G63" s="221">
        <f>ROUND(G58*0.3947,0)</f>
        <v>0</v>
      </c>
      <c r="H63" s="221">
        <f>F63-G63</f>
        <v>0</v>
      </c>
      <c r="I63" s="221">
        <f>ROUND(I58*0.3947,0)</f>
        <v>0</v>
      </c>
      <c r="J63" s="221">
        <f>H63-I63</f>
        <v>0</v>
      </c>
      <c r="N63" s="222" t="str">
        <f>B63</f>
        <v xml:space="preserve">    Current Deferred</v>
      </c>
      <c r="O63" s="222"/>
      <c r="P63" s="206"/>
      <c r="R63" s="221">
        <f>ROUND(R58*0.3947,0)</f>
        <v>0</v>
      </c>
      <c r="S63" s="221">
        <f t="shared" ref="S63:AC63" si="66">ROUND(S58*0.3947,0)</f>
        <v>0</v>
      </c>
      <c r="T63" s="221">
        <f t="shared" si="66"/>
        <v>0</v>
      </c>
      <c r="U63" s="221">
        <f t="shared" si="66"/>
        <v>0</v>
      </c>
      <c r="V63" s="221">
        <f t="shared" si="66"/>
        <v>0</v>
      </c>
      <c r="W63" s="221">
        <f t="shared" si="66"/>
        <v>0</v>
      </c>
      <c r="X63" s="221">
        <f t="shared" si="66"/>
        <v>0</v>
      </c>
      <c r="Y63" s="221">
        <f t="shared" si="66"/>
        <v>0</v>
      </c>
      <c r="Z63" s="221">
        <f t="shared" si="66"/>
        <v>0</v>
      </c>
      <c r="AA63" s="221">
        <f t="shared" si="66"/>
        <v>0</v>
      </c>
      <c r="AB63" s="221">
        <f t="shared" si="66"/>
        <v>0</v>
      </c>
      <c r="AC63" s="221">
        <f t="shared" si="66"/>
        <v>0</v>
      </c>
      <c r="AD63" s="221">
        <f>SUM(R63:AC63)</f>
        <v>0</v>
      </c>
      <c r="AE63" s="220">
        <f>SUM(R63:S63)</f>
        <v>0</v>
      </c>
      <c r="AF63" s="221">
        <f>AD63-AE63</f>
        <v>0</v>
      </c>
      <c r="AG63" s="223"/>
      <c r="AH63" s="223"/>
      <c r="AJ63" s="222" t="str">
        <f>B63</f>
        <v xml:space="preserve">    Current Deferred</v>
      </c>
      <c r="AK63" s="222"/>
      <c r="AL63" s="206"/>
      <c r="AM63" s="221">
        <f>AD63</f>
        <v>0</v>
      </c>
      <c r="AN63" s="221">
        <f>ROUND(AN58*0.399,0)</f>
        <v>0</v>
      </c>
      <c r="AO63" s="221">
        <f>ROUND(AO58*0.399,0)</f>
        <v>0</v>
      </c>
      <c r="AP63" s="221">
        <f>AM63-AN63</f>
        <v>0</v>
      </c>
      <c r="AQ63" s="221">
        <f>AM63-AO63</f>
        <v>0</v>
      </c>
      <c r="AR63" s="221"/>
      <c r="AS63" s="221">
        <f t="shared" ref="AS63:AU64" si="67">ROUND(AS58*0.399,0)</f>
        <v>0</v>
      </c>
      <c r="AT63" s="221">
        <f t="shared" si="67"/>
        <v>0</v>
      </c>
      <c r="AU63" s="221">
        <f t="shared" si="67"/>
        <v>0</v>
      </c>
      <c r="AV63" s="221">
        <f>AS63-AT63</f>
        <v>0</v>
      </c>
      <c r="AW63" s="221">
        <f>AS63-AU63</f>
        <v>0</v>
      </c>
      <c r="BI63" s="210"/>
      <c r="BJ63" s="210"/>
    </row>
    <row r="64" spans="1:62" ht="12" customHeight="1" x14ac:dyDescent="0.2">
      <c r="B64" s="442" t="s">
        <v>964</v>
      </c>
      <c r="C64" s="227"/>
      <c r="F64" s="229">
        <f>ROUND(F59*0.3947,0)</f>
        <v>0</v>
      </c>
      <c r="G64" s="229">
        <f>ROUND(G59*0.3947,0)</f>
        <v>0</v>
      </c>
      <c r="H64" s="229">
        <f>F64-G64</f>
        <v>0</v>
      </c>
      <c r="I64" s="229">
        <f>ROUND(I59*0.3947,0)</f>
        <v>0</v>
      </c>
      <c r="J64" s="229">
        <f>H64-I64</f>
        <v>0</v>
      </c>
      <c r="N64" s="222" t="str">
        <f>B64</f>
        <v xml:space="preserve">    Non-Current Deferred</v>
      </c>
      <c r="O64" s="222"/>
      <c r="P64" s="206"/>
      <c r="R64" s="229">
        <f>ROUND(R59*0.3947,0)</f>
        <v>741</v>
      </c>
      <c r="S64" s="229">
        <f t="shared" ref="S64:AC64" si="68">ROUND(S59*0.3947,0)</f>
        <v>769</v>
      </c>
      <c r="T64" s="229">
        <f t="shared" si="68"/>
        <v>789</v>
      </c>
      <c r="U64" s="229">
        <f t="shared" si="68"/>
        <v>585</v>
      </c>
      <c r="V64" s="229">
        <f t="shared" si="68"/>
        <v>1496</v>
      </c>
      <c r="W64" s="229">
        <f t="shared" si="68"/>
        <v>1329</v>
      </c>
      <c r="X64" s="229">
        <f t="shared" si="68"/>
        <v>400</v>
      </c>
      <c r="Y64" s="229">
        <f t="shared" si="68"/>
        <v>451</v>
      </c>
      <c r="Z64" s="229">
        <f t="shared" si="68"/>
        <v>1758</v>
      </c>
      <c r="AA64" s="229">
        <f t="shared" si="68"/>
        <v>611</v>
      </c>
      <c r="AB64" s="229">
        <f t="shared" si="68"/>
        <v>135</v>
      </c>
      <c r="AC64" s="229">
        <f t="shared" si="68"/>
        <v>777</v>
      </c>
      <c r="AD64" s="229">
        <f>SUM(R64:AC64)</f>
        <v>9841</v>
      </c>
      <c r="AE64" s="275">
        <f>SUM(R64:S64)</f>
        <v>1510</v>
      </c>
      <c r="AF64" s="229">
        <f>AD64-AE64</f>
        <v>8331</v>
      </c>
      <c r="AG64" s="223"/>
      <c r="AH64" s="223"/>
      <c r="AJ64" s="222" t="str">
        <f>B64</f>
        <v xml:space="preserve">    Non-Current Deferred</v>
      </c>
      <c r="AK64" s="222"/>
      <c r="AL64" s="206"/>
      <c r="AM64" s="229">
        <f>AD64</f>
        <v>9841</v>
      </c>
      <c r="AN64" s="275">
        <f>ROUND(AN59*0.3947,0)-1</f>
        <v>31512</v>
      </c>
      <c r="AO64" s="458">
        <f>ROUND(AO59*0.3947,0)</f>
        <v>0</v>
      </c>
      <c r="AP64" s="229">
        <f>AM64-AN64</f>
        <v>-21671</v>
      </c>
      <c r="AQ64" s="229">
        <f>AM64-AO64</f>
        <v>9841</v>
      </c>
      <c r="AR64" s="221"/>
      <c r="AS64" s="524">
        <f>ROUND(AS59*0.399,0)</f>
        <v>0</v>
      </c>
      <c r="AT64" s="524">
        <f>ROUND(AT59*0.399,0)</f>
        <v>0</v>
      </c>
      <c r="AU64" s="458">
        <f t="shared" si="67"/>
        <v>-4267</v>
      </c>
      <c r="AV64" s="229">
        <f>AS64-AT64</f>
        <v>0</v>
      </c>
      <c r="AW64" s="229">
        <f>AS64-AU64</f>
        <v>4267</v>
      </c>
      <c r="BI64" s="210"/>
      <c r="BJ64" s="210"/>
    </row>
    <row r="65" spans="1:62" ht="3.95" customHeight="1" x14ac:dyDescent="0.2">
      <c r="N65" s="222"/>
      <c r="O65" s="222"/>
      <c r="P65" s="206"/>
      <c r="R65" s="221"/>
      <c r="S65" s="221"/>
      <c r="T65" s="221"/>
      <c r="U65" s="221"/>
      <c r="V65" s="221"/>
      <c r="W65" s="221"/>
      <c r="X65" s="221"/>
      <c r="Y65" s="221"/>
      <c r="Z65" s="221"/>
      <c r="AA65" s="221"/>
      <c r="AB65" s="221"/>
      <c r="AC65" s="221"/>
      <c r="AD65" s="221"/>
      <c r="AE65" s="221"/>
      <c r="AF65" s="221"/>
      <c r="AJ65" s="206"/>
      <c r="AK65" s="206"/>
      <c r="AL65" s="206"/>
      <c r="AM65" s="221"/>
      <c r="AN65" s="221"/>
      <c r="AO65" s="221"/>
      <c r="AP65" s="221"/>
      <c r="AQ65" s="221"/>
      <c r="AR65" s="221"/>
      <c r="AS65" s="221"/>
      <c r="AT65" s="221"/>
      <c r="AU65" s="221"/>
      <c r="AV65" s="221"/>
      <c r="AW65" s="221"/>
      <c r="BI65" s="210"/>
      <c r="BJ65" s="210"/>
    </row>
    <row r="66" spans="1:62" ht="12" customHeight="1" x14ac:dyDescent="0.2">
      <c r="B66" s="441" t="s">
        <v>965</v>
      </c>
      <c r="C66" s="219"/>
      <c r="D66" s="206"/>
      <c r="F66" s="221">
        <f>F63+F64</f>
        <v>0</v>
      </c>
      <c r="G66" s="221">
        <f>G63+G64</f>
        <v>0</v>
      </c>
      <c r="H66" s="221">
        <f>H63+H64</f>
        <v>0</v>
      </c>
      <c r="I66" s="221">
        <f>I63+I64</f>
        <v>0</v>
      </c>
      <c r="J66" s="221">
        <f>J63+J64</f>
        <v>0</v>
      </c>
      <c r="N66" s="222" t="str">
        <f>B66</f>
        <v xml:space="preserve">        Subtotal Deferred Tax</v>
      </c>
      <c r="O66" s="222"/>
      <c r="P66" s="206"/>
      <c r="R66" s="221">
        <f t="shared" ref="R66:AD66" si="69">ROUND(+R63+R64,0)</f>
        <v>741</v>
      </c>
      <c r="S66" s="221">
        <f t="shared" si="69"/>
        <v>769</v>
      </c>
      <c r="T66" s="221">
        <f t="shared" si="69"/>
        <v>789</v>
      </c>
      <c r="U66" s="221">
        <f t="shared" si="69"/>
        <v>585</v>
      </c>
      <c r="V66" s="221">
        <f t="shared" si="69"/>
        <v>1496</v>
      </c>
      <c r="W66" s="221">
        <f t="shared" si="69"/>
        <v>1329</v>
      </c>
      <c r="X66" s="221">
        <f t="shared" si="69"/>
        <v>400</v>
      </c>
      <c r="Y66" s="221">
        <f t="shared" si="69"/>
        <v>451</v>
      </c>
      <c r="Z66" s="221">
        <f t="shared" si="69"/>
        <v>1758</v>
      </c>
      <c r="AA66" s="221">
        <f t="shared" si="69"/>
        <v>611</v>
      </c>
      <c r="AB66" s="221">
        <f t="shared" si="69"/>
        <v>135</v>
      </c>
      <c r="AC66" s="221">
        <f t="shared" si="69"/>
        <v>777</v>
      </c>
      <c r="AD66" s="221">
        <f t="shared" si="69"/>
        <v>9841</v>
      </c>
      <c r="AE66" s="221">
        <f>AE63+AE64</f>
        <v>1510</v>
      </c>
      <c r="AF66" s="221">
        <f>AF63+AF64</f>
        <v>8331</v>
      </c>
      <c r="AG66" s="223"/>
      <c r="AH66" s="223"/>
      <c r="AJ66" s="222" t="str">
        <f>B66</f>
        <v xml:space="preserve">        Subtotal Deferred Tax</v>
      </c>
      <c r="AK66" s="222"/>
      <c r="AL66" s="206"/>
      <c r="AM66" s="221">
        <f>AM63+AM64</f>
        <v>9841</v>
      </c>
      <c r="AN66" s="221">
        <f>+AN63+AN64</f>
        <v>31512</v>
      </c>
      <c r="AO66" s="221">
        <f>+AO63+AO64</f>
        <v>0</v>
      </c>
      <c r="AP66" s="221">
        <f>+AP63+AP64</f>
        <v>-21671</v>
      </c>
      <c r="AQ66" s="221">
        <f>+AQ63+AQ64</f>
        <v>9841</v>
      </c>
      <c r="AR66" s="221"/>
      <c r="AS66" s="221">
        <f>+AS63+AS64</f>
        <v>0</v>
      </c>
      <c r="AT66" s="221">
        <f>+AT63+AT64</f>
        <v>0</v>
      </c>
      <c r="AU66" s="221">
        <f>+AU63+AU64</f>
        <v>-4267</v>
      </c>
      <c r="AV66" s="221">
        <f>+AV63+AV64</f>
        <v>0</v>
      </c>
      <c r="AW66" s="221">
        <f>+AW63+AW64</f>
        <v>4267</v>
      </c>
      <c r="BC66" s="223"/>
      <c r="BI66" s="210"/>
      <c r="BJ66" s="210"/>
    </row>
    <row r="67" spans="1:62" ht="12" customHeight="1" x14ac:dyDescent="0.2">
      <c r="D67" s="206"/>
      <c r="F67" s="220"/>
      <c r="G67" s="220"/>
      <c r="H67" s="220"/>
      <c r="I67" s="220"/>
      <c r="J67" s="221"/>
      <c r="N67" s="222"/>
      <c r="O67" s="222"/>
      <c r="P67" s="206"/>
      <c r="R67" s="221"/>
      <c r="S67" s="221"/>
      <c r="T67" s="221"/>
      <c r="U67" s="221"/>
      <c r="V67" s="221"/>
      <c r="W67" s="221"/>
      <c r="X67" s="221"/>
      <c r="Y67" s="221"/>
      <c r="Z67" s="221"/>
      <c r="AA67" s="221"/>
      <c r="AB67" s="221"/>
      <c r="AC67" s="221"/>
      <c r="AD67" s="221"/>
      <c r="AE67" s="221"/>
      <c r="AF67" s="221"/>
      <c r="AJ67" s="206"/>
      <c r="AK67" s="206"/>
      <c r="AL67" s="206"/>
      <c r="AM67" s="221"/>
      <c r="AN67" s="221"/>
      <c r="AO67" s="221"/>
      <c r="AP67" s="221"/>
      <c r="AQ67" s="221"/>
      <c r="AR67" s="221"/>
      <c r="AS67" s="221"/>
      <c r="AT67" s="221"/>
      <c r="AU67" s="221"/>
      <c r="AV67" s="221"/>
      <c r="AW67" s="221"/>
      <c r="BI67" s="210"/>
      <c r="BJ67" s="210"/>
    </row>
    <row r="68" spans="1:62" ht="12" customHeight="1" x14ac:dyDescent="0.2">
      <c r="B68" s="443" t="s">
        <v>966</v>
      </c>
      <c r="C68" s="231"/>
      <c r="D68" s="206"/>
      <c r="F68" s="220"/>
      <c r="G68" s="220"/>
      <c r="H68" s="220"/>
      <c r="I68" s="220"/>
      <c r="J68" s="221"/>
      <c r="N68" s="232" t="str">
        <f t="shared" ref="N68:N78" si="70">B68</f>
        <v xml:space="preserve">Adjustments (Net of Tax) </v>
      </c>
      <c r="O68" s="232"/>
      <c r="P68" s="206"/>
      <c r="R68" s="221"/>
      <c r="S68" s="221"/>
      <c r="T68" s="221"/>
      <c r="U68" s="221"/>
      <c r="V68" s="221"/>
      <c r="W68" s="221"/>
      <c r="X68" s="221"/>
      <c r="Y68" s="221"/>
      <c r="Z68" s="221"/>
      <c r="AA68" s="221"/>
      <c r="AB68" s="221"/>
      <c r="AC68" s="221"/>
      <c r="AD68" s="221"/>
      <c r="AJ68" s="232" t="str">
        <f t="shared" ref="AJ68:AJ78" si="71">B68</f>
        <v xml:space="preserve">Adjustments (Net of Tax) </v>
      </c>
      <c r="AK68" s="232"/>
      <c r="AL68" s="206"/>
      <c r="AM68" s="220"/>
      <c r="AN68" s="221"/>
      <c r="AO68" s="233"/>
      <c r="AP68" s="221"/>
      <c r="AQ68" s="221"/>
      <c r="AR68" s="221"/>
      <c r="AS68" s="220"/>
      <c r="AT68" s="221"/>
      <c r="AU68" s="233"/>
      <c r="AV68" s="221"/>
      <c r="AW68" s="221"/>
      <c r="BI68" s="210"/>
      <c r="BJ68" s="210"/>
    </row>
    <row r="69" spans="1:62" ht="12" customHeight="1" x14ac:dyDescent="0.2">
      <c r="A69" s="218" t="s">
        <v>886</v>
      </c>
      <c r="B69" s="442" t="s">
        <v>1106</v>
      </c>
      <c r="C69" s="643"/>
      <c r="F69" s="220">
        <v>0</v>
      </c>
      <c r="G69" s="220">
        <v>0</v>
      </c>
      <c r="H69" s="221">
        <f t="shared" ref="H69:H78" si="72">F69-G69</f>
        <v>0</v>
      </c>
      <c r="I69" s="220">
        <v>0</v>
      </c>
      <c r="J69" s="221">
        <f t="shared" ref="J69:J78" si="73">H69-I69</f>
        <v>0</v>
      </c>
      <c r="M69" s="448" t="str">
        <f t="shared" ref="M69:M78" si="74">A69</f>
        <v>NC</v>
      </c>
      <c r="N69" s="222" t="str">
        <f t="shared" si="70"/>
        <v>Investment Tax Credit / Rounding</v>
      </c>
      <c r="O69" s="222"/>
      <c r="R69" s="220">
        <v>-4</v>
      </c>
      <c r="S69" s="220">
        <v>-4</v>
      </c>
      <c r="T69" s="220">
        <v>-4</v>
      </c>
      <c r="U69" s="220">
        <v>-4</v>
      </c>
      <c r="V69" s="220">
        <v>-4</v>
      </c>
      <c r="W69" s="220">
        <v>-4</v>
      </c>
      <c r="X69" s="220">
        <v>-4</v>
      </c>
      <c r="Y69" s="220">
        <v>-4</v>
      </c>
      <c r="Z69" s="220">
        <v>-4</v>
      </c>
      <c r="AA69" s="220">
        <v>-4</v>
      </c>
      <c r="AB69" s="220">
        <v>-4</v>
      </c>
      <c r="AC69" s="220">
        <v>-4</v>
      </c>
      <c r="AD69" s="221">
        <f t="shared" ref="AD69:AD78" si="75">SUM(R69:AC69)</f>
        <v>-48</v>
      </c>
      <c r="AE69" s="220">
        <f t="shared" ref="AE69:AE78" si="76">SUM(R69:S69)</f>
        <v>-8</v>
      </c>
      <c r="AF69" s="221">
        <f t="shared" ref="AF69:AF78" si="77">AD69-AE69</f>
        <v>-40</v>
      </c>
      <c r="AI69" s="202" t="str">
        <f t="shared" ref="AI69:AI78" si="78">M69</f>
        <v>NC</v>
      </c>
      <c r="AJ69" s="222" t="str">
        <f t="shared" si="71"/>
        <v>Investment Tax Credit / Rounding</v>
      </c>
      <c r="AK69" s="222"/>
      <c r="AM69" s="221">
        <f t="shared" ref="AM69:AM78" si="79">AD69</f>
        <v>-48</v>
      </c>
      <c r="AN69" s="274">
        <v>-46</v>
      </c>
      <c r="AO69" s="274">
        <v>0</v>
      </c>
      <c r="AP69" s="221">
        <f t="shared" ref="AP69:AP78" si="80">AM69-AN69</f>
        <v>-2</v>
      </c>
      <c r="AQ69" s="221">
        <f t="shared" ref="AQ69:AQ78" si="81">AM69-AO69</f>
        <v>-48</v>
      </c>
      <c r="AS69" s="274">
        <v>0</v>
      </c>
      <c r="AT69" s="274">
        <v>0</v>
      </c>
      <c r="AU69" s="274">
        <v>0</v>
      </c>
      <c r="AV69" s="221">
        <f t="shared" ref="AV69:AV78" si="82">AS69-AT69</f>
        <v>0</v>
      </c>
      <c r="AW69" s="221">
        <f t="shared" ref="AW69:AW78" si="83">AS69-AU69</f>
        <v>0</v>
      </c>
      <c r="BI69" s="210"/>
      <c r="BJ69" s="210"/>
    </row>
    <row r="70" spans="1:62" ht="12" customHeight="1" x14ac:dyDescent="0.2">
      <c r="A70" s="218" t="s">
        <v>886</v>
      </c>
      <c r="B70" s="219" t="s">
        <v>1117</v>
      </c>
      <c r="C70" s="643"/>
      <c r="F70" s="220">
        <v>0</v>
      </c>
      <c r="G70" s="220">
        <v>0</v>
      </c>
      <c r="H70" s="221">
        <f t="shared" si="72"/>
        <v>0</v>
      </c>
      <c r="I70" s="220">
        <v>0</v>
      </c>
      <c r="J70" s="221">
        <f t="shared" si="73"/>
        <v>0</v>
      </c>
      <c r="M70" s="448" t="str">
        <f t="shared" si="74"/>
        <v>NC</v>
      </c>
      <c r="N70" s="222" t="str">
        <f t="shared" si="70"/>
        <v xml:space="preserve">Other </v>
      </c>
      <c r="O70" s="222"/>
      <c r="R70" s="220">
        <v>0</v>
      </c>
      <c r="S70" s="220">
        <v>0</v>
      </c>
      <c r="T70" s="220">
        <v>0</v>
      </c>
      <c r="U70" s="220">
        <v>0</v>
      </c>
      <c r="V70" s="220">
        <v>0</v>
      </c>
      <c r="W70" s="220">
        <v>0</v>
      </c>
      <c r="X70" s="220">
        <v>0</v>
      </c>
      <c r="Y70" s="220">
        <v>0</v>
      </c>
      <c r="Z70" s="220">
        <v>0</v>
      </c>
      <c r="AA70" s="220">
        <v>0</v>
      </c>
      <c r="AB70" s="220">
        <v>0</v>
      </c>
      <c r="AC70" s="220">
        <v>0</v>
      </c>
      <c r="AD70" s="221">
        <f t="shared" si="75"/>
        <v>0</v>
      </c>
      <c r="AE70" s="220">
        <f t="shared" si="76"/>
        <v>0</v>
      </c>
      <c r="AF70" s="221">
        <f t="shared" si="77"/>
        <v>0</v>
      </c>
      <c r="AI70" s="202" t="str">
        <f t="shared" si="78"/>
        <v>NC</v>
      </c>
      <c r="AJ70" s="222" t="str">
        <f t="shared" si="71"/>
        <v xml:space="preserve">Other </v>
      </c>
      <c r="AK70" s="222"/>
      <c r="AM70" s="221">
        <f t="shared" si="79"/>
        <v>0</v>
      </c>
      <c r="AN70" s="274">
        <v>0</v>
      </c>
      <c r="AO70" s="274">
        <v>0</v>
      </c>
      <c r="AP70" s="221">
        <f t="shared" si="80"/>
        <v>0</v>
      </c>
      <c r="AQ70" s="221">
        <f t="shared" si="81"/>
        <v>0</v>
      </c>
      <c r="AS70" s="274">
        <v>0</v>
      </c>
      <c r="AT70" s="274">
        <v>0</v>
      </c>
      <c r="AU70" s="274">
        <v>-37</v>
      </c>
      <c r="AV70" s="221">
        <f t="shared" si="82"/>
        <v>0</v>
      </c>
      <c r="AW70" s="221">
        <f t="shared" si="83"/>
        <v>37</v>
      </c>
      <c r="BI70" s="210"/>
      <c r="BJ70" s="210"/>
    </row>
    <row r="71" spans="1:62" ht="12" customHeight="1" x14ac:dyDescent="0.2">
      <c r="A71" s="218" t="s">
        <v>886</v>
      </c>
      <c r="B71" s="441" t="s">
        <v>356</v>
      </c>
      <c r="C71" s="643"/>
      <c r="D71" s="206"/>
      <c r="F71" s="220">
        <v>0</v>
      </c>
      <c r="G71" s="220">
        <v>0</v>
      </c>
      <c r="H71" s="221">
        <f>F71-G71</f>
        <v>0</v>
      </c>
      <c r="I71" s="220">
        <v>0</v>
      </c>
      <c r="J71" s="221">
        <f>H71-I71</f>
        <v>0</v>
      </c>
      <c r="M71" s="448" t="str">
        <f>A71</f>
        <v>NC</v>
      </c>
      <c r="N71" s="222" t="str">
        <f>B71</f>
        <v>Subsidiaries Taxes - Black Marlin (Co.53K)</v>
      </c>
      <c r="O71" s="222"/>
      <c r="R71" s="220">
        <v>-9</v>
      </c>
      <c r="S71" s="220">
        <v>-9</v>
      </c>
      <c r="T71" s="220">
        <v>-9</v>
      </c>
      <c r="U71" s="220">
        <v>-9</v>
      </c>
      <c r="V71" s="220">
        <v>-9</v>
      </c>
      <c r="W71" s="220">
        <v>-10</v>
      </c>
      <c r="X71" s="220">
        <v>-9</v>
      </c>
      <c r="Y71" s="220">
        <v>-9</v>
      </c>
      <c r="Z71" s="220">
        <v>-9</v>
      </c>
      <c r="AA71" s="220">
        <v>-9</v>
      </c>
      <c r="AB71" s="220">
        <v>-9</v>
      </c>
      <c r="AC71" s="220">
        <v>-9</v>
      </c>
      <c r="AD71" s="221">
        <f>SUM(R71:AC71)</f>
        <v>-109</v>
      </c>
      <c r="AE71" s="220">
        <f t="shared" si="76"/>
        <v>-18</v>
      </c>
      <c r="AF71" s="221">
        <f>AD71-AE71</f>
        <v>-91</v>
      </c>
      <c r="AI71" s="202" t="str">
        <f>M71</f>
        <v>NC</v>
      </c>
      <c r="AJ71" s="222" t="str">
        <f>B71</f>
        <v>Subsidiaries Taxes - Black Marlin (Co.53K)</v>
      </c>
      <c r="AK71" s="222"/>
      <c r="AM71" s="221">
        <f>AD71</f>
        <v>-109</v>
      </c>
      <c r="AN71" s="274">
        <v>-109</v>
      </c>
      <c r="AO71" s="274">
        <v>0</v>
      </c>
      <c r="AP71" s="221">
        <f>AM71-AN71</f>
        <v>0</v>
      </c>
      <c r="AQ71" s="221">
        <f>AM71-AO71</f>
        <v>-109</v>
      </c>
      <c r="AS71" s="274">
        <v>0</v>
      </c>
      <c r="AT71" s="274">
        <v>0</v>
      </c>
      <c r="AU71" s="274">
        <v>0</v>
      </c>
      <c r="AV71" s="221">
        <f>AS71-AT71</f>
        <v>0</v>
      </c>
      <c r="AW71" s="221">
        <f>AS71-AU71</f>
        <v>0</v>
      </c>
      <c r="BI71" s="210"/>
      <c r="BJ71" s="210"/>
    </row>
    <row r="72" spans="1:62" ht="12" customHeight="1" x14ac:dyDescent="0.2">
      <c r="A72" s="218" t="s">
        <v>886</v>
      </c>
      <c r="B72" s="441" t="s">
        <v>1227</v>
      </c>
      <c r="C72" s="643"/>
      <c r="D72" s="206"/>
      <c r="F72" s="220">
        <v>0</v>
      </c>
      <c r="G72" s="220">
        <v>0</v>
      </c>
      <c r="H72" s="221">
        <f t="shared" si="72"/>
        <v>0</v>
      </c>
      <c r="I72" s="220">
        <v>0</v>
      </c>
      <c r="J72" s="221">
        <f t="shared" si="73"/>
        <v>0</v>
      </c>
      <c r="M72" s="448" t="str">
        <f t="shared" si="74"/>
        <v>NC</v>
      </c>
      <c r="N72" s="222" t="str">
        <f t="shared" si="70"/>
        <v xml:space="preserve">                             - Trailblazer (Co.183) </v>
      </c>
      <c r="O72" s="222"/>
      <c r="P72" s="206"/>
      <c r="R72" s="220">
        <f>ROUND(-OtherInc!C12*0.3947,0)+29</f>
        <v>-85</v>
      </c>
      <c r="S72" s="220">
        <f>ROUND(-OtherInc!D12*0.3947,0)+29</f>
        <v>-84</v>
      </c>
      <c r="T72" s="220">
        <f>ROUND(-OtherInc!E12*0.3947,0)+29</f>
        <v>-85</v>
      </c>
      <c r="U72" s="220">
        <f>ROUND(-OtherInc!F12*0.3947,0)+29</f>
        <v>-84</v>
      </c>
      <c r="V72" s="220">
        <f>ROUND(-OtherInc!G12*0.3947,0)+27</f>
        <v>-85</v>
      </c>
      <c r="W72" s="220">
        <f>ROUND(-OtherInc!H12*0.3947,0)+29</f>
        <v>-305</v>
      </c>
      <c r="X72" s="220">
        <f>ROUND(-OtherInc!I12*0.3947,0)+29</f>
        <v>-305</v>
      </c>
      <c r="Y72" s="220">
        <f>ROUND(-OtherInc!J12*0.3947,0)+29</f>
        <v>-252</v>
      </c>
      <c r="Z72" s="220">
        <f>ROUND(-OtherInc!K12*0.3947,0)+29</f>
        <v>-251</v>
      </c>
      <c r="AA72" s="220">
        <f>ROUND(-OtherInc!L12*0.3947,0)+29</f>
        <v>-240</v>
      </c>
      <c r="AB72" s="220">
        <f>ROUND(-OtherInc!M12*0.3947,0)+29</f>
        <v>-248</v>
      </c>
      <c r="AC72" s="220">
        <f>ROUND(-OtherInc!N12*0.3947,0)+30</f>
        <v>-248</v>
      </c>
      <c r="AD72" s="221">
        <f t="shared" si="75"/>
        <v>-2272</v>
      </c>
      <c r="AE72" s="220">
        <f t="shared" si="76"/>
        <v>-169</v>
      </c>
      <c r="AF72" s="221">
        <f t="shared" si="77"/>
        <v>-2103</v>
      </c>
      <c r="AH72" s="223"/>
      <c r="AI72" s="202" t="str">
        <f t="shared" si="78"/>
        <v>NC</v>
      </c>
      <c r="AJ72" s="222" t="str">
        <f t="shared" si="71"/>
        <v xml:space="preserve">                             - Trailblazer (Co.183) </v>
      </c>
      <c r="AK72" s="222"/>
      <c r="AL72" s="206"/>
      <c r="AM72" s="221">
        <f t="shared" si="79"/>
        <v>-2272</v>
      </c>
      <c r="AN72" s="274">
        <v>-1029</v>
      </c>
      <c r="AO72" s="274">
        <v>0</v>
      </c>
      <c r="AP72" s="221">
        <f t="shared" si="80"/>
        <v>-1243</v>
      </c>
      <c r="AQ72" s="221">
        <f t="shared" si="81"/>
        <v>-2272</v>
      </c>
      <c r="AR72" s="221"/>
      <c r="AS72" s="274">
        <v>0</v>
      </c>
      <c r="AT72" s="274">
        <v>0</v>
      </c>
      <c r="AU72" s="274">
        <v>-112</v>
      </c>
      <c r="AV72" s="221">
        <f t="shared" si="82"/>
        <v>0</v>
      </c>
      <c r="AW72" s="221">
        <f t="shared" si="83"/>
        <v>112</v>
      </c>
      <c r="BI72" s="210"/>
      <c r="BJ72" s="210"/>
    </row>
    <row r="73" spans="1:62" ht="12" customHeight="1" x14ac:dyDescent="0.2">
      <c r="A73" s="218" t="s">
        <v>886</v>
      </c>
      <c r="B73" s="441" t="s">
        <v>1063</v>
      </c>
      <c r="C73" s="219"/>
      <c r="D73" s="644" t="s">
        <v>967</v>
      </c>
      <c r="F73" s="220">
        <v>0</v>
      </c>
      <c r="G73" s="220">
        <v>0</v>
      </c>
      <c r="H73" s="221">
        <f t="shared" si="72"/>
        <v>0</v>
      </c>
      <c r="I73" s="220">
        <v>0</v>
      </c>
      <c r="J73" s="221">
        <f t="shared" si="73"/>
        <v>0</v>
      </c>
      <c r="M73" s="448" t="str">
        <f t="shared" si="74"/>
        <v>NC</v>
      </c>
      <c r="N73" s="222" t="str">
        <f t="shared" si="70"/>
        <v>Amended 1996-199? Tax Return Adjustments</v>
      </c>
      <c r="O73" s="222"/>
      <c r="P73" s="644" t="str">
        <f>D73</f>
        <v>Cash Flow Link</v>
      </c>
      <c r="R73" s="220">
        <v>0</v>
      </c>
      <c r="S73" s="220">
        <v>0</v>
      </c>
      <c r="T73" s="220">
        <v>0</v>
      </c>
      <c r="U73" s="220">
        <v>0</v>
      </c>
      <c r="V73" s="220">
        <v>0</v>
      </c>
      <c r="W73" s="220">
        <v>0</v>
      </c>
      <c r="X73" s="220">
        <v>0</v>
      </c>
      <c r="Y73" s="220">
        <v>0</v>
      </c>
      <c r="Z73" s="220">
        <v>0</v>
      </c>
      <c r="AA73" s="220">
        <v>0</v>
      </c>
      <c r="AB73" s="220">
        <v>0</v>
      </c>
      <c r="AC73" s="220">
        <v>0</v>
      </c>
      <c r="AD73" s="221">
        <f t="shared" si="75"/>
        <v>0</v>
      </c>
      <c r="AE73" s="220">
        <f t="shared" si="76"/>
        <v>0</v>
      </c>
      <c r="AF73" s="221">
        <f t="shared" si="77"/>
        <v>0</v>
      </c>
      <c r="AI73" s="202" t="str">
        <f t="shared" si="78"/>
        <v>NC</v>
      </c>
      <c r="AJ73" s="222" t="str">
        <f t="shared" si="71"/>
        <v>Amended 1996-199? Tax Return Adjustments</v>
      </c>
      <c r="AK73" s="222"/>
      <c r="AL73" s="206"/>
      <c r="AM73" s="221">
        <f t="shared" si="79"/>
        <v>0</v>
      </c>
      <c r="AN73" s="274">
        <v>0</v>
      </c>
      <c r="AO73" s="274">
        <v>0</v>
      </c>
      <c r="AP73" s="221">
        <f t="shared" si="80"/>
        <v>0</v>
      </c>
      <c r="AQ73" s="221">
        <f t="shared" si="81"/>
        <v>0</v>
      </c>
      <c r="AR73" s="221"/>
      <c r="AS73" s="274">
        <v>0</v>
      </c>
      <c r="AT73" s="274">
        <v>0</v>
      </c>
      <c r="AU73" s="274">
        <v>0</v>
      </c>
      <c r="AV73" s="221">
        <f t="shared" si="82"/>
        <v>0</v>
      </c>
      <c r="AW73" s="221">
        <f t="shared" si="83"/>
        <v>0</v>
      </c>
      <c r="BI73" s="210"/>
      <c r="BJ73" s="210"/>
    </row>
    <row r="74" spans="1:62" ht="12" customHeight="1" x14ac:dyDescent="0.2">
      <c r="A74" s="218" t="s">
        <v>886</v>
      </c>
      <c r="B74" s="441" t="s">
        <v>86</v>
      </c>
      <c r="C74" s="219"/>
      <c r="D74" s="644" t="s">
        <v>967</v>
      </c>
      <c r="F74" s="220">
        <v>0</v>
      </c>
      <c r="G74" s="220">
        <v>0</v>
      </c>
      <c r="H74" s="221">
        <f t="shared" si="72"/>
        <v>0</v>
      </c>
      <c r="I74" s="220">
        <v>0</v>
      </c>
      <c r="J74" s="221">
        <f t="shared" si="73"/>
        <v>0</v>
      </c>
      <c r="M74" s="448" t="str">
        <f t="shared" si="74"/>
        <v>NC</v>
      </c>
      <c r="N74" s="222" t="str">
        <f t="shared" si="70"/>
        <v>Excess Deferred Taxes (FAS 109 Payback to Corp.) B.S. Item</v>
      </c>
      <c r="O74" s="222"/>
      <c r="P74" s="644" t="str">
        <f>D74</f>
        <v>Cash Flow Link</v>
      </c>
      <c r="R74" s="220">
        <v>0</v>
      </c>
      <c r="S74" s="220">
        <v>0</v>
      </c>
      <c r="T74" s="220">
        <v>0</v>
      </c>
      <c r="U74" s="220">
        <v>0</v>
      </c>
      <c r="V74" s="220">
        <v>0</v>
      </c>
      <c r="W74" s="220">
        <v>0</v>
      </c>
      <c r="X74" s="220">
        <v>0</v>
      </c>
      <c r="Y74" s="220">
        <v>0</v>
      </c>
      <c r="Z74" s="220">
        <v>0</v>
      </c>
      <c r="AA74" s="220">
        <v>0</v>
      </c>
      <c r="AB74" s="220">
        <v>0</v>
      </c>
      <c r="AC74" s="220">
        <v>0</v>
      </c>
      <c r="AD74" s="221">
        <f t="shared" si="75"/>
        <v>0</v>
      </c>
      <c r="AE74" s="220">
        <f t="shared" si="76"/>
        <v>0</v>
      </c>
      <c r="AF74" s="221">
        <f t="shared" si="77"/>
        <v>0</v>
      </c>
      <c r="AI74" s="202" t="str">
        <f t="shared" si="78"/>
        <v>NC</v>
      </c>
      <c r="AJ74" s="222" t="str">
        <f t="shared" si="71"/>
        <v>Excess Deferred Taxes (FAS 109 Payback to Corp.) B.S. Item</v>
      </c>
      <c r="AK74" s="222"/>
      <c r="AL74" s="206"/>
      <c r="AM74" s="221">
        <f t="shared" si="79"/>
        <v>0</v>
      </c>
      <c r="AN74" s="274">
        <v>0</v>
      </c>
      <c r="AO74" s="274">
        <v>0</v>
      </c>
      <c r="AP74" s="221">
        <f t="shared" si="80"/>
        <v>0</v>
      </c>
      <c r="AQ74" s="221">
        <f t="shared" si="81"/>
        <v>0</v>
      </c>
      <c r="AR74" s="221"/>
      <c r="AS74" s="274">
        <v>0</v>
      </c>
      <c r="AT74" s="274">
        <v>0</v>
      </c>
      <c r="AU74" s="274">
        <v>0</v>
      </c>
      <c r="AV74" s="221">
        <f t="shared" si="82"/>
        <v>0</v>
      </c>
      <c r="AW74" s="221">
        <f t="shared" si="83"/>
        <v>0</v>
      </c>
      <c r="BI74" s="210"/>
      <c r="BJ74" s="210"/>
    </row>
    <row r="75" spans="1:62" ht="12" customHeight="1" x14ac:dyDescent="0.2">
      <c r="A75" s="218" t="s">
        <v>886</v>
      </c>
      <c r="B75" s="441" t="s">
        <v>7</v>
      </c>
      <c r="C75" s="219"/>
      <c r="D75" s="644" t="s">
        <v>967</v>
      </c>
      <c r="F75" s="220">
        <v>0</v>
      </c>
      <c r="G75" s="220">
        <v>0</v>
      </c>
      <c r="H75" s="221">
        <f t="shared" si="72"/>
        <v>0</v>
      </c>
      <c r="I75" s="220">
        <v>0</v>
      </c>
      <c r="J75" s="221">
        <f t="shared" si="73"/>
        <v>0</v>
      </c>
      <c r="M75" s="448" t="str">
        <f t="shared" si="74"/>
        <v>NC</v>
      </c>
      <c r="N75" s="222" t="str">
        <f t="shared" si="70"/>
        <v>2001 Tax Return Adjustment - Federal (Oct.) &amp; State (Nov.)</v>
      </c>
      <c r="O75" s="222"/>
      <c r="P75" s="644" t="str">
        <f>D75</f>
        <v>Cash Flow Link</v>
      </c>
      <c r="R75" s="220">
        <v>0</v>
      </c>
      <c r="S75" s="220">
        <v>0</v>
      </c>
      <c r="T75" s="220">
        <v>0</v>
      </c>
      <c r="U75" s="220">
        <v>0</v>
      </c>
      <c r="V75" s="220">
        <v>0</v>
      </c>
      <c r="W75" s="220">
        <v>0</v>
      </c>
      <c r="X75" s="220">
        <v>0</v>
      </c>
      <c r="Y75" s="220">
        <v>0</v>
      </c>
      <c r="Z75" s="220">
        <v>0</v>
      </c>
      <c r="AA75" s="220">
        <v>0</v>
      </c>
      <c r="AB75" s="220">
        <v>0</v>
      </c>
      <c r="AC75" s="220">
        <v>0</v>
      </c>
      <c r="AD75" s="221">
        <f t="shared" si="75"/>
        <v>0</v>
      </c>
      <c r="AE75" s="220">
        <f t="shared" si="76"/>
        <v>0</v>
      </c>
      <c r="AF75" s="221">
        <f t="shared" si="77"/>
        <v>0</v>
      </c>
      <c r="AI75" s="202" t="str">
        <f t="shared" si="78"/>
        <v>NC</v>
      </c>
      <c r="AJ75" s="222" t="str">
        <f t="shared" si="71"/>
        <v>2001 Tax Return Adjustment - Federal (Oct.) &amp; State (Nov.)</v>
      </c>
      <c r="AK75" s="222"/>
      <c r="AL75" s="206"/>
      <c r="AM75" s="221">
        <f t="shared" si="79"/>
        <v>0</v>
      </c>
      <c r="AN75" s="274">
        <v>-12200</v>
      </c>
      <c r="AO75" s="274">
        <v>0</v>
      </c>
      <c r="AP75" s="221">
        <f t="shared" si="80"/>
        <v>12200</v>
      </c>
      <c r="AQ75" s="221">
        <f t="shared" si="81"/>
        <v>0</v>
      </c>
      <c r="AR75" s="221"/>
      <c r="AS75" s="274">
        <v>0</v>
      </c>
      <c r="AT75" s="274">
        <v>0</v>
      </c>
      <c r="AU75" s="274">
        <v>0</v>
      </c>
      <c r="AV75" s="221">
        <f t="shared" si="82"/>
        <v>0</v>
      </c>
      <c r="AW75" s="221">
        <f t="shared" si="83"/>
        <v>0</v>
      </c>
      <c r="BI75" s="210"/>
      <c r="BJ75" s="210"/>
    </row>
    <row r="76" spans="1:62" ht="12" customHeight="1" x14ac:dyDescent="0.2">
      <c r="A76" s="478" t="s">
        <v>886</v>
      </c>
      <c r="B76" s="441" t="s">
        <v>968</v>
      </c>
      <c r="C76" s="219"/>
      <c r="D76" s="644" t="s">
        <v>967</v>
      </c>
      <c r="F76" s="220">
        <v>0</v>
      </c>
      <c r="G76" s="220">
        <v>0</v>
      </c>
      <c r="H76" s="221">
        <f t="shared" si="72"/>
        <v>0</v>
      </c>
      <c r="I76" s="220">
        <v>0</v>
      </c>
      <c r="J76" s="221">
        <f t="shared" si="73"/>
        <v>0</v>
      </c>
      <c r="M76" s="448" t="str">
        <f t="shared" si="74"/>
        <v>NC</v>
      </c>
      <c r="N76" s="222" t="str">
        <f t="shared" si="70"/>
        <v>Excess Deferred Income Taxes</v>
      </c>
      <c r="O76" s="222"/>
      <c r="P76" s="644" t="str">
        <f>D76</f>
        <v>Cash Flow Link</v>
      </c>
      <c r="R76" s="450">
        <f>IncomeState!C203</f>
        <v>0</v>
      </c>
      <c r="S76" s="450">
        <f>IncomeState!D203</f>
        <v>0</v>
      </c>
      <c r="T76" s="450">
        <f>IncomeState!E203</f>
        <v>0</v>
      </c>
      <c r="U76" s="450">
        <f>IncomeState!F203</f>
        <v>0</v>
      </c>
      <c r="V76" s="450">
        <f>IncomeState!G203</f>
        <v>0</v>
      </c>
      <c r="W76" s="450">
        <f>IncomeState!H203</f>
        <v>0</v>
      </c>
      <c r="X76" s="450">
        <f>IncomeState!I203</f>
        <v>0</v>
      </c>
      <c r="Y76" s="450">
        <f>IncomeState!J203</f>
        <v>0</v>
      </c>
      <c r="Z76" s="450">
        <f>IncomeState!K203</f>
        <v>0</v>
      </c>
      <c r="AA76" s="450">
        <f>IncomeState!L203</f>
        <v>0</v>
      </c>
      <c r="AB76" s="450">
        <f>IncomeState!M203</f>
        <v>0</v>
      </c>
      <c r="AC76" s="450">
        <f>IncomeState!N203</f>
        <v>0</v>
      </c>
      <c r="AD76" s="221">
        <f t="shared" si="75"/>
        <v>0</v>
      </c>
      <c r="AE76" s="220">
        <f t="shared" si="76"/>
        <v>0</v>
      </c>
      <c r="AF76" s="221">
        <f t="shared" si="77"/>
        <v>0</v>
      </c>
      <c r="AH76" s="223"/>
      <c r="AI76" s="202" t="str">
        <f t="shared" si="78"/>
        <v>NC</v>
      </c>
      <c r="AJ76" s="222" t="str">
        <f t="shared" si="71"/>
        <v>Excess Deferred Income Taxes</v>
      </c>
      <c r="AK76" s="222"/>
      <c r="AL76" s="206"/>
      <c r="AM76" s="221">
        <f t="shared" si="79"/>
        <v>0</v>
      </c>
      <c r="AN76" s="274">
        <v>0</v>
      </c>
      <c r="AO76" s="274">
        <v>0</v>
      </c>
      <c r="AP76" s="221">
        <f t="shared" si="80"/>
        <v>0</v>
      </c>
      <c r="AQ76" s="221">
        <f t="shared" si="81"/>
        <v>0</v>
      </c>
      <c r="AR76" s="221"/>
      <c r="AS76" s="274">
        <v>0</v>
      </c>
      <c r="AT76" s="274">
        <v>0</v>
      </c>
      <c r="AU76" s="274">
        <v>0</v>
      </c>
      <c r="AV76" s="221">
        <f t="shared" si="82"/>
        <v>0</v>
      </c>
      <c r="AW76" s="221">
        <f t="shared" si="83"/>
        <v>0</v>
      </c>
      <c r="BI76" s="210"/>
      <c r="BJ76" s="210"/>
    </row>
    <row r="77" spans="1:62" ht="12" customHeight="1" x14ac:dyDescent="0.2">
      <c r="A77" s="478" t="s">
        <v>886</v>
      </c>
      <c r="B77" s="442" t="s">
        <v>1117</v>
      </c>
      <c r="C77" s="219"/>
      <c r="D77" s="644" t="s">
        <v>967</v>
      </c>
      <c r="F77" s="220">
        <v>0</v>
      </c>
      <c r="G77" s="220">
        <v>0</v>
      </c>
      <c r="H77" s="221">
        <f t="shared" si="72"/>
        <v>0</v>
      </c>
      <c r="I77" s="220">
        <v>0</v>
      </c>
      <c r="J77" s="221">
        <f t="shared" si="73"/>
        <v>0</v>
      </c>
      <c r="M77" s="448" t="str">
        <f t="shared" si="74"/>
        <v>NC</v>
      </c>
      <c r="N77" s="222" t="str">
        <f t="shared" si="70"/>
        <v xml:space="preserve">Other </v>
      </c>
      <c r="O77" s="222"/>
      <c r="P77" s="644" t="str">
        <f>D77</f>
        <v>Cash Flow Link</v>
      </c>
      <c r="R77" s="220">
        <v>0</v>
      </c>
      <c r="S77" s="220">
        <v>0</v>
      </c>
      <c r="T77" s="220">
        <v>0</v>
      </c>
      <c r="U77" s="220">
        <v>0</v>
      </c>
      <c r="V77" s="220">
        <v>0</v>
      </c>
      <c r="W77" s="220">
        <v>0</v>
      </c>
      <c r="X77" s="220">
        <v>0</v>
      </c>
      <c r="Y77" s="220">
        <v>0</v>
      </c>
      <c r="Z77" s="220">
        <v>0</v>
      </c>
      <c r="AA77" s="220">
        <v>0</v>
      </c>
      <c r="AB77" s="220">
        <v>0</v>
      </c>
      <c r="AC77" s="220">
        <v>0</v>
      </c>
      <c r="AD77" s="221">
        <f t="shared" si="75"/>
        <v>0</v>
      </c>
      <c r="AE77" s="220">
        <f t="shared" si="76"/>
        <v>0</v>
      </c>
      <c r="AF77" s="221">
        <f t="shared" si="77"/>
        <v>0</v>
      </c>
      <c r="AH77" s="223"/>
      <c r="AI77" s="202" t="str">
        <f t="shared" si="78"/>
        <v>NC</v>
      </c>
      <c r="AJ77" s="222" t="str">
        <f t="shared" si="71"/>
        <v xml:space="preserve">Other </v>
      </c>
      <c r="AK77" s="222"/>
      <c r="AL77" s="206"/>
      <c r="AM77" s="221">
        <f t="shared" si="79"/>
        <v>0</v>
      </c>
      <c r="AN77" s="274">
        <v>0</v>
      </c>
      <c r="AO77" s="274">
        <v>0</v>
      </c>
      <c r="AP77" s="221">
        <f t="shared" si="80"/>
        <v>0</v>
      </c>
      <c r="AQ77" s="221">
        <f t="shared" si="81"/>
        <v>0</v>
      </c>
      <c r="AR77" s="221"/>
      <c r="AS77" s="274">
        <v>0</v>
      </c>
      <c r="AT77" s="274">
        <v>0</v>
      </c>
      <c r="AU77" s="274">
        <v>0</v>
      </c>
      <c r="AV77" s="221">
        <f t="shared" si="82"/>
        <v>0</v>
      </c>
      <c r="AW77" s="221">
        <f t="shared" si="83"/>
        <v>0</v>
      </c>
      <c r="BI77" s="210"/>
      <c r="BJ77" s="210"/>
    </row>
    <row r="78" spans="1:62" ht="12" customHeight="1" x14ac:dyDescent="0.2">
      <c r="A78" s="218" t="s">
        <v>886</v>
      </c>
      <c r="B78" s="441" t="s">
        <v>969</v>
      </c>
      <c r="C78" s="643"/>
      <c r="F78" s="275">
        <v>0</v>
      </c>
      <c r="G78" s="275">
        <v>0</v>
      </c>
      <c r="H78" s="229">
        <f t="shared" si="72"/>
        <v>0</v>
      </c>
      <c r="I78" s="275">
        <v>0</v>
      </c>
      <c r="J78" s="229">
        <f t="shared" si="73"/>
        <v>0</v>
      </c>
      <c r="K78" s="230"/>
      <c r="L78" s="230"/>
      <c r="M78" s="448" t="str">
        <f t="shared" si="74"/>
        <v>NC</v>
      </c>
      <c r="N78" s="222" t="str">
        <f t="shared" si="70"/>
        <v>Hyperion Entry / Reversal</v>
      </c>
      <c r="O78" s="222"/>
      <c r="P78" s="230"/>
      <c r="Q78" s="230"/>
      <c r="R78" s="275">
        <v>0</v>
      </c>
      <c r="S78" s="275">
        <v>0</v>
      </c>
      <c r="T78" s="275">
        <v>0</v>
      </c>
      <c r="U78" s="275">
        <v>0</v>
      </c>
      <c r="V78" s="275">
        <v>0</v>
      </c>
      <c r="W78" s="275">
        <v>0</v>
      </c>
      <c r="X78" s="275">
        <v>0</v>
      </c>
      <c r="Y78" s="275">
        <v>0</v>
      </c>
      <c r="Z78" s="275">
        <v>0</v>
      </c>
      <c r="AA78" s="275">
        <v>0</v>
      </c>
      <c r="AB78" s="275">
        <v>0</v>
      </c>
      <c r="AC78" s="275">
        <v>0</v>
      </c>
      <c r="AD78" s="229">
        <f t="shared" si="75"/>
        <v>0</v>
      </c>
      <c r="AE78" s="275">
        <f t="shared" si="76"/>
        <v>0</v>
      </c>
      <c r="AF78" s="229">
        <f t="shared" si="77"/>
        <v>0</v>
      </c>
      <c r="AI78" s="202" t="str">
        <f t="shared" si="78"/>
        <v>NC</v>
      </c>
      <c r="AJ78" s="222" t="str">
        <f t="shared" si="71"/>
        <v>Hyperion Entry / Reversal</v>
      </c>
      <c r="AK78" s="222"/>
      <c r="AM78" s="229">
        <f t="shared" si="79"/>
        <v>0</v>
      </c>
      <c r="AN78" s="276">
        <v>0</v>
      </c>
      <c r="AO78" s="276">
        <v>0</v>
      </c>
      <c r="AP78" s="229">
        <f t="shared" si="80"/>
        <v>0</v>
      </c>
      <c r="AQ78" s="229">
        <f t="shared" si="81"/>
        <v>0</v>
      </c>
      <c r="AS78" s="276">
        <v>0</v>
      </c>
      <c r="AT78" s="276">
        <v>0</v>
      </c>
      <c r="AU78" s="276">
        <v>0</v>
      </c>
      <c r="AV78" s="229">
        <f t="shared" si="82"/>
        <v>0</v>
      </c>
      <c r="AW78" s="229">
        <f t="shared" si="83"/>
        <v>0</v>
      </c>
      <c r="BI78" s="210"/>
      <c r="BJ78" s="210"/>
    </row>
    <row r="79" spans="1:62" ht="3.95" customHeight="1" x14ac:dyDescent="0.2">
      <c r="B79" s="206"/>
      <c r="C79" s="206"/>
      <c r="D79" s="206"/>
      <c r="F79" s="208"/>
      <c r="G79" s="208"/>
      <c r="I79" s="208"/>
      <c r="N79" s="222"/>
      <c r="O79" s="222"/>
      <c r="P79" s="206"/>
      <c r="R79" s="221"/>
      <c r="S79" s="221"/>
      <c r="T79" s="221"/>
      <c r="U79" s="221"/>
      <c r="V79" s="221"/>
      <c r="W79" s="221"/>
      <c r="X79" s="221"/>
      <c r="Y79" s="221"/>
      <c r="Z79" s="221"/>
      <c r="AA79" s="221"/>
      <c r="AB79" s="221"/>
      <c r="AC79" s="221"/>
      <c r="AD79" s="221"/>
      <c r="AE79" s="221"/>
      <c r="AF79" s="221"/>
      <c r="AJ79" s="206"/>
      <c r="AK79" s="206"/>
      <c r="AL79" s="206"/>
      <c r="AM79" s="221"/>
      <c r="AN79" s="221"/>
      <c r="AO79" s="221"/>
      <c r="AP79" s="221"/>
      <c r="AQ79" s="221"/>
      <c r="AR79" s="221"/>
      <c r="AS79" s="221"/>
      <c r="AT79" s="221"/>
      <c r="AU79" s="221"/>
      <c r="AV79" s="221"/>
      <c r="AW79" s="221"/>
      <c r="BI79" s="210"/>
      <c r="BJ79" s="210"/>
    </row>
    <row r="80" spans="1:62" ht="12" customHeight="1" x14ac:dyDescent="0.2">
      <c r="B80" s="432" t="s">
        <v>970</v>
      </c>
      <c r="C80" s="200"/>
      <c r="D80" s="201"/>
      <c r="E80" s="204"/>
      <c r="F80" s="234">
        <f>F66+SUM(F69:F78)</f>
        <v>0</v>
      </c>
      <c r="G80" s="234">
        <f>G66+SUM(G69:G78)</f>
        <v>0</v>
      </c>
      <c r="H80" s="234">
        <f>H66+SUM(H69:H78)</f>
        <v>0</v>
      </c>
      <c r="I80" s="234">
        <f>I66+SUM(I69:I78)</f>
        <v>0</v>
      </c>
      <c r="J80" s="234">
        <f>J66+SUM(J69:J78)</f>
        <v>0</v>
      </c>
      <c r="K80" s="235"/>
      <c r="L80" s="235"/>
      <c r="M80" s="235"/>
      <c r="N80" s="203" t="str">
        <f>B80</f>
        <v xml:space="preserve">      TOTAL DEFERRED TAXES</v>
      </c>
      <c r="O80" s="203"/>
      <c r="P80" s="236"/>
      <c r="Q80" s="235"/>
      <c r="R80" s="234">
        <f t="shared" ref="R80:AF80" si="84">ROUND(R66+SUM(R69:R78),0)</f>
        <v>643</v>
      </c>
      <c r="S80" s="234">
        <f t="shared" si="84"/>
        <v>672</v>
      </c>
      <c r="T80" s="234">
        <f t="shared" si="84"/>
        <v>691</v>
      </c>
      <c r="U80" s="234">
        <f t="shared" si="84"/>
        <v>488</v>
      </c>
      <c r="V80" s="234">
        <f t="shared" si="84"/>
        <v>1398</v>
      </c>
      <c r="W80" s="234">
        <f t="shared" si="84"/>
        <v>1010</v>
      </c>
      <c r="X80" s="234">
        <f t="shared" si="84"/>
        <v>82</v>
      </c>
      <c r="Y80" s="234">
        <f t="shared" si="84"/>
        <v>186</v>
      </c>
      <c r="Z80" s="234">
        <f t="shared" si="84"/>
        <v>1494</v>
      </c>
      <c r="AA80" s="234">
        <f t="shared" si="84"/>
        <v>358</v>
      </c>
      <c r="AB80" s="234">
        <f t="shared" si="84"/>
        <v>-126</v>
      </c>
      <c r="AC80" s="234">
        <f t="shared" si="84"/>
        <v>516</v>
      </c>
      <c r="AD80" s="234">
        <f t="shared" si="84"/>
        <v>7412</v>
      </c>
      <c r="AE80" s="234">
        <f t="shared" si="84"/>
        <v>1315</v>
      </c>
      <c r="AF80" s="234">
        <f t="shared" si="84"/>
        <v>6097</v>
      </c>
      <c r="AG80" s="237"/>
      <c r="AH80" s="237"/>
      <c r="AI80" s="235"/>
      <c r="AJ80" s="203" t="str">
        <f>B80</f>
        <v xml:space="preserve">      TOTAL DEFERRED TAXES</v>
      </c>
      <c r="AK80" s="203"/>
      <c r="AL80" s="236"/>
      <c r="AM80" s="234">
        <f t="shared" ref="AM80:AW80" si="85">AM66+SUM(AM69:AM78)</f>
        <v>7412</v>
      </c>
      <c r="AN80" s="234">
        <f t="shared" si="85"/>
        <v>18128</v>
      </c>
      <c r="AO80" s="234">
        <f t="shared" si="85"/>
        <v>0</v>
      </c>
      <c r="AP80" s="234">
        <f t="shared" si="85"/>
        <v>-10716</v>
      </c>
      <c r="AQ80" s="234">
        <f t="shared" si="85"/>
        <v>7412</v>
      </c>
      <c r="AR80" s="238"/>
      <c r="AS80" s="234">
        <f t="shared" si="85"/>
        <v>0</v>
      </c>
      <c r="AT80" s="234">
        <f t="shared" si="85"/>
        <v>0</v>
      </c>
      <c r="AU80" s="234">
        <f t="shared" si="85"/>
        <v>-4416</v>
      </c>
      <c r="AV80" s="234">
        <f t="shared" si="85"/>
        <v>0</v>
      </c>
      <c r="AW80" s="234">
        <f t="shared" si="85"/>
        <v>4416</v>
      </c>
      <c r="BC80" s="223"/>
      <c r="BD80" s="223"/>
      <c r="BI80" s="210"/>
      <c r="BJ80" s="210"/>
    </row>
    <row r="81" spans="1:62" ht="8.1" customHeight="1" x14ac:dyDescent="0.2">
      <c r="B81" s="434"/>
      <c r="C81" s="204"/>
      <c r="D81" s="204"/>
      <c r="E81" s="204"/>
      <c r="F81" s="239"/>
      <c r="G81" s="239"/>
      <c r="H81" s="238"/>
      <c r="I81" s="239"/>
      <c r="J81" s="238"/>
      <c r="K81" s="204"/>
      <c r="L81" s="204"/>
      <c r="M81" s="204"/>
      <c r="N81" s="203"/>
      <c r="O81" s="203"/>
      <c r="P81" s="201"/>
      <c r="Q81" s="204"/>
      <c r="R81" s="238"/>
      <c r="S81" s="238"/>
      <c r="T81" s="238"/>
      <c r="U81" s="238"/>
      <c r="V81" s="238"/>
      <c r="W81" s="238"/>
      <c r="X81" s="238"/>
      <c r="Y81" s="238"/>
      <c r="Z81" s="238"/>
      <c r="AA81" s="238"/>
      <c r="AB81" s="238"/>
      <c r="AC81" s="238"/>
      <c r="AD81" s="238"/>
      <c r="AE81" s="238"/>
      <c r="AF81" s="238"/>
      <c r="AG81" s="204"/>
      <c r="AH81" s="204"/>
      <c r="AI81" s="204"/>
      <c r="AJ81" s="201"/>
      <c r="AK81" s="201"/>
      <c r="AL81" s="201"/>
      <c r="AM81" s="238"/>
      <c r="AN81" s="238"/>
      <c r="AO81" s="238"/>
      <c r="AP81" s="238"/>
      <c r="AQ81" s="238"/>
      <c r="AR81" s="238"/>
      <c r="AS81" s="238"/>
      <c r="AT81" s="238"/>
      <c r="AU81" s="238"/>
      <c r="AV81" s="238"/>
      <c r="AW81" s="238"/>
      <c r="BI81" s="210"/>
      <c r="BJ81" s="210"/>
    </row>
    <row r="82" spans="1:62" ht="12" customHeight="1" x14ac:dyDescent="0.2">
      <c r="B82" s="444" t="s">
        <v>971</v>
      </c>
      <c r="C82" s="240"/>
      <c r="D82" s="204"/>
      <c r="E82" s="204"/>
      <c r="F82" s="238">
        <f>F63</f>
        <v>0</v>
      </c>
      <c r="G82" s="238">
        <f>G63</f>
        <v>0</v>
      </c>
      <c r="H82" s="238">
        <f>H63</f>
        <v>0</v>
      </c>
      <c r="I82" s="238">
        <f>I63</f>
        <v>0</v>
      </c>
      <c r="J82" s="238">
        <f>J63</f>
        <v>0</v>
      </c>
      <c r="K82" s="204"/>
      <c r="L82" s="204"/>
      <c r="M82" s="204"/>
      <c r="N82" s="203" t="str">
        <f>B82</f>
        <v xml:space="preserve">      TOTAL DEFERRED - CURRENT</v>
      </c>
      <c r="O82" s="203"/>
      <c r="P82" s="201"/>
      <c r="Q82" s="204"/>
      <c r="R82" s="238">
        <f t="shared" ref="R82:AF82" si="86">ROUND(R63,0)</f>
        <v>0</v>
      </c>
      <c r="S82" s="238">
        <f t="shared" si="86"/>
        <v>0</v>
      </c>
      <c r="T82" s="238">
        <f t="shared" si="86"/>
        <v>0</v>
      </c>
      <c r="U82" s="238">
        <f t="shared" si="86"/>
        <v>0</v>
      </c>
      <c r="V82" s="238">
        <f t="shared" si="86"/>
        <v>0</v>
      </c>
      <c r="W82" s="238">
        <f t="shared" si="86"/>
        <v>0</v>
      </c>
      <c r="X82" s="238">
        <f t="shared" si="86"/>
        <v>0</v>
      </c>
      <c r="Y82" s="238">
        <f t="shared" si="86"/>
        <v>0</v>
      </c>
      <c r="Z82" s="238">
        <f t="shared" si="86"/>
        <v>0</v>
      </c>
      <c r="AA82" s="238">
        <f t="shared" si="86"/>
        <v>0</v>
      </c>
      <c r="AB82" s="238">
        <f t="shared" si="86"/>
        <v>0</v>
      </c>
      <c r="AC82" s="238">
        <f t="shared" si="86"/>
        <v>0</v>
      </c>
      <c r="AD82" s="238">
        <f t="shared" si="86"/>
        <v>0</v>
      </c>
      <c r="AE82" s="238">
        <f t="shared" si="86"/>
        <v>0</v>
      </c>
      <c r="AF82" s="238">
        <f t="shared" si="86"/>
        <v>0</v>
      </c>
      <c r="AG82" s="212"/>
      <c r="AH82" s="212"/>
      <c r="AI82" s="204"/>
      <c r="AJ82" s="203" t="str">
        <f>B82</f>
        <v xml:space="preserve">      TOTAL DEFERRED - CURRENT</v>
      </c>
      <c r="AK82" s="203"/>
      <c r="AL82" s="201"/>
      <c r="AM82" s="238">
        <f>AM63</f>
        <v>0</v>
      </c>
      <c r="AN82" s="238">
        <f>AN63</f>
        <v>0</v>
      </c>
      <c r="AO82" s="238">
        <f>AO63</f>
        <v>0</v>
      </c>
      <c r="AP82" s="238">
        <f>AP63</f>
        <v>0</v>
      </c>
      <c r="AQ82" s="238">
        <f>AQ63</f>
        <v>0</v>
      </c>
      <c r="AR82" s="238"/>
      <c r="AS82" s="238">
        <f>AS63</f>
        <v>0</v>
      </c>
      <c r="AT82" s="238">
        <f>AT63</f>
        <v>0</v>
      </c>
      <c r="AU82" s="238">
        <f>AU63</f>
        <v>0</v>
      </c>
      <c r="AV82" s="238">
        <f>AV63</f>
        <v>0</v>
      </c>
      <c r="AW82" s="238">
        <f>AW63</f>
        <v>0</v>
      </c>
      <c r="BC82" s="223"/>
      <c r="BI82" s="210"/>
      <c r="BJ82" s="210"/>
    </row>
    <row r="83" spans="1:62" ht="12" customHeight="1" x14ac:dyDescent="0.2">
      <c r="B83" s="444" t="s">
        <v>973</v>
      </c>
      <c r="C83" s="240"/>
      <c r="D83" s="204"/>
      <c r="E83" s="204"/>
      <c r="F83" s="238">
        <f>F64+SUM(F69:F78)</f>
        <v>0</v>
      </c>
      <c r="G83" s="238">
        <f>G64+SUM(G69:G78)</f>
        <v>0</v>
      </c>
      <c r="H83" s="238">
        <f>H64+SUM(H69:H78)</f>
        <v>0</v>
      </c>
      <c r="I83" s="238">
        <f>I64+SUM(I69:I78)</f>
        <v>0</v>
      </c>
      <c r="J83" s="238">
        <f>J64+SUM(J69:J78)</f>
        <v>0</v>
      </c>
      <c r="K83" s="235"/>
      <c r="L83" s="235"/>
      <c r="M83" s="235"/>
      <c r="N83" s="203" t="str">
        <f>B83</f>
        <v xml:space="preserve">                                    -  NON-CURRENT</v>
      </c>
      <c r="O83" s="203"/>
      <c r="P83" s="236"/>
      <c r="Q83" s="204"/>
      <c r="R83" s="238">
        <f t="shared" ref="R83:AF83" si="87">ROUND(R64+SUM(R69:R78),0)</f>
        <v>643</v>
      </c>
      <c r="S83" s="238">
        <f t="shared" si="87"/>
        <v>672</v>
      </c>
      <c r="T83" s="238">
        <f t="shared" si="87"/>
        <v>691</v>
      </c>
      <c r="U83" s="238">
        <f t="shared" si="87"/>
        <v>488</v>
      </c>
      <c r="V83" s="238">
        <f t="shared" si="87"/>
        <v>1398</v>
      </c>
      <c r="W83" s="238">
        <f t="shared" si="87"/>
        <v>1010</v>
      </c>
      <c r="X83" s="238">
        <f t="shared" si="87"/>
        <v>82</v>
      </c>
      <c r="Y83" s="238">
        <f t="shared" si="87"/>
        <v>186</v>
      </c>
      <c r="Z83" s="238">
        <f t="shared" si="87"/>
        <v>1494</v>
      </c>
      <c r="AA83" s="238">
        <f t="shared" si="87"/>
        <v>358</v>
      </c>
      <c r="AB83" s="238">
        <f t="shared" si="87"/>
        <v>-126</v>
      </c>
      <c r="AC83" s="238">
        <f t="shared" si="87"/>
        <v>516</v>
      </c>
      <c r="AD83" s="238">
        <f t="shared" si="87"/>
        <v>7412</v>
      </c>
      <c r="AE83" s="238">
        <f t="shared" si="87"/>
        <v>1315</v>
      </c>
      <c r="AF83" s="238">
        <f t="shared" si="87"/>
        <v>6097</v>
      </c>
      <c r="AG83" s="237"/>
      <c r="AH83" s="237"/>
      <c r="AI83" s="235"/>
      <c r="AJ83" s="203" t="str">
        <f>B83</f>
        <v xml:space="preserve">                                    -  NON-CURRENT</v>
      </c>
      <c r="AK83" s="203"/>
      <c r="AL83" s="236"/>
      <c r="AM83" s="238">
        <f t="shared" ref="AM83:AW83" si="88">AM64+SUM(AM69:AM78)</f>
        <v>7412</v>
      </c>
      <c r="AN83" s="238">
        <f t="shared" si="88"/>
        <v>18128</v>
      </c>
      <c r="AO83" s="238">
        <f t="shared" si="88"/>
        <v>0</v>
      </c>
      <c r="AP83" s="238">
        <f t="shared" si="88"/>
        <v>-10716</v>
      </c>
      <c r="AQ83" s="238">
        <f t="shared" si="88"/>
        <v>7412</v>
      </c>
      <c r="AR83" s="238"/>
      <c r="AS83" s="238">
        <f t="shared" si="88"/>
        <v>0</v>
      </c>
      <c r="AT83" s="238">
        <f t="shared" si="88"/>
        <v>0</v>
      </c>
      <c r="AU83" s="238">
        <f t="shared" si="88"/>
        <v>-4416</v>
      </c>
      <c r="AV83" s="238">
        <f t="shared" si="88"/>
        <v>0</v>
      </c>
      <c r="AW83" s="238">
        <f t="shared" si="88"/>
        <v>4416</v>
      </c>
      <c r="BC83" s="223"/>
      <c r="BI83" s="210"/>
      <c r="BJ83" s="210"/>
    </row>
    <row r="84" spans="1:62" ht="8.1" customHeight="1" x14ac:dyDescent="0.2">
      <c r="F84" s="220"/>
      <c r="G84" s="220"/>
      <c r="H84" s="221"/>
      <c r="I84" s="220"/>
      <c r="J84" s="221"/>
      <c r="N84" s="206"/>
      <c r="O84" s="206"/>
      <c r="P84" s="206"/>
      <c r="R84" s="221"/>
      <c r="S84" s="221"/>
      <c r="T84" s="221"/>
      <c r="U84" s="221"/>
      <c r="V84" s="221"/>
      <c r="W84" s="221"/>
      <c r="X84" s="221"/>
      <c r="Y84" s="221"/>
      <c r="Z84" s="221"/>
      <c r="AA84" s="221"/>
      <c r="AB84" s="221"/>
      <c r="AC84" s="221"/>
      <c r="AD84" s="221"/>
      <c r="AE84" s="221"/>
      <c r="AF84" s="221"/>
      <c r="AJ84" s="206"/>
      <c r="AK84" s="206"/>
      <c r="AL84" s="206"/>
      <c r="AM84" s="221"/>
      <c r="AN84" s="221"/>
      <c r="AO84" s="221"/>
      <c r="AP84" s="221"/>
      <c r="AQ84" s="221"/>
      <c r="AR84" s="221"/>
      <c r="AS84" s="221"/>
      <c r="AT84" s="221"/>
      <c r="AU84" s="221"/>
      <c r="AV84" s="221"/>
      <c r="AW84" s="221"/>
      <c r="BI84" s="210"/>
      <c r="BJ84" s="210"/>
    </row>
    <row r="85" spans="1:62" ht="12" customHeight="1" x14ac:dyDescent="0.2">
      <c r="A85" s="210"/>
      <c r="B85" s="210"/>
      <c r="C85" s="210"/>
      <c r="D85" s="210"/>
      <c r="E85" s="210"/>
      <c r="F85" s="210"/>
      <c r="G85" s="210"/>
      <c r="H85" s="210"/>
      <c r="I85" s="210"/>
      <c r="J85" s="210"/>
      <c r="K85" s="210"/>
      <c r="L85" s="210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I85" s="210"/>
      <c r="AJ85" s="210"/>
      <c r="AK85" s="210"/>
      <c r="AL85" s="210"/>
      <c r="AM85" s="210"/>
      <c r="AN85" s="210"/>
      <c r="AO85" s="210"/>
      <c r="AP85" s="210"/>
      <c r="AQ85" s="210"/>
      <c r="AR85" s="210"/>
      <c r="AS85" s="210"/>
      <c r="AT85" s="210"/>
      <c r="AU85" s="210"/>
      <c r="AV85" s="210"/>
      <c r="AW85" s="210"/>
      <c r="AX85" s="210"/>
      <c r="AY85" s="210"/>
      <c r="AZ85" s="210"/>
      <c r="BA85" s="210"/>
      <c r="BB85" s="210"/>
      <c r="BC85" s="210"/>
      <c r="BD85" s="210"/>
      <c r="BE85" s="210"/>
      <c r="BF85" s="210"/>
      <c r="BG85" s="210"/>
      <c r="BH85" s="210"/>
      <c r="BI85" s="210"/>
      <c r="BJ85" s="210"/>
    </row>
    <row r="86" spans="1:62" ht="15" x14ac:dyDescent="0.2">
      <c r="A86" s="210"/>
      <c r="B86" s="210"/>
      <c r="C86" s="210"/>
      <c r="D86" s="210"/>
      <c r="E86" s="210"/>
      <c r="F86" s="210"/>
      <c r="G86" s="210"/>
      <c r="H86" s="210"/>
      <c r="I86" s="210"/>
      <c r="J86" s="210"/>
      <c r="K86" s="210"/>
      <c r="L86" s="210"/>
      <c r="R86" s="211" t="str">
        <f t="shared" ref="R86:AF86" si="89">R7</f>
        <v>PLAN</v>
      </c>
      <c r="S86" s="211" t="str">
        <f t="shared" si="89"/>
        <v>PLAN</v>
      </c>
      <c r="T86" s="211" t="str">
        <f t="shared" si="89"/>
        <v>PLAN</v>
      </c>
      <c r="U86" s="211" t="str">
        <f t="shared" si="89"/>
        <v>PLAN</v>
      </c>
      <c r="V86" s="211" t="str">
        <f t="shared" si="89"/>
        <v>PLAN</v>
      </c>
      <c r="W86" s="211" t="str">
        <f t="shared" si="89"/>
        <v>PLAN</v>
      </c>
      <c r="X86" s="211" t="str">
        <f t="shared" si="89"/>
        <v>PLAN</v>
      </c>
      <c r="Y86" s="211" t="str">
        <f t="shared" si="89"/>
        <v>PLAN</v>
      </c>
      <c r="Z86" s="211" t="str">
        <f t="shared" si="89"/>
        <v>PLAN</v>
      </c>
      <c r="AA86" s="211" t="str">
        <f t="shared" si="89"/>
        <v>PLAN</v>
      </c>
      <c r="AB86" s="211" t="str">
        <f t="shared" si="89"/>
        <v>PLAN</v>
      </c>
      <c r="AC86" s="211" t="str">
        <f t="shared" si="89"/>
        <v>PLAN</v>
      </c>
      <c r="AD86" s="211" t="str">
        <f t="shared" si="89"/>
        <v>TOTAL</v>
      </c>
      <c r="AE86" s="211" t="str">
        <f t="shared" si="89"/>
        <v>FEB.</v>
      </c>
      <c r="AF86" s="211" t="str">
        <f t="shared" si="89"/>
        <v>ESTIMATE</v>
      </c>
      <c r="AI86" s="210"/>
      <c r="AJ86" s="210"/>
      <c r="AK86" s="210"/>
      <c r="AL86" s="210"/>
      <c r="AM86" s="210"/>
      <c r="AN86" s="210"/>
      <c r="AO86" s="210"/>
      <c r="AP86" s="210"/>
      <c r="AQ86" s="210"/>
      <c r="AR86" s="210"/>
      <c r="AS86" s="210"/>
      <c r="AT86" s="210"/>
      <c r="AU86" s="210"/>
      <c r="AV86" s="210"/>
      <c r="AW86" s="210"/>
      <c r="AX86" s="210"/>
      <c r="AY86" s="210"/>
      <c r="AZ86" s="210"/>
      <c r="BA86" s="210"/>
      <c r="BB86" s="210"/>
      <c r="BC86" s="210"/>
      <c r="BD86" s="210"/>
      <c r="BE86" s="210"/>
      <c r="BF86" s="210"/>
      <c r="BG86" s="210"/>
      <c r="BH86" s="210"/>
      <c r="BI86" s="210"/>
      <c r="BJ86" s="210"/>
    </row>
    <row r="87" spans="1:62" ht="15" x14ac:dyDescent="0.2">
      <c r="A87" s="210"/>
      <c r="B87" s="210"/>
      <c r="C87" s="210"/>
      <c r="D87" s="210"/>
      <c r="E87" s="210"/>
      <c r="F87" s="210"/>
      <c r="G87" s="210"/>
      <c r="H87" s="210"/>
      <c r="I87" s="210"/>
      <c r="J87" s="210"/>
      <c r="K87" s="210"/>
      <c r="L87" s="210"/>
      <c r="M87" s="451" t="s">
        <v>974</v>
      </c>
      <c r="N87" s="433"/>
      <c r="R87" s="217" t="str">
        <f t="shared" ref="R87:AF87" si="90">R8</f>
        <v>JAN</v>
      </c>
      <c r="S87" s="217" t="str">
        <f t="shared" si="90"/>
        <v>FEB</v>
      </c>
      <c r="T87" s="217" t="str">
        <f t="shared" si="90"/>
        <v>MAR</v>
      </c>
      <c r="U87" s="217" t="str">
        <f t="shared" si="90"/>
        <v>APR</v>
      </c>
      <c r="V87" s="217" t="str">
        <f t="shared" si="90"/>
        <v>MAY</v>
      </c>
      <c r="W87" s="217" t="str">
        <f t="shared" si="90"/>
        <v>JUN</v>
      </c>
      <c r="X87" s="217" t="str">
        <f t="shared" si="90"/>
        <v>JUL</v>
      </c>
      <c r="Y87" s="217" t="str">
        <f t="shared" si="90"/>
        <v>AUG</v>
      </c>
      <c r="Z87" s="217" t="str">
        <f t="shared" si="90"/>
        <v>SEP</v>
      </c>
      <c r="AA87" s="217" t="str">
        <f t="shared" si="90"/>
        <v>OCT</v>
      </c>
      <c r="AB87" s="217" t="str">
        <f t="shared" si="90"/>
        <v>NOV</v>
      </c>
      <c r="AC87" s="217" t="str">
        <f t="shared" si="90"/>
        <v>DEC</v>
      </c>
      <c r="AD87" s="217" t="str">
        <f t="shared" si="90"/>
        <v>2002</v>
      </c>
      <c r="AE87" s="217" t="str">
        <f t="shared" si="90"/>
        <v>Y-T-D</v>
      </c>
      <c r="AF87" s="217" t="str">
        <f t="shared" si="90"/>
        <v>R.M.</v>
      </c>
      <c r="AI87" s="210"/>
      <c r="AJ87" s="210"/>
      <c r="AK87" s="210"/>
      <c r="AL87" s="210"/>
      <c r="AM87" s="210"/>
      <c r="AN87" s="210"/>
      <c r="AO87" s="210"/>
      <c r="AP87" s="210"/>
      <c r="AQ87" s="210"/>
      <c r="AR87" s="210"/>
      <c r="AS87" s="210"/>
      <c r="AT87" s="210"/>
      <c r="AU87" s="210"/>
      <c r="AV87" s="210"/>
      <c r="AW87" s="210"/>
      <c r="AX87" s="210"/>
      <c r="AY87" s="210"/>
      <c r="AZ87" s="210"/>
      <c r="BA87" s="210"/>
      <c r="BB87" s="210"/>
      <c r="BC87" s="210"/>
      <c r="BD87" s="210"/>
      <c r="BE87" s="210"/>
      <c r="BF87" s="210"/>
      <c r="BG87" s="210"/>
      <c r="BH87" s="210"/>
      <c r="BI87" s="210"/>
      <c r="BJ87" s="210"/>
    </row>
    <row r="88" spans="1:62" ht="12" customHeight="1" x14ac:dyDescent="0.2">
      <c r="A88" s="210"/>
      <c r="B88" s="210"/>
      <c r="C88" s="210"/>
      <c r="D88" s="210"/>
      <c r="E88" s="210"/>
      <c r="F88" s="210"/>
      <c r="G88" s="210"/>
      <c r="H88" s="210"/>
      <c r="I88" s="210"/>
      <c r="J88" s="210"/>
      <c r="K88" s="210"/>
      <c r="L88" s="210"/>
      <c r="M88" s="452" t="s">
        <v>975</v>
      </c>
      <c r="N88" s="433"/>
      <c r="AI88" s="210"/>
      <c r="AJ88" s="210"/>
      <c r="AK88" s="210"/>
      <c r="AL88" s="210"/>
      <c r="AM88" s="210"/>
      <c r="AN88" s="210"/>
      <c r="AO88" s="210"/>
      <c r="AP88" s="210"/>
      <c r="AQ88" s="210"/>
      <c r="AR88" s="210"/>
      <c r="AS88" s="210"/>
      <c r="AT88" s="210"/>
      <c r="AU88" s="210"/>
      <c r="AV88" s="210"/>
      <c r="AW88" s="210"/>
      <c r="AX88" s="210"/>
      <c r="AY88" s="210"/>
      <c r="AZ88" s="210"/>
      <c r="BA88" s="210"/>
      <c r="BB88" s="210"/>
      <c r="BC88" s="210"/>
      <c r="BD88" s="210"/>
      <c r="BE88" s="210"/>
      <c r="BF88" s="210"/>
      <c r="BG88" s="210"/>
      <c r="BH88" s="210"/>
      <c r="BI88" s="210"/>
      <c r="BJ88" s="210"/>
    </row>
    <row r="89" spans="1:62" ht="12" customHeight="1" x14ac:dyDescent="0.2">
      <c r="A89" s="210"/>
      <c r="B89" s="210"/>
      <c r="C89" s="210"/>
      <c r="D89" s="210"/>
      <c r="E89" s="210"/>
      <c r="F89" s="210"/>
      <c r="G89" s="210"/>
      <c r="H89" s="210"/>
      <c r="I89" s="210"/>
      <c r="J89" s="210"/>
      <c r="K89" s="210"/>
      <c r="L89" s="210"/>
      <c r="M89" s="453"/>
      <c r="N89" s="454" t="s">
        <v>976</v>
      </c>
      <c r="R89" s="221">
        <f>-Trackers!D374-IntDeduct!C7</f>
        <v>0</v>
      </c>
      <c r="S89" s="221">
        <f>-Trackers!E374-IntDeduct!D7</f>
        <v>0</v>
      </c>
      <c r="T89" s="221">
        <f>-Trackers!F374-IntDeduct!E7</f>
        <v>0</v>
      </c>
      <c r="U89" s="221">
        <f>-Trackers!G374-IntDeduct!F7</f>
        <v>0</v>
      </c>
      <c r="V89" s="221">
        <f>-Trackers!H374-IntDeduct!G7</f>
        <v>0</v>
      </c>
      <c r="W89" s="221">
        <f>-Trackers!I374-IntDeduct!H7</f>
        <v>0</v>
      </c>
      <c r="X89" s="221">
        <f>-Trackers!J374-IntDeduct!I7</f>
        <v>0</v>
      </c>
      <c r="Y89" s="221">
        <f>-Trackers!K374-IntDeduct!J7</f>
        <v>0</v>
      </c>
      <c r="Z89" s="221">
        <f>-Trackers!L374-IntDeduct!K7</f>
        <v>0</v>
      </c>
      <c r="AA89" s="221">
        <f>-Trackers!M374-IntDeduct!L7</f>
        <v>0</v>
      </c>
      <c r="AB89" s="221">
        <f>-Trackers!N374-IntDeduct!M7</f>
        <v>0</v>
      </c>
      <c r="AC89" s="221">
        <f>-Trackers!O374-IntDeduct!N7</f>
        <v>0</v>
      </c>
      <c r="AD89" s="221">
        <f>SUM(R89:AC89)</f>
        <v>0</v>
      </c>
      <c r="AE89" s="221"/>
      <c r="AF89" s="221"/>
      <c r="AI89" s="210"/>
      <c r="AJ89" s="210"/>
      <c r="AK89" s="210"/>
      <c r="AL89" s="210"/>
      <c r="AM89" s="210"/>
      <c r="AN89" s="210"/>
      <c r="AO89" s="210"/>
      <c r="AP89" s="210"/>
      <c r="AQ89" s="210"/>
      <c r="AR89" s="210"/>
      <c r="AS89" s="210"/>
      <c r="AT89" s="210"/>
      <c r="AU89" s="210"/>
      <c r="AV89" s="210"/>
      <c r="AW89" s="210"/>
      <c r="AX89" s="210"/>
      <c r="AY89" s="210"/>
      <c r="AZ89" s="210"/>
      <c r="BA89" s="210"/>
      <c r="BB89" s="210"/>
      <c r="BC89" s="210"/>
      <c r="BD89" s="210"/>
      <c r="BE89" s="210"/>
      <c r="BF89" s="210"/>
      <c r="BG89" s="210"/>
      <c r="BH89" s="210"/>
      <c r="BI89" s="210"/>
      <c r="BJ89" s="210"/>
    </row>
    <row r="90" spans="1:62" ht="12" customHeight="1" x14ac:dyDescent="0.2">
      <c r="A90" s="210"/>
      <c r="B90" s="210"/>
      <c r="C90" s="210"/>
      <c r="D90" s="210"/>
      <c r="E90" s="210"/>
      <c r="F90" s="210"/>
      <c r="G90" s="210"/>
      <c r="H90" s="210"/>
      <c r="I90" s="210"/>
      <c r="J90" s="210"/>
      <c r="K90" s="210"/>
      <c r="L90" s="210"/>
      <c r="M90" s="453"/>
      <c r="N90" s="442" t="s">
        <v>788</v>
      </c>
      <c r="R90" s="275">
        <v>0</v>
      </c>
      <c r="S90" s="275">
        <v>0</v>
      </c>
      <c r="T90" s="275">
        <v>0</v>
      </c>
      <c r="U90" s="275">
        <v>0</v>
      </c>
      <c r="V90" s="275">
        <v>0</v>
      </c>
      <c r="W90" s="275">
        <v>0</v>
      </c>
      <c r="X90" s="275">
        <v>0</v>
      </c>
      <c r="Y90" s="275">
        <v>0</v>
      </c>
      <c r="Z90" s="275">
        <v>0</v>
      </c>
      <c r="AA90" s="275">
        <v>0</v>
      </c>
      <c r="AB90" s="275">
        <v>0</v>
      </c>
      <c r="AC90" s="275">
        <v>0</v>
      </c>
      <c r="AD90" s="229">
        <f>SUM(R90:AC90)</f>
        <v>0</v>
      </c>
      <c r="AI90" s="210"/>
      <c r="AJ90" s="210"/>
      <c r="AK90" s="210"/>
      <c r="AL90" s="210"/>
      <c r="AM90" s="210"/>
      <c r="AN90" s="210"/>
      <c r="AO90" s="210"/>
      <c r="AP90" s="210"/>
      <c r="AQ90" s="210"/>
      <c r="AR90" s="210"/>
      <c r="AS90" s="210"/>
      <c r="AT90" s="210"/>
      <c r="AU90" s="210"/>
      <c r="AV90" s="210"/>
      <c r="AW90" s="210"/>
      <c r="AX90" s="210"/>
      <c r="AY90" s="210"/>
      <c r="AZ90" s="210"/>
      <c r="BA90" s="210"/>
      <c r="BB90" s="210"/>
      <c r="BC90" s="210"/>
      <c r="BD90" s="210"/>
      <c r="BE90" s="210"/>
      <c r="BF90" s="210"/>
      <c r="BG90" s="210"/>
      <c r="BH90" s="210"/>
      <c r="BI90" s="210"/>
      <c r="BJ90" s="210"/>
    </row>
    <row r="91" spans="1:62" ht="12" customHeight="1" x14ac:dyDescent="0.2">
      <c r="A91" s="210"/>
      <c r="B91" s="210"/>
      <c r="C91" s="210"/>
      <c r="D91" s="210"/>
      <c r="E91" s="210"/>
      <c r="F91" s="210"/>
      <c r="G91" s="210"/>
      <c r="H91" s="210"/>
      <c r="I91" s="210"/>
      <c r="J91" s="210"/>
      <c r="K91" s="210"/>
      <c r="L91" s="210"/>
      <c r="M91" s="433"/>
      <c r="N91" s="454" t="s">
        <v>977</v>
      </c>
      <c r="O91" s="243"/>
      <c r="R91" s="229">
        <f t="shared" ref="R91:AD91" si="91">SUM(R89:R90)</f>
        <v>0</v>
      </c>
      <c r="S91" s="229">
        <f t="shared" si="91"/>
        <v>0</v>
      </c>
      <c r="T91" s="229">
        <f t="shared" si="91"/>
        <v>0</v>
      </c>
      <c r="U91" s="229">
        <f t="shared" si="91"/>
        <v>0</v>
      </c>
      <c r="V91" s="229">
        <f t="shared" si="91"/>
        <v>0</v>
      </c>
      <c r="W91" s="229">
        <f t="shared" si="91"/>
        <v>0</v>
      </c>
      <c r="X91" s="229">
        <f t="shared" si="91"/>
        <v>0</v>
      </c>
      <c r="Y91" s="229">
        <f t="shared" si="91"/>
        <v>0</v>
      </c>
      <c r="Z91" s="229">
        <f t="shared" si="91"/>
        <v>0</v>
      </c>
      <c r="AA91" s="229">
        <f t="shared" si="91"/>
        <v>0</v>
      </c>
      <c r="AB91" s="229">
        <f t="shared" si="91"/>
        <v>0</v>
      </c>
      <c r="AC91" s="229">
        <f t="shared" si="91"/>
        <v>0</v>
      </c>
      <c r="AD91" s="229">
        <f t="shared" si="91"/>
        <v>0</v>
      </c>
      <c r="AI91" s="210"/>
      <c r="AJ91" s="210"/>
      <c r="AK91" s="210"/>
      <c r="AL91" s="210"/>
      <c r="AM91" s="210"/>
      <c r="AN91" s="210"/>
      <c r="AO91" s="210"/>
      <c r="AP91" s="210"/>
      <c r="AQ91" s="210"/>
      <c r="AR91" s="210"/>
      <c r="AS91" s="210"/>
      <c r="AT91" s="210"/>
      <c r="AU91" s="210"/>
      <c r="AV91" s="210"/>
      <c r="AW91" s="210"/>
      <c r="AX91" s="210"/>
      <c r="AY91" s="210"/>
      <c r="AZ91" s="210"/>
      <c r="BA91" s="210"/>
      <c r="BB91" s="210"/>
      <c r="BC91" s="210"/>
      <c r="BD91" s="210"/>
      <c r="BE91" s="210"/>
      <c r="BF91" s="210"/>
      <c r="BG91" s="210"/>
      <c r="BH91" s="210"/>
      <c r="BI91" s="210"/>
      <c r="BJ91" s="210"/>
    </row>
    <row r="92" spans="1:62" ht="6" customHeight="1" x14ac:dyDescent="0.2">
      <c r="A92" s="210"/>
      <c r="B92" s="210"/>
      <c r="C92" s="210"/>
      <c r="D92" s="210"/>
      <c r="E92" s="210"/>
      <c r="F92" s="210"/>
      <c r="G92" s="210"/>
      <c r="H92" s="210"/>
      <c r="I92" s="210"/>
      <c r="J92" s="210"/>
      <c r="K92" s="210"/>
      <c r="L92" s="210"/>
      <c r="M92" s="433"/>
      <c r="N92" s="433"/>
      <c r="AI92" s="210"/>
      <c r="AJ92" s="210"/>
      <c r="AK92" s="210"/>
      <c r="AL92" s="210"/>
      <c r="AM92" s="210"/>
      <c r="AN92" s="210"/>
      <c r="AO92" s="210"/>
      <c r="AP92" s="210"/>
      <c r="AQ92" s="210"/>
      <c r="AR92" s="210"/>
      <c r="AS92" s="210"/>
      <c r="AT92" s="210"/>
      <c r="AU92" s="210"/>
      <c r="AV92" s="210"/>
      <c r="AW92" s="210"/>
      <c r="AX92" s="210"/>
      <c r="AY92" s="210"/>
      <c r="AZ92" s="210"/>
      <c r="BA92" s="210"/>
      <c r="BB92" s="210"/>
      <c r="BC92" s="210"/>
      <c r="BD92" s="210"/>
      <c r="BE92" s="210"/>
      <c r="BF92" s="210"/>
      <c r="BG92" s="210"/>
      <c r="BH92" s="210"/>
      <c r="BI92" s="210"/>
      <c r="BJ92" s="210"/>
    </row>
    <row r="93" spans="1:62" ht="12" customHeight="1" x14ac:dyDescent="0.2">
      <c r="A93" s="210"/>
      <c r="B93" s="210"/>
      <c r="C93" s="210"/>
      <c r="D93" s="210"/>
      <c r="E93" s="210"/>
      <c r="F93" s="210"/>
      <c r="G93" s="210"/>
      <c r="H93" s="210"/>
      <c r="I93" s="210"/>
      <c r="J93" s="210"/>
      <c r="K93" s="210"/>
      <c r="L93" s="210"/>
      <c r="M93" s="455"/>
      <c r="N93" s="454" t="s">
        <v>978</v>
      </c>
      <c r="R93" s="221">
        <f>-Trackers!D427-IntDeduct!C8</f>
        <v>-12</v>
      </c>
      <c r="S93" s="221">
        <f>-Trackers!E427-IntDeduct!D8</f>
        <v>-10</v>
      </c>
      <c r="T93" s="221">
        <f>-Trackers!F427-IntDeduct!E8</f>
        <v>-12</v>
      </c>
      <c r="U93" s="221">
        <f>-Trackers!G427-IntDeduct!F8</f>
        <v>-11</v>
      </c>
      <c r="V93" s="221">
        <f>-Trackers!H427-IntDeduct!G8</f>
        <v>-12</v>
      </c>
      <c r="W93" s="221">
        <f>-Trackers!I427-IntDeduct!H8</f>
        <v>-12</v>
      </c>
      <c r="X93" s="221">
        <f>-Trackers!J427-IntDeduct!I8</f>
        <v>-12</v>
      </c>
      <c r="Y93" s="221">
        <f>-Trackers!K427-IntDeduct!J8</f>
        <v>-12</v>
      </c>
      <c r="Z93" s="221">
        <f>-Trackers!L427-IntDeduct!K8</f>
        <v>-12</v>
      </c>
      <c r="AA93" s="221">
        <f>-Trackers!M427-IntDeduct!L8</f>
        <v>-6</v>
      </c>
      <c r="AB93" s="221">
        <f>-Trackers!N427-IntDeduct!M8</f>
        <v>-6</v>
      </c>
      <c r="AC93" s="221">
        <f>-Trackers!O427-IntDeduct!N8</f>
        <v>-6</v>
      </c>
      <c r="AD93" s="221">
        <f>SUM(R93:AC93)</f>
        <v>-123</v>
      </c>
      <c r="AI93" s="210"/>
      <c r="AJ93" s="210"/>
      <c r="AK93" s="210"/>
      <c r="AL93" s="210"/>
      <c r="AM93" s="210"/>
      <c r="AN93" s="210"/>
      <c r="AO93" s="210"/>
      <c r="AP93" s="210"/>
      <c r="AQ93" s="210"/>
      <c r="AR93" s="210"/>
      <c r="AS93" s="210"/>
      <c r="AT93" s="210"/>
      <c r="AU93" s="210"/>
      <c r="AV93" s="210"/>
      <c r="AW93" s="210"/>
      <c r="AX93" s="210"/>
      <c r="AY93" s="210"/>
      <c r="AZ93" s="210"/>
      <c r="BA93" s="210"/>
      <c r="BB93" s="210"/>
      <c r="BC93" s="210"/>
      <c r="BD93" s="210"/>
      <c r="BE93" s="210"/>
      <c r="BF93" s="210"/>
      <c r="BG93" s="210"/>
      <c r="BH93" s="210"/>
      <c r="BI93" s="210"/>
      <c r="BJ93" s="210"/>
    </row>
    <row r="94" spans="1:62" ht="12" customHeight="1" x14ac:dyDescent="0.2">
      <c r="A94" s="210"/>
      <c r="B94" s="210"/>
      <c r="C94" s="210"/>
      <c r="D94" s="210"/>
      <c r="E94" s="210"/>
      <c r="F94" s="210"/>
      <c r="G94" s="210"/>
      <c r="H94" s="210"/>
      <c r="I94" s="210"/>
      <c r="J94" s="210"/>
      <c r="K94" s="210"/>
      <c r="L94" s="210"/>
      <c r="M94" s="227"/>
      <c r="N94" s="442" t="s">
        <v>788</v>
      </c>
      <c r="O94" s="208"/>
      <c r="R94" s="275">
        <v>0</v>
      </c>
      <c r="S94" s="275">
        <v>0</v>
      </c>
      <c r="T94" s="275">
        <v>0</v>
      </c>
      <c r="U94" s="275">
        <v>0</v>
      </c>
      <c r="V94" s="275">
        <v>0</v>
      </c>
      <c r="W94" s="275">
        <v>0</v>
      </c>
      <c r="X94" s="275">
        <v>0</v>
      </c>
      <c r="Y94" s="275">
        <v>0</v>
      </c>
      <c r="Z94" s="275">
        <v>0</v>
      </c>
      <c r="AA94" s="275">
        <v>0</v>
      </c>
      <c r="AB94" s="275">
        <v>0</v>
      </c>
      <c r="AC94" s="275">
        <v>0</v>
      </c>
      <c r="AD94" s="229">
        <f>SUM(R94:AC94)</f>
        <v>0</v>
      </c>
      <c r="AI94" s="210"/>
      <c r="AJ94" s="210"/>
      <c r="AK94" s="210"/>
      <c r="AL94" s="210"/>
      <c r="AM94" s="210"/>
      <c r="AN94" s="210"/>
      <c r="AO94" s="210"/>
      <c r="AP94" s="210"/>
      <c r="AQ94" s="210"/>
      <c r="AR94" s="210"/>
      <c r="AS94" s="210"/>
      <c r="AT94" s="210"/>
      <c r="AU94" s="210"/>
      <c r="AV94" s="210"/>
      <c r="AW94" s="210"/>
      <c r="AX94" s="210"/>
      <c r="AY94" s="210"/>
      <c r="AZ94" s="210"/>
      <c r="BA94" s="210"/>
      <c r="BB94" s="210"/>
      <c r="BC94" s="210"/>
      <c r="BD94" s="210"/>
      <c r="BE94" s="210"/>
      <c r="BF94" s="210"/>
      <c r="BG94" s="210"/>
      <c r="BH94" s="210"/>
      <c r="BI94" s="210"/>
      <c r="BJ94" s="210"/>
    </row>
    <row r="95" spans="1:62" ht="12" customHeight="1" x14ac:dyDescent="0.2">
      <c r="A95" s="210"/>
      <c r="B95" s="210"/>
      <c r="C95" s="210"/>
      <c r="D95" s="210"/>
      <c r="E95" s="210"/>
      <c r="F95" s="210"/>
      <c r="G95" s="210"/>
      <c r="H95" s="210"/>
      <c r="I95" s="210"/>
      <c r="J95" s="210"/>
      <c r="K95" s="210"/>
      <c r="L95" s="210"/>
      <c r="M95" s="433"/>
      <c r="N95" s="454" t="s">
        <v>979</v>
      </c>
      <c r="O95" s="243"/>
      <c r="R95" s="229">
        <f t="shared" ref="R95:AD95" si="92">SUM(R93:R94)</f>
        <v>-12</v>
      </c>
      <c r="S95" s="229">
        <f t="shared" si="92"/>
        <v>-10</v>
      </c>
      <c r="T95" s="229">
        <f t="shared" si="92"/>
        <v>-12</v>
      </c>
      <c r="U95" s="229">
        <f t="shared" si="92"/>
        <v>-11</v>
      </c>
      <c r="V95" s="229">
        <f t="shared" si="92"/>
        <v>-12</v>
      </c>
      <c r="W95" s="229">
        <f t="shared" si="92"/>
        <v>-12</v>
      </c>
      <c r="X95" s="229">
        <f t="shared" si="92"/>
        <v>-12</v>
      </c>
      <c r="Y95" s="229">
        <f t="shared" si="92"/>
        <v>-12</v>
      </c>
      <c r="Z95" s="229">
        <f t="shared" si="92"/>
        <v>-12</v>
      </c>
      <c r="AA95" s="229">
        <f t="shared" si="92"/>
        <v>-6</v>
      </c>
      <c r="AB95" s="229">
        <f t="shared" si="92"/>
        <v>-6</v>
      </c>
      <c r="AC95" s="229">
        <f t="shared" si="92"/>
        <v>-6</v>
      </c>
      <c r="AD95" s="229">
        <f t="shared" si="92"/>
        <v>-123</v>
      </c>
      <c r="AI95" s="210"/>
      <c r="AJ95" s="210"/>
      <c r="AK95" s="210"/>
      <c r="AL95" s="210"/>
      <c r="AM95" s="210"/>
      <c r="AN95" s="210"/>
      <c r="AO95" s="210"/>
      <c r="AP95" s="210"/>
      <c r="AQ95" s="210"/>
      <c r="AR95" s="210"/>
      <c r="AS95" s="210"/>
      <c r="AT95" s="210"/>
      <c r="AU95" s="210"/>
      <c r="AV95" s="210"/>
      <c r="AW95" s="210"/>
      <c r="AX95" s="210"/>
      <c r="AY95" s="210"/>
      <c r="AZ95" s="210"/>
      <c r="BA95" s="210"/>
      <c r="BB95" s="210"/>
      <c r="BC95" s="210"/>
      <c r="BD95" s="210"/>
      <c r="BE95" s="210"/>
      <c r="BF95" s="210"/>
      <c r="BG95" s="210"/>
      <c r="BH95" s="210"/>
      <c r="BI95" s="210"/>
      <c r="BJ95" s="210"/>
    </row>
    <row r="96" spans="1:62" ht="6" customHeight="1" x14ac:dyDescent="0.2">
      <c r="A96" s="210"/>
      <c r="B96" s="210"/>
      <c r="C96" s="210"/>
      <c r="D96" s="210"/>
      <c r="E96" s="210"/>
      <c r="F96" s="210"/>
      <c r="G96" s="210"/>
      <c r="H96" s="210"/>
      <c r="I96" s="210"/>
      <c r="J96" s="210"/>
      <c r="K96" s="210"/>
      <c r="L96" s="210"/>
      <c r="M96" s="433"/>
      <c r="N96" s="433"/>
      <c r="AI96" s="210"/>
      <c r="AJ96" s="210"/>
      <c r="AK96" s="210"/>
      <c r="AL96" s="210"/>
      <c r="AM96" s="210"/>
      <c r="AN96" s="210"/>
      <c r="AO96" s="210"/>
      <c r="AP96" s="210"/>
      <c r="AQ96" s="210"/>
      <c r="AR96" s="210"/>
      <c r="AS96" s="210"/>
      <c r="AT96" s="210"/>
      <c r="AU96" s="210"/>
      <c r="AV96" s="210"/>
      <c r="AW96" s="210"/>
      <c r="AX96" s="210"/>
      <c r="AY96" s="210"/>
      <c r="AZ96" s="210"/>
      <c r="BA96" s="210"/>
      <c r="BB96" s="210"/>
      <c r="BC96" s="210"/>
      <c r="BD96" s="210"/>
      <c r="BE96" s="210"/>
      <c r="BF96" s="210"/>
      <c r="BG96" s="210"/>
      <c r="BH96" s="210"/>
      <c r="BI96" s="210"/>
      <c r="BJ96" s="210"/>
    </row>
    <row r="97" spans="1:62" ht="12" customHeight="1" x14ac:dyDescent="0.2">
      <c r="A97" s="210"/>
      <c r="B97" s="210"/>
      <c r="C97" s="210"/>
      <c r="D97" s="210"/>
      <c r="E97" s="210"/>
      <c r="F97" s="210"/>
      <c r="G97" s="210"/>
      <c r="H97" s="210"/>
      <c r="I97" s="210"/>
      <c r="J97" s="210"/>
      <c r="K97" s="210"/>
      <c r="L97" s="210"/>
      <c r="M97" s="455"/>
      <c r="N97" s="454" t="s">
        <v>980</v>
      </c>
      <c r="R97" s="221">
        <f>Trackers!D491-IntDeduct!C9</f>
        <v>0</v>
      </c>
      <c r="S97" s="221">
        <f>Trackers!E491-IntDeduct!D9</f>
        <v>0</v>
      </c>
      <c r="T97" s="221">
        <f>Trackers!F491-IntDeduct!E9</f>
        <v>0</v>
      </c>
      <c r="U97" s="221">
        <f>Trackers!G491-IntDeduct!F9</f>
        <v>0</v>
      </c>
      <c r="V97" s="221">
        <f>Trackers!H491-IntDeduct!G9</f>
        <v>0</v>
      </c>
      <c r="W97" s="221">
        <f>Trackers!I491-IntDeduct!H9</f>
        <v>0</v>
      </c>
      <c r="X97" s="221">
        <f>Trackers!J491-IntDeduct!I9</f>
        <v>0</v>
      </c>
      <c r="Y97" s="221">
        <f>Trackers!K491-IntDeduct!J9</f>
        <v>0</v>
      </c>
      <c r="Z97" s="221">
        <f>Trackers!L491-IntDeduct!K9</f>
        <v>0</v>
      </c>
      <c r="AA97" s="221">
        <f>Trackers!M491-IntDeduct!L9</f>
        <v>0</v>
      </c>
      <c r="AB97" s="221">
        <f>Trackers!N491-IntDeduct!M9</f>
        <v>0</v>
      </c>
      <c r="AC97" s="221">
        <f>Trackers!O491-IntDeduct!N9</f>
        <v>0</v>
      </c>
      <c r="AD97" s="221">
        <f>SUM(R97:AC97)</f>
        <v>0</v>
      </c>
      <c r="AI97" s="210"/>
      <c r="AJ97" s="210"/>
      <c r="AK97" s="210"/>
      <c r="AL97" s="210"/>
      <c r="AM97" s="210"/>
      <c r="AN97" s="210"/>
      <c r="AO97" s="210"/>
      <c r="AP97" s="210"/>
      <c r="AQ97" s="210"/>
      <c r="AR97" s="210"/>
      <c r="AS97" s="210"/>
      <c r="AT97" s="210"/>
      <c r="AU97" s="210"/>
      <c r="AV97" s="210"/>
      <c r="AW97" s="210"/>
      <c r="AX97" s="210"/>
      <c r="AY97" s="210"/>
      <c r="AZ97" s="210"/>
      <c r="BA97" s="210"/>
      <c r="BB97" s="210"/>
      <c r="BC97" s="210"/>
      <c r="BD97" s="210"/>
      <c r="BE97" s="210"/>
      <c r="BF97" s="210"/>
      <c r="BG97" s="210"/>
      <c r="BH97" s="210"/>
      <c r="BI97" s="210"/>
      <c r="BJ97" s="210"/>
    </row>
    <row r="98" spans="1:62" ht="12" customHeight="1" x14ac:dyDescent="0.2">
      <c r="A98" s="210"/>
      <c r="B98" s="210"/>
      <c r="C98" s="210"/>
      <c r="D98" s="210"/>
      <c r="E98" s="210"/>
      <c r="F98" s="210"/>
      <c r="G98" s="210"/>
      <c r="H98" s="210"/>
      <c r="I98" s="210"/>
      <c r="J98" s="210"/>
      <c r="K98" s="210"/>
      <c r="L98" s="210"/>
      <c r="M98" s="227"/>
      <c r="N98" s="442" t="s">
        <v>788</v>
      </c>
      <c r="O98" s="208"/>
      <c r="R98" s="275">
        <v>0</v>
      </c>
      <c r="S98" s="275">
        <v>0</v>
      </c>
      <c r="T98" s="275">
        <v>0</v>
      </c>
      <c r="U98" s="275">
        <v>0</v>
      </c>
      <c r="V98" s="275">
        <v>0</v>
      </c>
      <c r="W98" s="275">
        <v>0</v>
      </c>
      <c r="X98" s="275">
        <v>0</v>
      </c>
      <c r="Y98" s="275">
        <v>0</v>
      </c>
      <c r="Z98" s="275">
        <v>0</v>
      </c>
      <c r="AA98" s="275">
        <v>0</v>
      </c>
      <c r="AB98" s="275">
        <v>0</v>
      </c>
      <c r="AC98" s="275">
        <v>0</v>
      </c>
      <c r="AD98" s="229">
        <f>SUM(R98:AC98)</f>
        <v>0</v>
      </c>
      <c r="AI98" s="210"/>
      <c r="AJ98" s="210"/>
      <c r="AK98" s="210"/>
      <c r="AL98" s="210"/>
      <c r="AM98" s="210"/>
      <c r="AN98" s="210"/>
      <c r="AO98" s="210"/>
      <c r="AP98" s="210"/>
      <c r="AQ98" s="210"/>
      <c r="AR98" s="210"/>
      <c r="AS98" s="210"/>
      <c r="AT98" s="210"/>
      <c r="AU98" s="210"/>
      <c r="AV98" s="210"/>
      <c r="AW98" s="210"/>
      <c r="AX98" s="210"/>
      <c r="AY98" s="210"/>
      <c r="AZ98" s="210"/>
      <c r="BA98" s="210"/>
      <c r="BB98" s="210"/>
      <c r="BC98" s="210"/>
      <c r="BD98" s="210"/>
      <c r="BE98" s="210"/>
      <c r="BF98" s="210"/>
      <c r="BG98" s="210"/>
      <c r="BH98" s="210"/>
      <c r="BI98" s="210"/>
      <c r="BJ98" s="210"/>
    </row>
    <row r="99" spans="1:62" ht="12" customHeight="1" x14ac:dyDescent="0.2">
      <c r="A99" s="210"/>
      <c r="B99" s="210"/>
      <c r="C99" s="210"/>
      <c r="D99" s="210"/>
      <c r="E99" s="210"/>
      <c r="F99" s="210"/>
      <c r="G99" s="210"/>
      <c r="H99" s="210"/>
      <c r="I99" s="210"/>
      <c r="J99" s="210"/>
      <c r="K99" s="210"/>
      <c r="L99" s="210"/>
      <c r="M99" s="433"/>
      <c r="N99" s="454" t="s">
        <v>981</v>
      </c>
      <c r="O99" s="243"/>
      <c r="R99" s="229">
        <f t="shared" ref="R99:AD99" si="93">SUM(R97:R98)</f>
        <v>0</v>
      </c>
      <c r="S99" s="229">
        <f t="shared" si="93"/>
        <v>0</v>
      </c>
      <c r="T99" s="229">
        <f t="shared" si="93"/>
        <v>0</v>
      </c>
      <c r="U99" s="229">
        <f t="shared" si="93"/>
        <v>0</v>
      </c>
      <c r="V99" s="229">
        <f t="shared" si="93"/>
        <v>0</v>
      </c>
      <c r="W99" s="229">
        <f t="shared" si="93"/>
        <v>0</v>
      </c>
      <c r="X99" s="229">
        <f t="shared" si="93"/>
        <v>0</v>
      </c>
      <c r="Y99" s="229">
        <f t="shared" si="93"/>
        <v>0</v>
      </c>
      <c r="Z99" s="229">
        <f t="shared" si="93"/>
        <v>0</v>
      </c>
      <c r="AA99" s="229">
        <f t="shared" si="93"/>
        <v>0</v>
      </c>
      <c r="AB99" s="229">
        <f t="shared" si="93"/>
        <v>0</v>
      </c>
      <c r="AC99" s="229">
        <f t="shared" si="93"/>
        <v>0</v>
      </c>
      <c r="AD99" s="229">
        <f t="shared" si="93"/>
        <v>0</v>
      </c>
      <c r="AI99" s="210"/>
      <c r="AJ99" s="210"/>
      <c r="AK99" s="210"/>
      <c r="AL99" s="210"/>
      <c r="AM99" s="210"/>
      <c r="AN99" s="210"/>
      <c r="AO99" s="210"/>
      <c r="AP99" s="210"/>
      <c r="AQ99" s="210"/>
      <c r="AR99" s="210"/>
      <c r="AS99" s="210"/>
      <c r="AT99" s="210"/>
      <c r="AU99" s="210"/>
      <c r="AV99" s="210"/>
      <c r="AW99" s="210"/>
      <c r="AX99" s="210"/>
      <c r="AY99" s="210"/>
      <c r="AZ99" s="210"/>
      <c r="BA99" s="210"/>
      <c r="BB99" s="210"/>
      <c r="BC99" s="210"/>
      <c r="BD99" s="210"/>
      <c r="BE99" s="210"/>
      <c r="BF99" s="210"/>
      <c r="BG99" s="210"/>
      <c r="BH99" s="210"/>
      <c r="BI99" s="210"/>
      <c r="BJ99" s="210"/>
    </row>
    <row r="100" spans="1:62" ht="6" customHeight="1" x14ac:dyDescent="0.2">
      <c r="A100" s="210"/>
      <c r="B100" s="210"/>
      <c r="C100" s="210"/>
      <c r="D100" s="210"/>
      <c r="E100" s="210"/>
      <c r="F100" s="210"/>
      <c r="G100" s="210"/>
      <c r="H100" s="210"/>
      <c r="I100" s="210"/>
      <c r="J100" s="210"/>
      <c r="K100" s="210"/>
      <c r="L100" s="210"/>
      <c r="M100" s="433"/>
      <c r="N100" s="433"/>
      <c r="AI100" s="210"/>
      <c r="AJ100" s="210"/>
      <c r="AK100" s="210"/>
      <c r="AL100" s="210"/>
      <c r="AM100" s="210"/>
      <c r="AN100" s="210"/>
      <c r="AO100" s="210"/>
      <c r="AP100" s="210"/>
      <c r="AQ100" s="210"/>
      <c r="AR100" s="210"/>
      <c r="AS100" s="210"/>
      <c r="AT100" s="210"/>
      <c r="AU100" s="210"/>
      <c r="AV100" s="210"/>
      <c r="AW100" s="210"/>
      <c r="AX100" s="210"/>
      <c r="AY100" s="210"/>
      <c r="AZ100" s="210"/>
      <c r="BA100" s="210"/>
      <c r="BB100" s="210"/>
      <c r="BC100" s="210"/>
      <c r="BD100" s="210"/>
      <c r="BE100" s="210"/>
      <c r="BF100" s="210"/>
      <c r="BG100" s="210"/>
      <c r="BH100" s="210"/>
      <c r="BI100" s="210"/>
      <c r="BJ100" s="210"/>
    </row>
    <row r="101" spans="1:62" ht="12" customHeight="1" x14ac:dyDescent="0.2">
      <c r="A101" s="210"/>
      <c r="B101" s="210"/>
      <c r="C101" s="210"/>
      <c r="D101" s="210"/>
      <c r="E101" s="210"/>
      <c r="F101" s="210"/>
      <c r="G101" s="210"/>
      <c r="H101" s="210"/>
      <c r="I101" s="210"/>
      <c r="J101" s="210"/>
      <c r="K101" s="210"/>
      <c r="L101" s="210"/>
      <c r="M101" s="455"/>
      <c r="N101" s="454" t="s">
        <v>982</v>
      </c>
      <c r="R101" s="221">
        <f>Trackers!D43-IntDeduct!C11</f>
        <v>0</v>
      </c>
      <c r="S101" s="221">
        <f>Trackers!E43-IntDeduct!D11</f>
        <v>-1</v>
      </c>
      <c r="T101" s="221">
        <f>Trackers!F43-IntDeduct!E11</f>
        <v>0</v>
      </c>
      <c r="U101" s="221">
        <f>Trackers!G43-IntDeduct!F11</f>
        <v>-1</v>
      </c>
      <c r="V101" s="221">
        <f>Trackers!H43-IntDeduct!G11</f>
        <v>0</v>
      </c>
      <c r="W101" s="221">
        <f>Trackers!I43-IntDeduct!H11</f>
        <v>-1</v>
      </c>
      <c r="X101" s="221">
        <f>Trackers!J43-IntDeduct!I11</f>
        <v>0</v>
      </c>
      <c r="Y101" s="221">
        <f>Trackers!K43-IntDeduct!J11</f>
        <v>-1</v>
      </c>
      <c r="Z101" s="221">
        <f>Trackers!L43-IntDeduct!K11</f>
        <v>0</v>
      </c>
      <c r="AA101" s="221">
        <f>Trackers!M43-IntDeduct!L11</f>
        <v>-1</v>
      </c>
      <c r="AB101" s="221">
        <f>Trackers!N43-IntDeduct!M11</f>
        <v>0</v>
      </c>
      <c r="AC101" s="221">
        <f>Trackers!O43-IntDeduct!N11</f>
        <v>-1</v>
      </c>
      <c r="AD101" s="221">
        <f>SUM(R101:AC101)</f>
        <v>-6</v>
      </c>
      <c r="AE101" s="221"/>
      <c r="AF101" s="221"/>
      <c r="AI101" s="210"/>
      <c r="AJ101" s="210"/>
      <c r="AK101" s="210"/>
      <c r="AL101" s="210"/>
      <c r="AM101" s="210"/>
      <c r="AN101" s="210"/>
      <c r="AO101" s="210"/>
      <c r="AP101" s="210"/>
      <c r="AQ101" s="210"/>
      <c r="AR101" s="210"/>
      <c r="AS101" s="210"/>
      <c r="AT101" s="210"/>
      <c r="AU101" s="210"/>
      <c r="AV101" s="210"/>
      <c r="AW101" s="210"/>
      <c r="AX101" s="210"/>
      <c r="AY101" s="210"/>
      <c r="AZ101" s="210"/>
      <c r="BA101" s="210"/>
      <c r="BB101" s="210"/>
      <c r="BC101" s="210"/>
      <c r="BD101" s="210"/>
      <c r="BE101" s="210"/>
      <c r="BF101" s="210"/>
      <c r="BG101" s="210"/>
      <c r="BH101" s="210"/>
      <c r="BI101" s="210"/>
      <c r="BJ101" s="210"/>
    </row>
    <row r="102" spans="1:62" ht="12" customHeight="1" x14ac:dyDescent="0.2">
      <c r="A102" s="210"/>
      <c r="B102" s="210"/>
      <c r="C102" s="210"/>
      <c r="D102" s="210"/>
      <c r="E102" s="210"/>
      <c r="F102" s="210"/>
      <c r="G102" s="210"/>
      <c r="H102" s="210"/>
      <c r="I102" s="210"/>
      <c r="J102" s="210"/>
      <c r="K102" s="210"/>
      <c r="L102" s="210"/>
      <c r="M102" s="227"/>
      <c r="N102" s="442" t="s">
        <v>788</v>
      </c>
      <c r="O102" s="208"/>
      <c r="R102" s="275">
        <v>0</v>
      </c>
      <c r="S102" s="275">
        <v>0</v>
      </c>
      <c r="T102" s="275">
        <v>0</v>
      </c>
      <c r="U102" s="275">
        <v>0</v>
      </c>
      <c r="V102" s="275">
        <v>0</v>
      </c>
      <c r="W102" s="275">
        <v>0</v>
      </c>
      <c r="X102" s="275">
        <v>0</v>
      </c>
      <c r="Y102" s="275">
        <v>0</v>
      </c>
      <c r="Z102" s="275">
        <v>0</v>
      </c>
      <c r="AA102" s="275">
        <v>0</v>
      </c>
      <c r="AB102" s="275">
        <v>0</v>
      </c>
      <c r="AC102" s="275">
        <v>0</v>
      </c>
      <c r="AD102" s="229">
        <f>SUM(R102:AC102)</f>
        <v>0</v>
      </c>
      <c r="AI102" s="210"/>
      <c r="AJ102" s="210"/>
      <c r="AK102" s="210"/>
      <c r="AL102" s="210"/>
      <c r="AM102" s="210"/>
      <c r="AN102" s="210"/>
      <c r="AO102" s="210"/>
      <c r="AP102" s="210"/>
      <c r="AQ102" s="210"/>
      <c r="AR102" s="210"/>
      <c r="AS102" s="210"/>
      <c r="AT102" s="210"/>
      <c r="AU102" s="210"/>
      <c r="AV102" s="210"/>
      <c r="AW102" s="210"/>
      <c r="AX102" s="210"/>
      <c r="AY102" s="210"/>
      <c r="AZ102" s="210"/>
      <c r="BA102" s="210"/>
      <c r="BB102" s="210"/>
      <c r="BC102" s="210"/>
      <c r="BD102" s="210"/>
      <c r="BE102" s="210"/>
      <c r="BF102" s="210"/>
      <c r="BG102" s="210"/>
      <c r="BH102" s="210"/>
      <c r="BI102" s="210"/>
      <c r="BJ102" s="210"/>
    </row>
    <row r="103" spans="1:62" ht="12" customHeight="1" x14ac:dyDescent="0.2">
      <c r="A103" s="210"/>
      <c r="B103" s="210"/>
      <c r="C103" s="210"/>
      <c r="D103" s="210"/>
      <c r="E103" s="210"/>
      <c r="F103" s="210"/>
      <c r="G103" s="210"/>
      <c r="H103" s="210"/>
      <c r="I103" s="210"/>
      <c r="J103" s="210"/>
      <c r="K103" s="210"/>
      <c r="L103" s="210"/>
      <c r="M103" s="433"/>
      <c r="N103" s="454" t="s">
        <v>983</v>
      </c>
      <c r="O103" s="243"/>
      <c r="R103" s="229">
        <f t="shared" ref="R103:AD103" si="94">SUM(R101:R102)</f>
        <v>0</v>
      </c>
      <c r="S103" s="229">
        <f t="shared" si="94"/>
        <v>-1</v>
      </c>
      <c r="T103" s="229">
        <f t="shared" si="94"/>
        <v>0</v>
      </c>
      <c r="U103" s="229">
        <f t="shared" si="94"/>
        <v>-1</v>
      </c>
      <c r="V103" s="229">
        <f t="shared" si="94"/>
        <v>0</v>
      </c>
      <c r="W103" s="229">
        <f t="shared" si="94"/>
        <v>-1</v>
      </c>
      <c r="X103" s="229">
        <f t="shared" si="94"/>
        <v>0</v>
      </c>
      <c r="Y103" s="229">
        <f t="shared" si="94"/>
        <v>-1</v>
      </c>
      <c r="Z103" s="229">
        <f t="shared" si="94"/>
        <v>0</v>
      </c>
      <c r="AA103" s="229">
        <f t="shared" si="94"/>
        <v>-1</v>
      </c>
      <c r="AB103" s="229">
        <f t="shared" si="94"/>
        <v>0</v>
      </c>
      <c r="AC103" s="229">
        <f t="shared" si="94"/>
        <v>-1</v>
      </c>
      <c r="AD103" s="229">
        <f t="shared" si="94"/>
        <v>-6</v>
      </c>
      <c r="AI103" s="210"/>
      <c r="AJ103" s="210"/>
      <c r="AK103" s="210"/>
      <c r="AL103" s="210"/>
      <c r="AM103" s="210"/>
      <c r="AN103" s="210"/>
      <c r="AO103" s="210"/>
      <c r="AP103" s="210"/>
      <c r="AQ103" s="210"/>
      <c r="AR103" s="210"/>
      <c r="AS103" s="210"/>
      <c r="AT103" s="210"/>
      <c r="AU103" s="210"/>
      <c r="AV103" s="210"/>
      <c r="AW103" s="210"/>
      <c r="AX103" s="210"/>
      <c r="AY103" s="210"/>
      <c r="AZ103" s="210"/>
      <c r="BA103" s="210"/>
      <c r="BB103" s="210"/>
      <c r="BC103" s="210"/>
      <c r="BD103" s="210"/>
      <c r="BE103" s="210"/>
      <c r="BF103" s="210"/>
      <c r="BG103" s="210"/>
      <c r="BH103" s="210"/>
      <c r="BI103" s="210"/>
      <c r="BJ103" s="210"/>
    </row>
    <row r="104" spans="1:62" ht="6" customHeight="1" x14ac:dyDescent="0.2">
      <c r="A104" s="210"/>
      <c r="B104" s="210"/>
      <c r="C104" s="210"/>
      <c r="D104" s="210"/>
      <c r="E104" s="210"/>
      <c r="F104" s="210"/>
      <c r="G104" s="210"/>
      <c r="H104" s="210"/>
      <c r="I104" s="210"/>
      <c r="J104" s="210"/>
      <c r="K104" s="210"/>
      <c r="L104" s="210"/>
      <c r="M104" s="433"/>
      <c r="N104" s="433"/>
      <c r="AI104" s="210"/>
      <c r="AJ104" s="210"/>
      <c r="AK104" s="210"/>
      <c r="AL104" s="210"/>
      <c r="AM104" s="210"/>
      <c r="AN104" s="210"/>
      <c r="AO104" s="210"/>
      <c r="AP104" s="210"/>
      <c r="AQ104" s="210"/>
      <c r="AR104" s="210"/>
      <c r="AS104" s="210"/>
      <c r="AT104" s="210"/>
      <c r="AU104" s="210"/>
      <c r="AV104" s="210"/>
      <c r="AW104" s="210"/>
      <c r="AX104" s="210"/>
      <c r="AY104" s="210"/>
      <c r="AZ104" s="210"/>
      <c r="BA104" s="210"/>
      <c r="BB104" s="210"/>
      <c r="BC104" s="210"/>
      <c r="BD104" s="210"/>
      <c r="BE104" s="210"/>
      <c r="BF104" s="210"/>
      <c r="BG104" s="210"/>
      <c r="BH104" s="210"/>
      <c r="BI104" s="210"/>
      <c r="BJ104" s="210"/>
    </row>
    <row r="105" spans="1:62" ht="12" customHeight="1" x14ac:dyDescent="0.2">
      <c r="A105" s="210"/>
      <c r="B105" s="210"/>
      <c r="C105" s="210"/>
      <c r="D105" s="210"/>
      <c r="E105" s="210"/>
      <c r="F105" s="210"/>
      <c r="G105" s="210"/>
      <c r="H105" s="210"/>
      <c r="I105" s="210"/>
      <c r="J105" s="210"/>
      <c r="K105" s="210"/>
      <c r="L105" s="210"/>
      <c r="M105" s="455"/>
      <c r="N105" s="454" t="s">
        <v>984</v>
      </c>
      <c r="R105" s="221">
        <f>Trackers!D133+OtherInc!C18</f>
        <v>0</v>
      </c>
      <c r="S105" s="221">
        <f>Trackers!E133+OtherInc!D18</f>
        <v>0</v>
      </c>
      <c r="T105" s="221">
        <f>Trackers!F133+OtherInc!E18</f>
        <v>0</v>
      </c>
      <c r="U105" s="221">
        <f>Trackers!G133+OtherInc!F18</f>
        <v>0</v>
      </c>
      <c r="V105" s="221">
        <f>Trackers!H133+OtherInc!G18</f>
        <v>0</v>
      </c>
      <c r="W105" s="221">
        <f>Trackers!I133+OtherInc!H18</f>
        <v>0</v>
      </c>
      <c r="X105" s="221">
        <f>Trackers!J133+OtherInc!I18</f>
        <v>0</v>
      </c>
      <c r="Y105" s="221">
        <f>Trackers!K133+OtherInc!J18</f>
        <v>0</v>
      </c>
      <c r="Z105" s="221">
        <f>Trackers!L133+OtherInc!K18</f>
        <v>0</v>
      </c>
      <c r="AA105" s="221">
        <f>Trackers!M133+OtherInc!L18</f>
        <v>0</v>
      </c>
      <c r="AB105" s="221">
        <f>Trackers!N133+OtherInc!M18</f>
        <v>0</v>
      </c>
      <c r="AC105" s="221">
        <f>Trackers!O133+OtherInc!N18</f>
        <v>0</v>
      </c>
      <c r="AD105" s="221">
        <f>SUM(R105:AC105)</f>
        <v>0</v>
      </c>
      <c r="AE105" s="221"/>
      <c r="AF105" s="221"/>
      <c r="AI105" s="210"/>
      <c r="AJ105" s="210"/>
      <c r="AK105" s="210"/>
      <c r="AL105" s="210"/>
      <c r="AM105" s="210"/>
      <c r="AN105" s="210"/>
      <c r="AO105" s="210"/>
      <c r="AP105" s="210"/>
      <c r="AQ105" s="210"/>
      <c r="AR105" s="210"/>
      <c r="AS105" s="210"/>
      <c r="AT105" s="210"/>
      <c r="AU105" s="210"/>
      <c r="AV105" s="210"/>
      <c r="AW105" s="210"/>
      <c r="AX105" s="210"/>
      <c r="AY105" s="210"/>
      <c r="AZ105" s="210"/>
      <c r="BA105" s="210"/>
      <c r="BB105" s="210"/>
      <c r="BC105" s="210"/>
      <c r="BD105" s="210"/>
      <c r="BE105" s="210"/>
      <c r="BF105" s="210"/>
      <c r="BG105" s="210"/>
      <c r="BH105" s="210"/>
      <c r="BI105" s="210"/>
      <c r="BJ105" s="210"/>
    </row>
    <row r="106" spans="1:62" ht="12" customHeight="1" x14ac:dyDescent="0.2">
      <c r="A106" s="210"/>
      <c r="B106" s="210"/>
      <c r="C106" s="210"/>
      <c r="D106" s="210"/>
      <c r="E106" s="210"/>
      <c r="F106" s="210"/>
      <c r="G106" s="210"/>
      <c r="H106" s="210"/>
      <c r="I106" s="210"/>
      <c r="J106" s="210"/>
      <c r="K106" s="210"/>
      <c r="L106" s="210"/>
      <c r="M106" s="227"/>
      <c r="N106" s="442" t="s">
        <v>788</v>
      </c>
      <c r="O106" s="208"/>
      <c r="R106" s="275">
        <v>0</v>
      </c>
      <c r="S106" s="275">
        <v>0</v>
      </c>
      <c r="T106" s="275">
        <v>0</v>
      </c>
      <c r="U106" s="275">
        <v>0</v>
      </c>
      <c r="V106" s="275">
        <v>0</v>
      </c>
      <c r="W106" s="275">
        <v>0</v>
      </c>
      <c r="X106" s="275">
        <v>0</v>
      </c>
      <c r="Y106" s="275">
        <v>0</v>
      </c>
      <c r="Z106" s="275">
        <v>0</v>
      </c>
      <c r="AA106" s="275">
        <v>0</v>
      </c>
      <c r="AB106" s="275">
        <v>0</v>
      </c>
      <c r="AC106" s="275">
        <v>0</v>
      </c>
      <c r="AD106" s="229">
        <f>SUM(R106:AC106)</f>
        <v>0</v>
      </c>
      <c r="AI106" s="210"/>
      <c r="AJ106" s="210"/>
      <c r="AK106" s="210"/>
      <c r="AL106" s="210"/>
      <c r="AM106" s="210"/>
      <c r="AN106" s="210"/>
      <c r="AO106" s="210"/>
      <c r="AP106" s="210"/>
      <c r="AQ106" s="210"/>
      <c r="AR106" s="210"/>
      <c r="AS106" s="210"/>
      <c r="AT106" s="210"/>
      <c r="AU106" s="210"/>
      <c r="AV106" s="210"/>
      <c r="AW106" s="210"/>
      <c r="AX106" s="210"/>
      <c r="AY106" s="210"/>
      <c r="AZ106" s="210"/>
      <c r="BA106" s="210"/>
      <c r="BB106" s="210"/>
      <c r="BC106" s="210"/>
      <c r="BD106" s="210"/>
      <c r="BE106" s="210"/>
      <c r="BF106" s="210"/>
      <c r="BG106" s="210"/>
      <c r="BH106" s="210"/>
      <c r="BI106" s="210"/>
      <c r="BJ106" s="210"/>
    </row>
    <row r="107" spans="1:62" ht="12" customHeight="1" x14ac:dyDescent="0.2">
      <c r="A107" s="210"/>
      <c r="B107" s="210"/>
      <c r="C107" s="210"/>
      <c r="D107" s="210"/>
      <c r="E107" s="210"/>
      <c r="F107" s="210"/>
      <c r="G107" s="210"/>
      <c r="H107" s="210"/>
      <c r="I107" s="210"/>
      <c r="J107" s="210"/>
      <c r="K107" s="210"/>
      <c r="L107" s="210"/>
      <c r="M107" s="433"/>
      <c r="N107" s="454" t="s">
        <v>986</v>
      </c>
      <c r="O107" s="243"/>
      <c r="R107" s="229">
        <f t="shared" ref="R107:AD107" si="95">SUM(R105:R106)</f>
        <v>0</v>
      </c>
      <c r="S107" s="229">
        <f t="shared" si="95"/>
        <v>0</v>
      </c>
      <c r="T107" s="229">
        <f t="shared" si="95"/>
        <v>0</v>
      </c>
      <c r="U107" s="229">
        <f t="shared" si="95"/>
        <v>0</v>
      </c>
      <c r="V107" s="229">
        <f t="shared" si="95"/>
        <v>0</v>
      </c>
      <c r="W107" s="229">
        <f t="shared" si="95"/>
        <v>0</v>
      </c>
      <c r="X107" s="229">
        <f t="shared" si="95"/>
        <v>0</v>
      </c>
      <c r="Y107" s="229">
        <f t="shared" si="95"/>
        <v>0</v>
      </c>
      <c r="Z107" s="229">
        <f t="shared" si="95"/>
        <v>0</v>
      </c>
      <c r="AA107" s="229">
        <f t="shared" si="95"/>
        <v>0</v>
      </c>
      <c r="AB107" s="229">
        <f t="shared" si="95"/>
        <v>0</v>
      </c>
      <c r="AC107" s="229">
        <f t="shared" si="95"/>
        <v>0</v>
      </c>
      <c r="AD107" s="229">
        <f t="shared" si="95"/>
        <v>0</v>
      </c>
      <c r="AI107" s="210"/>
      <c r="AJ107" s="210"/>
      <c r="AK107" s="210"/>
      <c r="AL107" s="210"/>
      <c r="AM107" s="210"/>
      <c r="AN107" s="210"/>
      <c r="AO107" s="210"/>
      <c r="AP107" s="210"/>
      <c r="AQ107" s="210"/>
      <c r="AR107" s="210"/>
      <c r="AS107" s="210"/>
      <c r="AT107" s="210"/>
      <c r="AU107" s="210"/>
      <c r="AV107" s="210"/>
      <c r="AW107" s="210"/>
      <c r="AX107" s="210"/>
      <c r="AY107" s="210"/>
      <c r="AZ107" s="210"/>
      <c r="BA107" s="210"/>
      <c r="BB107" s="210"/>
      <c r="BC107" s="210"/>
      <c r="BD107" s="210"/>
      <c r="BE107" s="210"/>
      <c r="BF107" s="210"/>
      <c r="BG107" s="210"/>
      <c r="BH107" s="210"/>
      <c r="BI107" s="210"/>
      <c r="BJ107" s="210"/>
    </row>
    <row r="108" spans="1:62" ht="6" customHeight="1" x14ac:dyDescent="0.2">
      <c r="A108" s="210"/>
      <c r="B108" s="210"/>
      <c r="C108" s="210"/>
      <c r="D108" s="210"/>
      <c r="E108" s="210"/>
      <c r="F108" s="210"/>
      <c r="G108" s="210"/>
      <c r="H108" s="210"/>
      <c r="I108" s="210"/>
      <c r="J108" s="210"/>
      <c r="K108" s="210"/>
      <c r="L108" s="210"/>
      <c r="M108" s="433"/>
      <c r="N108" s="433"/>
      <c r="AI108" s="210"/>
      <c r="AJ108" s="210"/>
      <c r="AK108" s="210"/>
      <c r="AL108" s="210"/>
      <c r="AM108" s="210"/>
      <c r="AN108" s="210"/>
      <c r="AO108" s="210"/>
      <c r="AP108" s="210"/>
      <c r="AQ108" s="210"/>
      <c r="AR108" s="210"/>
      <c r="AS108" s="210"/>
      <c r="AT108" s="210"/>
      <c r="AU108" s="210"/>
      <c r="AV108" s="210"/>
      <c r="AW108" s="210"/>
      <c r="AX108" s="210"/>
      <c r="AY108" s="210"/>
      <c r="AZ108" s="210"/>
      <c r="BA108" s="210"/>
      <c r="BB108" s="210"/>
      <c r="BC108" s="210"/>
      <c r="BD108" s="210"/>
      <c r="BE108" s="210"/>
      <c r="BF108" s="210"/>
      <c r="BG108" s="210"/>
      <c r="BH108" s="210"/>
      <c r="BI108" s="210"/>
      <c r="BJ108" s="210"/>
    </row>
    <row r="109" spans="1:62" ht="12" customHeight="1" x14ac:dyDescent="0.2">
      <c r="A109" s="210"/>
      <c r="B109" s="210"/>
      <c r="C109" s="210"/>
      <c r="D109" s="210"/>
      <c r="E109" s="210"/>
      <c r="F109" s="210"/>
      <c r="G109" s="210"/>
      <c r="H109" s="210"/>
      <c r="I109" s="210"/>
      <c r="J109" s="210"/>
      <c r="K109" s="210"/>
      <c r="L109" s="210"/>
      <c r="M109" s="455"/>
      <c r="N109" s="454" t="s">
        <v>987</v>
      </c>
      <c r="R109" s="221">
        <f>-Transport!C29</f>
        <v>0</v>
      </c>
      <c r="S109" s="221">
        <f>-Transport!D29</f>
        <v>0</v>
      </c>
      <c r="T109" s="221">
        <f>-Transport!E29</f>
        <v>0</v>
      </c>
      <c r="U109" s="221">
        <f>-Transport!F29</f>
        <v>0</v>
      </c>
      <c r="V109" s="221">
        <f>-Transport!G29</f>
        <v>0</v>
      </c>
      <c r="W109" s="221">
        <f>-Transport!H29</f>
        <v>0</v>
      </c>
      <c r="X109" s="221">
        <f>-Transport!I29</f>
        <v>0</v>
      </c>
      <c r="Y109" s="221">
        <f>-Transport!J29</f>
        <v>0</v>
      </c>
      <c r="Z109" s="221">
        <f>-Transport!K29</f>
        <v>0</v>
      </c>
      <c r="AA109" s="221">
        <f>-Transport!L29</f>
        <v>0</v>
      </c>
      <c r="AB109" s="221">
        <f>-Transport!M29</f>
        <v>0</v>
      </c>
      <c r="AC109" s="221">
        <f>-Transport!N29</f>
        <v>0</v>
      </c>
      <c r="AD109" s="221">
        <f>SUM(R109:AC109)</f>
        <v>0</v>
      </c>
      <c r="AI109" s="210"/>
      <c r="AJ109" s="210"/>
      <c r="AK109" s="210"/>
      <c r="AL109" s="210"/>
      <c r="AM109" s="210"/>
      <c r="AN109" s="210"/>
      <c r="AO109" s="210"/>
      <c r="AP109" s="210"/>
      <c r="AQ109" s="210"/>
      <c r="AR109" s="210"/>
      <c r="AS109" s="210"/>
      <c r="AT109" s="210"/>
      <c r="AU109" s="210"/>
      <c r="AV109" s="210"/>
      <c r="AW109" s="210"/>
      <c r="AX109" s="210"/>
      <c r="AY109" s="210"/>
      <c r="AZ109" s="210"/>
      <c r="BA109" s="210"/>
      <c r="BB109" s="210"/>
      <c r="BC109" s="210"/>
      <c r="BD109" s="210"/>
      <c r="BE109" s="210"/>
      <c r="BF109" s="210"/>
      <c r="BG109" s="210"/>
      <c r="BH109" s="210"/>
      <c r="BI109" s="210"/>
      <c r="BJ109" s="210"/>
    </row>
    <row r="110" spans="1:62" ht="12" customHeight="1" x14ac:dyDescent="0.2">
      <c r="A110" s="210"/>
      <c r="B110" s="210"/>
      <c r="C110" s="210"/>
      <c r="D110" s="210"/>
      <c r="E110" s="210"/>
      <c r="F110" s="210"/>
      <c r="G110" s="210"/>
      <c r="H110" s="210"/>
      <c r="I110" s="210"/>
      <c r="J110" s="210"/>
      <c r="K110" s="210"/>
      <c r="L110" s="210"/>
      <c r="M110" s="227"/>
      <c r="N110" s="442" t="s">
        <v>788</v>
      </c>
      <c r="R110" s="275">
        <v>0</v>
      </c>
      <c r="S110" s="275">
        <v>0</v>
      </c>
      <c r="T110" s="275">
        <v>0</v>
      </c>
      <c r="U110" s="275">
        <v>0</v>
      </c>
      <c r="V110" s="275">
        <v>0</v>
      </c>
      <c r="W110" s="275">
        <v>0</v>
      </c>
      <c r="X110" s="275">
        <v>0</v>
      </c>
      <c r="Y110" s="275">
        <v>0</v>
      </c>
      <c r="Z110" s="275">
        <v>0</v>
      </c>
      <c r="AA110" s="275">
        <v>0</v>
      </c>
      <c r="AB110" s="275">
        <v>0</v>
      </c>
      <c r="AC110" s="275">
        <v>0</v>
      </c>
      <c r="AD110" s="229">
        <f>SUM(R110:AC110)</f>
        <v>0</v>
      </c>
      <c r="AI110" s="210"/>
      <c r="AJ110" s="210"/>
      <c r="AK110" s="210"/>
      <c r="AL110" s="210"/>
      <c r="AM110" s="210"/>
      <c r="AN110" s="210"/>
      <c r="AO110" s="210"/>
      <c r="AP110" s="210"/>
      <c r="AQ110" s="210"/>
      <c r="AR110" s="210"/>
      <c r="AS110" s="210"/>
      <c r="AT110" s="210"/>
      <c r="AU110" s="210"/>
      <c r="AV110" s="210"/>
      <c r="AW110" s="210"/>
      <c r="AX110" s="210"/>
      <c r="AY110" s="210"/>
      <c r="AZ110" s="210"/>
      <c r="BA110" s="210"/>
      <c r="BB110" s="210"/>
      <c r="BC110" s="210"/>
      <c r="BD110" s="210"/>
      <c r="BE110" s="210"/>
      <c r="BF110" s="210"/>
      <c r="BG110" s="210"/>
      <c r="BH110" s="210"/>
      <c r="BI110" s="210"/>
      <c r="BJ110" s="210"/>
    </row>
    <row r="111" spans="1:62" ht="12" customHeight="1" x14ac:dyDescent="0.2">
      <c r="A111" s="210"/>
      <c r="B111" s="210"/>
      <c r="C111" s="210"/>
      <c r="D111" s="210"/>
      <c r="E111" s="210"/>
      <c r="F111" s="210"/>
      <c r="G111" s="210"/>
      <c r="H111" s="210"/>
      <c r="I111" s="210"/>
      <c r="J111" s="210"/>
      <c r="K111" s="210"/>
      <c r="L111" s="210"/>
      <c r="M111" s="433"/>
      <c r="N111" s="454" t="s">
        <v>988</v>
      </c>
      <c r="O111" s="243"/>
      <c r="R111" s="229">
        <f t="shared" ref="R111:AD111" si="96">SUM(R109:R110)</f>
        <v>0</v>
      </c>
      <c r="S111" s="229">
        <f t="shared" si="96"/>
        <v>0</v>
      </c>
      <c r="T111" s="229">
        <f t="shared" si="96"/>
        <v>0</v>
      </c>
      <c r="U111" s="229">
        <f t="shared" si="96"/>
        <v>0</v>
      </c>
      <c r="V111" s="229">
        <f t="shared" si="96"/>
        <v>0</v>
      </c>
      <c r="W111" s="229">
        <f t="shared" si="96"/>
        <v>0</v>
      </c>
      <c r="X111" s="229">
        <f t="shared" si="96"/>
        <v>0</v>
      </c>
      <c r="Y111" s="229">
        <f t="shared" si="96"/>
        <v>0</v>
      </c>
      <c r="Z111" s="229">
        <f t="shared" si="96"/>
        <v>0</v>
      </c>
      <c r="AA111" s="229">
        <f t="shared" si="96"/>
        <v>0</v>
      </c>
      <c r="AB111" s="229">
        <f t="shared" si="96"/>
        <v>0</v>
      </c>
      <c r="AC111" s="229">
        <f t="shared" si="96"/>
        <v>0</v>
      </c>
      <c r="AD111" s="229">
        <f t="shared" si="96"/>
        <v>0</v>
      </c>
      <c r="AI111" s="210"/>
      <c r="AJ111" s="210"/>
      <c r="AK111" s="210"/>
      <c r="AL111" s="210"/>
      <c r="AM111" s="210"/>
      <c r="AN111" s="210"/>
      <c r="AO111" s="210"/>
      <c r="AP111" s="210"/>
      <c r="AQ111" s="210"/>
      <c r="AR111" s="210"/>
      <c r="AS111" s="210"/>
      <c r="AT111" s="210"/>
      <c r="AU111" s="210"/>
      <c r="AV111" s="210"/>
      <c r="AW111" s="210"/>
      <c r="AX111" s="210"/>
      <c r="AY111" s="210"/>
      <c r="AZ111" s="210"/>
      <c r="BA111" s="210"/>
      <c r="BB111" s="210"/>
      <c r="BC111" s="210"/>
      <c r="BD111" s="210"/>
      <c r="BE111" s="210"/>
      <c r="BF111" s="210"/>
      <c r="BG111" s="210"/>
      <c r="BH111" s="210"/>
      <c r="BI111" s="210"/>
      <c r="BJ111" s="210"/>
    </row>
    <row r="112" spans="1:62" ht="6" customHeight="1" x14ac:dyDescent="0.2">
      <c r="A112" s="210"/>
      <c r="B112" s="210"/>
      <c r="C112" s="210"/>
      <c r="D112" s="210"/>
      <c r="E112" s="210"/>
      <c r="F112" s="210"/>
      <c r="G112" s="210"/>
      <c r="H112" s="210"/>
      <c r="I112" s="210"/>
      <c r="J112" s="210"/>
      <c r="K112" s="210"/>
      <c r="L112" s="210"/>
      <c r="M112" s="433"/>
      <c r="N112" s="433"/>
      <c r="AI112" s="210"/>
      <c r="AJ112" s="210"/>
      <c r="AK112" s="210"/>
      <c r="AL112" s="210"/>
      <c r="AM112" s="210"/>
      <c r="AN112" s="210"/>
      <c r="AO112" s="210"/>
      <c r="AP112" s="210"/>
      <c r="AQ112" s="210"/>
      <c r="AR112" s="210"/>
      <c r="AS112" s="210"/>
      <c r="AT112" s="210"/>
      <c r="AU112" s="210"/>
      <c r="AV112" s="210"/>
      <c r="AW112" s="210"/>
      <c r="AX112" s="210"/>
      <c r="AY112" s="210"/>
      <c r="AZ112" s="210"/>
      <c r="BA112" s="210"/>
      <c r="BB112" s="210"/>
      <c r="BC112" s="210"/>
      <c r="BD112" s="210"/>
      <c r="BE112" s="210"/>
      <c r="BF112" s="210"/>
      <c r="BG112" s="210"/>
      <c r="BH112" s="210"/>
      <c r="BI112" s="210"/>
      <c r="BJ112" s="210"/>
    </row>
    <row r="113" spans="1:62" ht="12" customHeight="1" x14ac:dyDescent="0.2">
      <c r="A113" s="210"/>
      <c r="B113" s="210"/>
      <c r="C113" s="210"/>
      <c r="D113" s="210"/>
      <c r="E113" s="210"/>
      <c r="F113" s="210"/>
      <c r="G113" s="210"/>
      <c r="H113" s="210"/>
      <c r="I113" s="210"/>
      <c r="J113" s="210"/>
      <c r="K113" s="210"/>
      <c r="L113" s="210"/>
      <c r="M113" s="455"/>
      <c r="N113" s="454" t="s">
        <v>989</v>
      </c>
      <c r="R113" s="221">
        <f>Trackers!D544+OtherInc!C17</f>
        <v>0</v>
      </c>
      <c r="S113" s="221">
        <f>Trackers!E544+OtherInc!D17</f>
        <v>0</v>
      </c>
      <c r="T113" s="221">
        <f>Trackers!F544+OtherInc!E17</f>
        <v>0</v>
      </c>
      <c r="U113" s="221">
        <f>Trackers!G544+OtherInc!F17</f>
        <v>0</v>
      </c>
      <c r="V113" s="221">
        <f>Trackers!H544+OtherInc!G17</f>
        <v>0</v>
      </c>
      <c r="W113" s="221">
        <f>Trackers!I544+OtherInc!H17</f>
        <v>0</v>
      </c>
      <c r="X113" s="221">
        <f>Trackers!J544+OtherInc!I17</f>
        <v>0</v>
      </c>
      <c r="Y113" s="221">
        <f>Trackers!K544+OtherInc!J17</f>
        <v>0</v>
      </c>
      <c r="Z113" s="221">
        <f>Trackers!L544+OtherInc!K17</f>
        <v>0</v>
      </c>
      <c r="AA113" s="221">
        <f>Trackers!M544+OtherInc!L17</f>
        <v>0</v>
      </c>
      <c r="AB113" s="221">
        <f>Trackers!N544+OtherInc!M17</f>
        <v>0</v>
      </c>
      <c r="AC113" s="221">
        <f>Trackers!O544+OtherInc!N17</f>
        <v>0</v>
      </c>
      <c r="AD113" s="221">
        <f>SUM(R113:AC113)</f>
        <v>0</v>
      </c>
      <c r="AE113" s="221"/>
      <c r="AF113" s="221"/>
      <c r="AI113" s="210"/>
      <c r="AJ113" s="210"/>
      <c r="AK113" s="210"/>
      <c r="AL113" s="210"/>
      <c r="AM113" s="210"/>
      <c r="AN113" s="210"/>
      <c r="AO113" s="210"/>
      <c r="AP113" s="210"/>
      <c r="AQ113" s="210"/>
      <c r="AR113" s="210"/>
      <c r="AS113" s="210"/>
      <c r="AT113" s="210"/>
      <c r="AU113" s="210"/>
      <c r="AV113" s="210"/>
      <c r="AW113" s="210"/>
      <c r="AX113" s="210"/>
      <c r="AY113" s="210"/>
      <c r="AZ113" s="210"/>
      <c r="BA113" s="210"/>
      <c r="BB113" s="210"/>
      <c r="BC113" s="210"/>
      <c r="BD113" s="210"/>
      <c r="BE113" s="210"/>
      <c r="BF113" s="210"/>
      <c r="BG113" s="210"/>
      <c r="BH113" s="210"/>
      <c r="BI113" s="210"/>
      <c r="BJ113" s="210"/>
    </row>
    <row r="114" spans="1:62" ht="12" customHeight="1" x14ac:dyDescent="0.2">
      <c r="A114" s="210"/>
      <c r="B114" s="210"/>
      <c r="C114" s="210"/>
      <c r="D114" s="210"/>
      <c r="E114" s="210"/>
      <c r="F114" s="210"/>
      <c r="G114" s="210"/>
      <c r="H114" s="210"/>
      <c r="I114" s="210"/>
      <c r="J114" s="210"/>
      <c r="K114" s="210"/>
      <c r="L114" s="210"/>
      <c r="M114" s="227"/>
      <c r="N114" s="442" t="s">
        <v>788</v>
      </c>
      <c r="O114" s="208"/>
      <c r="R114" s="275">
        <v>0</v>
      </c>
      <c r="S114" s="275">
        <v>0</v>
      </c>
      <c r="T114" s="275">
        <v>0</v>
      </c>
      <c r="U114" s="275">
        <v>0</v>
      </c>
      <c r="V114" s="275">
        <v>0</v>
      </c>
      <c r="W114" s="275">
        <v>0</v>
      </c>
      <c r="X114" s="275">
        <v>0</v>
      </c>
      <c r="Y114" s="275">
        <v>0</v>
      </c>
      <c r="Z114" s="275">
        <v>0</v>
      </c>
      <c r="AA114" s="275">
        <v>0</v>
      </c>
      <c r="AB114" s="275">
        <v>0</v>
      </c>
      <c r="AC114" s="275">
        <v>0</v>
      </c>
      <c r="AD114" s="229">
        <f>SUM(R114:AC114)</f>
        <v>0</v>
      </c>
      <c r="AI114" s="210"/>
      <c r="AJ114" s="210"/>
      <c r="AK114" s="210"/>
      <c r="AL114" s="210"/>
      <c r="AM114" s="210"/>
      <c r="AN114" s="210"/>
      <c r="AO114" s="210"/>
      <c r="AP114" s="210"/>
      <c r="AQ114" s="210"/>
      <c r="AR114" s="210"/>
      <c r="AS114" s="210"/>
      <c r="AT114" s="210"/>
      <c r="AU114" s="210"/>
      <c r="AV114" s="210"/>
      <c r="AW114" s="210"/>
      <c r="AX114" s="210"/>
      <c r="AY114" s="210"/>
      <c r="AZ114" s="210"/>
      <c r="BA114" s="210"/>
      <c r="BB114" s="210"/>
      <c r="BC114" s="210"/>
      <c r="BD114" s="210"/>
      <c r="BE114" s="210"/>
      <c r="BF114" s="210"/>
      <c r="BG114" s="210"/>
      <c r="BH114" s="210"/>
      <c r="BI114" s="210"/>
      <c r="BJ114" s="210"/>
    </row>
    <row r="115" spans="1:62" ht="12" customHeight="1" x14ac:dyDescent="0.2">
      <c r="A115" s="210"/>
      <c r="B115" s="210"/>
      <c r="C115" s="210"/>
      <c r="D115" s="210"/>
      <c r="E115" s="210"/>
      <c r="F115" s="210"/>
      <c r="G115" s="210"/>
      <c r="H115" s="210"/>
      <c r="I115" s="210"/>
      <c r="J115" s="210"/>
      <c r="K115" s="210"/>
      <c r="L115" s="210"/>
      <c r="M115" s="433"/>
      <c r="N115" s="454" t="s">
        <v>990</v>
      </c>
      <c r="O115" s="243"/>
      <c r="R115" s="229">
        <f t="shared" ref="R115:AD115" si="97">SUM(R113:R114)</f>
        <v>0</v>
      </c>
      <c r="S115" s="229">
        <f t="shared" si="97"/>
        <v>0</v>
      </c>
      <c r="T115" s="229">
        <f t="shared" si="97"/>
        <v>0</v>
      </c>
      <c r="U115" s="229">
        <f t="shared" si="97"/>
        <v>0</v>
      </c>
      <c r="V115" s="229">
        <f t="shared" si="97"/>
        <v>0</v>
      </c>
      <c r="W115" s="229">
        <f t="shared" si="97"/>
        <v>0</v>
      </c>
      <c r="X115" s="229">
        <f t="shared" si="97"/>
        <v>0</v>
      </c>
      <c r="Y115" s="229">
        <f t="shared" si="97"/>
        <v>0</v>
      </c>
      <c r="Z115" s="229">
        <f t="shared" si="97"/>
        <v>0</v>
      </c>
      <c r="AA115" s="229">
        <f t="shared" si="97"/>
        <v>0</v>
      </c>
      <c r="AB115" s="229">
        <f t="shared" si="97"/>
        <v>0</v>
      </c>
      <c r="AC115" s="229">
        <f t="shared" si="97"/>
        <v>0</v>
      </c>
      <c r="AD115" s="229">
        <f t="shared" si="97"/>
        <v>0</v>
      </c>
      <c r="AI115" s="210"/>
      <c r="AJ115" s="210"/>
      <c r="AK115" s="210"/>
      <c r="AL115" s="210"/>
      <c r="AM115" s="210"/>
      <c r="AN115" s="210"/>
      <c r="AO115" s="210"/>
      <c r="AP115" s="210"/>
      <c r="AQ115" s="210"/>
      <c r="AR115" s="210"/>
      <c r="AS115" s="210"/>
      <c r="AT115" s="210"/>
      <c r="AU115" s="210"/>
      <c r="AV115" s="210"/>
      <c r="AW115" s="210"/>
      <c r="AX115" s="210"/>
      <c r="AY115" s="210"/>
      <c r="AZ115" s="210"/>
      <c r="BA115" s="210"/>
      <c r="BB115" s="210"/>
      <c r="BC115" s="210"/>
      <c r="BD115" s="210"/>
      <c r="BE115" s="210"/>
      <c r="BF115" s="210"/>
      <c r="BG115" s="210"/>
      <c r="BH115" s="210"/>
      <c r="BI115" s="210"/>
      <c r="BJ115" s="210"/>
    </row>
    <row r="116" spans="1:62" ht="6" customHeight="1" x14ac:dyDescent="0.2">
      <c r="A116" s="210"/>
      <c r="B116" s="210"/>
      <c r="C116" s="210"/>
      <c r="D116" s="210"/>
      <c r="E116" s="210"/>
      <c r="F116" s="210"/>
      <c r="G116" s="210"/>
      <c r="H116" s="210"/>
      <c r="I116" s="210"/>
      <c r="J116" s="210"/>
      <c r="K116" s="210"/>
      <c r="L116" s="210"/>
      <c r="M116" s="433"/>
      <c r="N116" s="433"/>
      <c r="AI116" s="210"/>
      <c r="AJ116" s="210"/>
      <c r="AK116" s="210"/>
      <c r="AL116" s="210"/>
      <c r="AM116" s="210"/>
      <c r="AN116" s="210"/>
      <c r="AO116" s="210"/>
      <c r="AP116" s="210"/>
      <c r="AQ116" s="210"/>
      <c r="AR116" s="210"/>
      <c r="AS116" s="210"/>
      <c r="AT116" s="210"/>
      <c r="AU116" s="210"/>
      <c r="AV116" s="210"/>
      <c r="AW116" s="210"/>
      <c r="AX116" s="210"/>
      <c r="AY116" s="210"/>
      <c r="AZ116" s="210"/>
      <c r="BA116" s="210"/>
      <c r="BB116" s="210"/>
      <c r="BC116" s="210"/>
      <c r="BD116" s="210"/>
      <c r="BE116" s="210"/>
      <c r="BF116" s="210"/>
      <c r="BG116" s="210"/>
      <c r="BH116" s="210"/>
      <c r="BI116" s="210"/>
      <c r="BJ116" s="210"/>
    </row>
    <row r="117" spans="1:62" ht="12" customHeight="1" x14ac:dyDescent="0.2">
      <c r="A117" s="210"/>
      <c r="B117" s="210"/>
      <c r="C117" s="210"/>
      <c r="D117" s="210"/>
      <c r="E117" s="210"/>
      <c r="F117" s="210"/>
      <c r="G117" s="210"/>
      <c r="H117" s="210"/>
      <c r="I117" s="210"/>
      <c r="J117" s="210"/>
      <c r="K117" s="210"/>
      <c r="L117" s="210"/>
      <c r="M117" s="455"/>
      <c r="N117" s="454" t="s">
        <v>991</v>
      </c>
      <c r="R117" s="221">
        <f>Trackers!D332-IntDeduct!C10</f>
        <v>0</v>
      </c>
      <c r="S117" s="221">
        <f>Trackers!E332-IntDeduct!D10</f>
        <v>0</v>
      </c>
      <c r="T117" s="221">
        <f>Trackers!F332-IntDeduct!E10</f>
        <v>0</v>
      </c>
      <c r="U117" s="221">
        <f>Trackers!G332-IntDeduct!F10</f>
        <v>0</v>
      </c>
      <c r="V117" s="221">
        <f>Trackers!H332-IntDeduct!G10</f>
        <v>0</v>
      </c>
      <c r="W117" s="221">
        <f>Trackers!I332-IntDeduct!H10</f>
        <v>0</v>
      </c>
      <c r="X117" s="221">
        <f>Trackers!J332-IntDeduct!I10</f>
        <v>0</v>
      </c>
      <c r="Y117" s="221">
        <f>Trackers!K332-IntDeduct!J10</f>
        <v>0</v>
      </c>
      <c r="Z117" s="221">
        <f>Trackers!L332-IntDeduct!K10</f>
        <v>0</v>
      </c>
      <c r="AA117" s="221">
        <f>Trackers!M332-IntDeduct!L10</f>
        <v>0</v>
      </c>
      <c r="AB117" s="221">
        <f>Trackers!N332-IntDeduct!M10</f>
        <v>0</v>
      </c>
      <c r="AC117" s="221">
        <f>Trackers!O332-IntDeduct!N10</f>
        <v>0</v>
      </c>
      <c r="AD117" s="221">
        <f>SUM(R117:AC117)</f>
        <v>0</v>
      </c>
      <c r="AI117" s="210"/>
      <c r="AJ117" s="210"/>
      <c r="AK117" s="210"/>
      <c r="AL117" s="210"/>
      <c r="AM117" s="210"/>
      <c r="AN117" s="210"/>
      <c r="AO117" s="210"/>
      <c r="AP117" s="210"/>
      <c r="AQ117" s="210"/>
      <c r="AR117" s="210"/>
      <c r="AS117" s="210"/>
      <c r="AT117" s="210"/>
      <c r="AU117" s="210"/>
      <c r="AV117" s="210"/>
      <c r="AW117" s="210"/>
      <c r="AX117" s="210"/>
      <c r="AY117" s="210"/>
      <c r="AZ117" s="210"/>
      <c r="BA117" s="210"/>
      <c r="BB117" s="210"/>
      <c r="BC117" s="210"/>
      <c r="BD117" s="210"/>
      <c r="BE117" s="210"/>
      <c r="BF117" s="210"/>
      <c r="BG117" s="210"/>
      <c r="BH117" s="210"/>
      <c r="BI117" s="210"/>
      <c r="BJ117" s="210"/>
    </row>
    <row r="118" spans="1:62" ht="12" customHeight="1" x14ac:dyDescent="0.2">
      <c r="A118" s="210"/>
      <c r="B118" s="210"/>
      <c r="C118" s="210"/>
      <c r="D118" s="210"/>
      <c r="E118" s="210"/>
      <c r="F118" s="210"/>
      <c r="G118" s="210"/>
      <c r="H118" s="210"/>
      <c r="I118" s="210"/>
      <c r="J118" s="210"/>
      <c r="K118" s="210"/>
      <c r="L118" s="210"/>
      <c r="M118" s="227"/>
      <c r="N118" s="442" t="s">
        <v>788</v>
      </c>
      <c r="O118" s="208"/>
      <c r="R118" s="275">
        <v>0</v>
      </c>
      <c r="S118" s="275">
        <v>0</v>
      </c>
      <c r="T118" s="275">
        <v>0</v>
      </c>
      <c r="U118" s="275">
        <v>0</v>
      </c>
      <c r="V118" s="275">
        <v>0</v>
      </c>
      <c r="W118" s="275">
        <v>0</v>
      </c>
      <c r="X118" s="275">
        <v>0</v>
      </c>
      <c r="Y118" s="275">
        <v>0</v>
      </c>
      <c r="Z118" s="275">
        <v>0</v>
      </c>
      <c r="AA118" s="275">
        <v>0</v>
      </c>
      <c r="AB118" s="275">
        <v>0</v>
      </c>
      <c r="AC118" s="275">
        <v>0</v>
      </c>
      <c r="AD118" s="229">
        <f>SUM(R118:AC118)</f>
        <v>0</v>
      </c>
      <c r="AE118" s="230"/>
      <c r="AF118" s="230"/>
      <c r="AG118" s="230"/>
      <c r="AH118" s="230"/>
      <c r="AI118" s="210"/>
      <c r="AJ118" s="210"/>
      <c r="AK118" s="210"/>
      <c r="AL118" s="210"/>
      <c r="AM118" s="210"/>
      <c r="AN118" s="210"/>
      <c r="AO118" s="210"/>
      <c r="AP118" s="210"/>
      <c r="AQ118" s="210"/>
      <c r="AR118" s="210"/>
      <c r="AS118" s="210"/>
      <c r="AT118" s="210"/>
      <c r="AU118" s="210"/>
      <c r="AV118" s="210"/>
      <c r="AW118" s="210"/>
      <c r="AX118" s="210"/>
      <c r="AY118" s="210"/>
      <c r="AZ118" s="210"/>
      <c r="BA118" s="210"/>
      <c r="BB118" s="210"/>
      <c r="BC118" s="210"/>
      <c r="BD118" s="210"/>
      <c r="BE118" s="210"/>
      <c r="BF118" s="210"/>
      <c r="BG118" s="210"/>
      <c r="BH118" s="210"/>
      <c r="BI118" s="210"/>
      <c r="BJ118" s="210"/>
    </row>
    <row r="119" spans="1:62" ht="12" customHeight="1" x14ac:dyDescent="0.2">
      <c r="A119" s="210"/>
      <c r="B119" s="210"/>
      <c r="C119" s="210"/>
      <c r="D119" s="210"/>
      <c r="E119" s="210"/>
      <c r="F119" s="210"/>
      <c r="G119" s="210"/>
      <c r="H119" s="210"/>
      <c r="I119" s="210"/>
      <c r="J119" s="210"/>
      <c r="K119" s="210"/>
      <c r="L119" s="210"/>
      <c r="M119" s="433"/>
      <c r="N119" s="454" t="s">
        <v>992</v>
      </c>
      <c r="O119" s="243"/>
      <c r="R119" s="229">
        <f t="shared" ref="R119:AD119" si="98">SUM(R117:R118)</f>
        <v>0</v>
      </c>
      <c r="S119" s="229">
        <f t="shared" si="98"/>
        <v>0</v>
      </c>
      <c r="T119" s="229">
        <f t="shared" si="98"/>
        <v>0</v>
      </c>
      <c r="U119" s="229">
        <f t="shared" si="98"/>
        <v>0</v>
      </c>
      <c r="V119" s="229">
        <f t="shared" si="98"/>
        <v>0</v>
      </c>
      <c r="W119" s="229">
        <f t="shared" si="98"/>
        <v>0</v>
      </c>
      <c r="X119" s="229">
        <f t="shared" si="98"/>
        <v>0</v>
      </c>
      <c r="Y119" s="229">
        <f t="shared" si="98"/>
        <v>0</v>
      </c>
      <c r="Z119" s="229">
        <f t="shared" si="98"/>
        <v>0</v>
      </c>
      <c r="AA119" s="229">
        <f t="shared" si="98"/>
        <v>0</v>
      </c>
      <c r="AB119" s="229">
        <f t="shared" si="98"/>
        <v>0</v>
      </c>
      <c r="AC119" s="229">
        <f t="shared" si="98"/>
        <v>0</v>
      </c>
      <c r="AD119" s="229">
        <f t="shared" si="98"/>
        <v>0</v>
      </c>
      <c r="AI119" s="210"/>
      <c r="AJ119" s="210"/>
      <c r="AK119" s="210"/>
      <c r="AL119" s="210"/>
      <c r="AM119" s="210"/>
      <c r="AN119" s="210"/>
      <c r="AO119" s="210"/>
      <c r="AP119" s="210"/>
      <c r="AQ119" s="210"/>
      <c r="AR119" s="210"/>
      <c r="AS119" s="210"/>
      <c r="AT119" s="210"/>
      <c r="AU119" s="210"/>
      <c r="AV119" s="210"/>
      <c r="AW119" s="210"/>
      <c r="AX119" s="210"/>
      <c r="AY119" s="210"/>
      <c r="AZ119" s="210"/>
      <c r="BA119" s="210"/>
      <c r="BB119" s="210"/>
      <c r="BC119" s="210"/>
      <c r="BD119" s="210"/>
      <c r="BE119" s="210"/>
      <c r="BF119" s="210"/>
      <c r="BG119" s="210"/>
      <c r="BH119" s="210"/>
      <c r="BI119" s="210"/>
      <c r="BJ119" s="210"/>
    </row>
    <row r="120" spans="1:62" ht="6" customHeight="1" x14ac:dyDescent="0.2">
      <c r="A120" s="210"/>
      <c r="B120" s="210"/>
      <c r="C120" s="210"/>
      <c r="D120" s="210"/>
      <c r="E120" s="210"/>
      <c r="F120" s="210"/>
      <c r="G120" s="210"/>
      <c r="H120" s="210"/>
      <c r="I120" s="210"/>
      <c r="J120" s="210"/>
      <c r="K120" s="210"/>
      <c r="L120" s="210"/>
      <c r="M120" s="433"/>
      <c r="N120" s="433"/>
      <c r="AI120" s="210"/>
      <c r="AJ120" s="210"/>
      <c r="AK120" s="210"/>
      <c r="AL120" s="210"/>
      <c r="AM120" s="210"/>
      <c r="AN120" s="210"/>
      <c r="AO120" s="210"/>
      <c r="AP120" s="210"/>
      <c r="AQ120" s="210"/>
      <c r="AR120" s="210"/>
      <c r="AS120" s="210"/>
      <c r="AT120" s="210"/>
      <c r="AU120" s="210"/>
      <c r="AV120" s="210"/>
      <c r="AW120" s="210"/>
      <c r="AX120" s="210"/>
      <c r="AY120" s="210"/>
      <c r="AZ120" s="210"/>
      <c r="BA120" s="210"/>
      <c r="BB120" s="210"/>
      <c r="BC120" s="210"/>
      <c r="BD120" s="210"/>
      <c r="BE120" s="210"/>
      <c r="BF120" s="210"/>
      <c r="BG120" s="210"/>
      <c r="BH120" s="210"/>
      <c r="BI120" s="210"/>
      <c r="BJ120" s="210"/>
    </row>
    <row r="121" spans="1:62" ht="12" customHeight="1" x14ac:dyDescent="0.2">
      <c r="A121" s="210"/>
      <c r="B121" s="210"/>
      <c r="C121" s="210"/>
      <c r="D121" s="210"/>
      <c r="E121" s="210"/>
      <c r="F121" s="210"/>
      <c r="G121" s="210"/>
      <c r="H121" s="210"/>
      <c r="I121" s="210"/>
      <c r="J121" s="210"/>
      <c r="K121" s="210"/>
      <c r="L121" s="210"/>
      <c r="M121" s="455"/>
      <c r="N121" s="454" t="s">
        <v>87</v>
      </c>
      <c r="R121" s="848">
        <f>Trackers!D597-'TC&amp;S'!C29-IntDeduct!C13-IntDeduct!C14</f>
        <v>-302</v>
      </c>
      <c r="S121" s="221">
        <f>Trackers!E597-'TC&amp;S'!D29-IntDeduct!D13-IntDeduct!D14</f>
        <v>-259</v>
      </c>
      <c r="T121" s="221">
        <f>Trackers!F597-'TC&amp;S'!E29-IntDeduct!E13-IntDeduct!E14</f>
        <v>-220</v>
      </c>
      <c r="U121" s="221">
        <f>Trackers!G597-'TC&amp;S'!F29-IntDeduct!F13-IntDeduct!F14</f>
        <v>-15</v>
      </c>
      <c r="V121" s="638">
        <f>Trackers!H597+SUM('TC&amp;S'!C29:H29)-IntDeduct!G13-IntDeduct!G14+123</f>
        <v>2057</v>
      </c>
      <c r="W121" s="221">
        <f>Trackers!I597-'TC&amp;S'!H29-IntDeduct!H13-IntDeduct!H14</f>
        <v>0</v>
      </c>
      <c r="X121" s="221">
        <f>Trackers!J597-'TC&amp;S'!I29-IntDeduct!I13-IntDeduct!I14</f>
        <v>0</v>
      </c>
      <c r="Y121" s="221">
        <f>Trackers!K597-'TC&amp;S'!J29-IntDeduct!J13-IntDeduct!J14</f>
        <v>0</v>
      </c>
      <c r="Z121" s="221">
        <f>Trackers!L597-'TC&amp;S'!K29-IntDeduct!K13-IntDeduct!K14</f>
        <v>0</v>
      </c>
      <c r="AA121" s="221">
        <f>Trackers!M597-'TC&amp;S'!L29-IntDeduct!L13-IntDeduct!L14</f>
        <v>0</v>
      </c>
      <c r="AB121" s="221">
        <f>Trackers!N597-'TC&amp;S'!M29-IntDeduct!M13-IntDeduct!M14</f>
        <v>-206</v>
      </c>
      <c r="AC121" s="221">
        <f>Trackers!O597-'TC&amp;S'!N29-IntDeduct!N13-IntDeduct!N14</f>
        <v>-295</v>
      </c>
      <c r="AD121" s="221">
        <f>SUM(R121:AC121)</f>
        <v>760</v>
      </c>
      <c r="AI121" s="210"/>
      <c r="AJ121" s="210"/>
      <c r="AK121" s="210"/>
      <c r="AL121" s="210"/>
      <c r="AM121" s="210"/>
      <c r="AN121" s="210"/>
      <c r="AO121" s="210"/>
      <c r="AP121" s="210"/>
      <c r="AQ121" s="210"/>
      <c r="AR121" s="210"/>
      <c r="AS121" s="210"/>
      <c r="AT121" s="210"/>
      <c r="AU121" s="210"/>
      <c r="AV121" s="210"/>
      <c r="AW121" s="210"/>
      <c r="AX121" s="210"/>
      <c r="AY121" s="210"/>
      <c r="AZ121" s="210"/>
      <c r="BA121" s="210"/>
      <c r="BB121" s="210"/>
      <c r="BC121" s="210"/>
      <c r="BD121" s="210"/>
      <c r="BE121" s="210"/>
      <c r="BF121" s="210"/>
      <c r="BG121" s="210"/>
      <c r="BH121" s="210"/>
      <c r="BI121" s="210"/>
      <c r="BJ121" s="210"/>
    </row>
    <row r="122" spans="1:62" ht="12" customHeight="1" x14ac:dyDescent="0.2">
      <c r="A122" s="210"/>
      <c r="B122" s="210"/>
      <c r="C122" s="210"/>
      <c r="D122" s="210"/>
      <c r="E122" s="210"/>
      <c r="F122" s="210"/>
      <c r="G122" s="210"/>
      <c r="H122" s="210"/>
      <c r="I122" s="210"/>
      <c r="J122" s="210"/>
      <c r="K122" s="210"/>
      <c r="L122" s="210"/>
      <c r="M122" s="227"/>
      <c r="N122" s="442" t="s">
        <v>788</v>
      </c>
      <c r="O122" s="208"/>
      <c r="R122" s="275">
        <v>0</v>
      </c>
      <c r="S122" s="275">
        <v>0</v>
      </c>
      <c r="T122" s="275">
        <v>0</v>
      </c>
      <c r="U122" s="275">
        <v>0</v>
      </c>
      <c r="V122" s="275">
        <v>0</v>
      </c>
      <c r="W122" s="275">
        <v>0</v>
      </c>
      <c r="X122" s="275">
        <v>0</v>
      </c>
      <c r="Y122" s="275">
        <v>0</v>
      </c>
      <c r="Z122" s="275">
        <v>0</v>
      </c>
      <c r="AA122" s="275">
        <v>0</v>
      </c>
      <c r="AB122" s="275">
        <v>0</v>
      </c>
      <c r="AC122" s="275">
        <v>0</v>
      </c>
      <c r="AD122" s="229">
        <f>SUM(R122:AC122)</f>
        <v>0</v>
      </c>
      <c r="AE122" s="230"/>
      <c r="AF122" s="230"/>
      <c r="AG122" s="230"/>
      <c r="AH122" s="230"/>
      <c r="AI122" s="210"/>
      <c r="AJ122" s="210"/>
      <c r="AK122" s="210"/>
      <c r="AL122" s="210"/>
      <c r="AM122" s="210"/>
      <c r="AN122" s="210"/>
      <c r="AO122" s="210"/>
      <c r="AP122" s="210"/>
      <c r="AQ122" s="210"/>
      <c r="AR122" s="210"/>
      <c r="AS122" s="210"/>
      <c r="AT122" s="210"/>
      <c r="AU122" s="210"/>
      <c r="AV122" s="210"/>
      <c r="AW122" s="210"/>
      <c r="AX122" s="210"/>
      <c r="AY122" s="210"/>
      <c r="AZ122" s="210"/>
      <c r="BA122" s="210"/>
      <c r="BB122" s="210"/>
      <c r="BC122" s="210"/>
      <c r="BD122" s="210"/>
      <c r="BE122" s="210"/>
      <c r="BF122" s="210"/>
      <c r="BG122" s="210"/>
      <c r="BH122" s="210"/>
      <c r="BI122" s="210"/>
      <c r="BJ122" s="210"/>
    </row>
    <row r="123" spans="1:62" ht="12" customHeight="1" x14ac:dyDescent="0.2">
      <c r="A123" s="210"/>
      <c r="B123" s="210"/>
      <c r="C123" s="210"/>
      <c r="D123" s="210"/>
      <c r="E123" s="210"/>
      <c r="F123" s="210"/>
      <c r="G123" s="210"/>
      <c r="H123" s="210"/>
      <c r="I123" s="210"/>
      <c r="J123" s="210"/>
      <c r="K123" s="210"/>
      <c r="L123" s="210"/>
      <c r="M123" s="433"/>
      <c r="N123" s="454" t="s">
        <v>993</v>
      </c>
      <c r="O123" s="243"/>
      <c r="R123" s="229">
        <f t="shared" ref="R123:AD123" si="99">SUM(R121:R122)</f>
        <v>-302</v>
      </c>
      <c r="S123" s="229">
        <f t="shared" si="99"/>
        <v>-259</v>
      </c>
      <c r="T123" s="229">
        <f t="shared" si="99"/>
        <v>-220</v>
      </c>
      <c r="U123" s="229">
        <f t="shared" si="99"/>
        <v>-15</v>
      </c>
      <c r="V123" s="229">
        <f t="shared" si="99"/>
        <v>2057</v>
      </c>
      <c r="W123" s="229">
        <f t="shared" si="99"/>
        <v>0</v>
      </c>
      <c r="X123" s="229">
        <f t="shared" si="99"/>
        <v>0</v>
      </c>
      <c r="Y123" s="229">
        <f t="shared" si="99"/>
        <v>0</v>
      </c>
      <c r="Z123" s="229">
        <f t="shared" si="99"/>
        <v>0</v>
      </c>
      <c r="AA123" s="229">
        <f t="shared" si="99"/>
        <v>0</v>
      </c>
      <c r="AB123" s="229">
        <f t="shared" si="99"/>
        <v>-206</v>
      </c>
      <c r="AC123" s="229">
        <f t="shared" si="99"/>
        <v>-295</v>
      </c>
      <c r="AD123" s="229">
        <f t="shared" si="99"/>
        <v>760</v>
      </c>
      <c r="AI123" s="210"/>
      <c r="AJ123" s="210"/>
      <c r="AK123" s="210"/>
      <c r="AL123" s="210"/>
      <c r="AM123" s="210"/>
      <c r="AN123" s="210"/>
      <c r="AO123" s="210"/>
      <c r="AP123" s="210"/>
      <c r="AQ123" s="210"/>
      <c r="AR123" s="210"/>
      <c r="AS123" s="210"/>
      <c r="AT123" s="210"/>
      <c r="AU123" s="210"/>
      <c r="AV123" s="210"/>
      <c r="AW123" s="210"/>
      <c r="AX123" s="210"/>
      <c r="AY123" s="210"/>
      <c r="AZ123" s="210"/>
      <c r="BA123" s="210"/>
      <c r="BB123" s="210"/>
      <c r="BC123" s="210"/>
      <c r="BD123" s="210"/>
      <c r="BE123" s="210"/>
      <c r="BF123" s="210"/>
      <c r="BG123" s="210"/>
      <c r="BH123" s="210"/>
      <c r="BI123" s="210"/>
      <c r="BJ123" s="210"/>
    </row>
    <row r="124" spans="1:62" ht="6" customHeight="1" x14ac:dyDescent="0.2">
      <c r="A124" s="210"/>
      <c r="B124" s="210"/>
      <c r="C124" s="210"/>
      <c r="D124" s="210"/>
      <c r="E124" s="210"/>
      <c r="F124" s="210"/>
      <c r="G124" s="210"/>
      <c r="H124" s="210"/>
      <c r="I124" s="210"/>
      <c r="J124" s="210"/>
      <c r="K124" s="210"/>
      <c r="L124" s="210"/>
      <c r="M124" s="433"/>
      <c r="N124" s="454"/>
      <c r="O124" s="243"/>
      <c r="R124" s="229"/>
      <c r="S124" s="229"/>
      <c r="T124" s="229"/>
      <c r="U124" s="229"/>
      <c r="V124" s="229"/>
      <c r="W124" s="229"/>
      <c r="X124" s="229"/>
      <c r="Y124" s="229"/>
      <c r="Z124" s="229"/>
      <c r="AA124" s="229"/>
      <c r="AB124" s="229"/>
      <c r="AC124" s="229"/>
      <c r="AD124" s="229"/>
      <c r="AI124" s="210"/>
      <c r="AJ124" s="210"/>
      <c r="AK124" s="210"/>
      <c r="AL124" s="210"/>
      <c r="AM124" s="210"/>
      <c r="AN124" s="210"/>
      <c r="AO124" s="210"/>
      <c r="AP124" s="210"/>
      <c r="AQ124" s="210"/>
      <c r="AR124" s="210"/>
      <c r="AS124" s="210"/>
      <c r="AT124" s="210"/>
      <c r="AU124" s="210"/>
      <c r="AV124" s="210"/>
      <c r="AW124" s="210"/>
      <c r="AX124" s="210"/>
      <c r="AY124" s="210"/>
      <c r="AZ124" s="210"/>
      <c r="BA124" s="210"/>
      <c r="BB124" s="210"/>
      <c r="BC124" s="210"/>
      <c r="BD124" s="210"/>
      <c r="BE124" s="210"/>
      <c r="BF124" s="210"/>
      <c r="BG124" s="210"/>
      <c r="BH124" s="210"/>
      <c r="BI124" s="210"/>
      <c r="BJ124" s="210"/>
    </row>
    <row r="125" spans="1:62" ht="12" customHeight="1" x14ac:dyDescent="0.2">
      <c r="A125" s="210"/>
      <c r="B125" s="210"/>
      <c r="C125" s="210"/>
      <c r="D125" s="210"/>
      <c r="E125" s="210"/>
      <c r="F125" s="210"/>
      <c r="G125" s="210"/>
      <c r="H125" s="210"/>
      <c r="I125" s="210"/>
      <c r="J125" s="210"/>
      <c r="K125" s="210"/>
      <c r="L125" s="210"/>
      <c r="M125" s="433"/>
      <c r="N125" s="454" t="s">
        <v>994</v>
      </c>
      <c r="O125" s="243"/>
      <c r="R125" s="221">
        <f>OtherRev!C57</f>
        <v>603</v>
      </c>
      <c r="S125" s="221">
        <f>OtherRev!D57</f>
        <v>604</v>
      </c>
      <c r="T125" s="221">
        <f>OtherRev!E57</f>
        <v>603</v>
      </c>
      <c r="U125" s="221">
        <f>OtherRev!F57</f>
        <v>-127</v>
      </c>
      <c r="V125" s="221">
        <f>OtherRev!G57</f>
        <v>-128</v>
      </c>
      <c r="W125" s="221">
        <f>OtherRev!H57</f>
        <v>-508</v>
      </c>
      <c r="X125" s="221">
        <f>OtherRev!I57</f>
        <v>-509</v>
      </c>
      <c r="Y125" s="221">
        <f>OtherRev!J57</f>
        <v>-508</v>
      </c>
      <c r="Z125" s="221">
        <f>OtherRev!K57</f>
        <v>-228</v>
      </c>
      <c r="AA125" s="221">
        <f>OtherRev!L57</f>
        <v>-227</v>
      </c>
      <c r="AB125" s="221">
        <f>OtherRev!M57</f>
        <v>-228</v>
      </c>
      <c r="AC125" s="221">
        <f>OtherRev!N57</f>
        <v>604</v>
      </c>
      <c r="AD125" s="221">
        <f>SUM(R125:AC125)</f>
        <v>-49</v>
      </c>
      <c r="AI125" s="210"/>
      <c r="AJ125" s="210"/>
      <c r="AK125" s="210"/>
      <c r="AL125" s="210"/>
      <c r="AM125" s="210"/>
      <c r="AN125" s="210"/>
      <c r="AO125" s="210"/>
      <c r="AP125" s="210"/>
      <c r="AQ125" s="210"/>
      <c r="AR125" s="210"/>
      <c r="AS125" s="210"/>
      <c r="AT125" s="210"/>
      <c r="AU125" s="210"/>
      <c r="AV125" s="210"/>
      <c r="AW125" s="210"/>
      <c r="AX125" s="210"/>
      <c r="AY125" s="210"/>
      <c r="AZ125" s="210"/>
      <c r="BA125" s="210"/>
      <c r="BB125" s="210"/>
      <c r="BC125" s="210"/>
      <c r="BD125" s="210"/>
      <c r="BE125" s="210"/>
      <c r="BF125" s="210"/>
      <c r="BG125" s="210"/>
      <c r="BH125" s="210"/>
      <c r="BI125" s="210"/>
      <c r="BJ125" s="210"/>
    </row>
    <row r="126" spans="1:62" ht="12" customHeight="1" x14ac:dyDescent="0.2">
      <c r="A126" s="210"/>
      <c r="B126" s="210"/>
      <c r="C126" s="210"/>
      <c r="D126" s="210"/>
      <c r="E126" s="210"/>
      <c r="F126" s="210"/>
      <c r="G126" s="210"/>
      <c r="H126" s="210"/>
      <c r="I126" s="210"/>
      <c r="J126" s="210"/>
      <c r="K126" s="210"/>
      <c r="L126" s="210"/>
      <c r="M126" s="433"/>
      <c r="N126" s="442" t="s">
        <v>788</v>
      </c>
      <c r="O126" s="243"/>
      <c r="R126" s="275">
        <v>0</v>
      </c>
      <c r="S126" s="275">
        <v>0</v>
      </c>
      <c r="T126" s="275">
        <v>0</v>
      </c>
      <c r="U126" s="275">
        <v>0</v>
      </c>
      <c r="V126" s="275">
        <v>0</v>
      </c>
      <c r="W126" s="275">
        <v>0</v>
      </c>
      <c r="X126" s="275">
        <v>0</v>
      </c>
      <c r="Y126" s="275">
        <v>0</v>
      </c>
      <c r="Z126" s="275">
        <v>0</v>
      </c>
      <c r="AA126" s="275">
        <v>0</v>
      </c>
      <c r="AB126" s="275">
        <v>0</v>
      </c>
      <c r="AC126" s="275">
        <v>0</v>
      </c>
      <c r="AD126" s="229">
        <f>SUM(R126:AC126)</f>
        <v>0</v>
      </c>
      <c r="AI126" s="210"/>
      <c r="AJ126" s="210"/>
      <c r="AK126" s="210"/>
      <c r="AL126" s="210"/>
      <c r="AM126" s="210"/>
      <c r="AN126" s="210"/>
      <c r="AO126" s="210"/>
      <c r="AP126" s="210"/>
      <c r="AQ126" s="210"/>
      <c r="AR126" s="210"/>
      <c r="AS126" s="210"/>
      <c r="AT126" s="210"/>
      <c r="AU126" s="210"/>
      <c r="AV126" s="210"/>
      <c r="AW126" s="210"/>
      <c r="AX126" s="210"/>
      <c r="AY126" s="210"/>
      <c r="AZ126" s="210"/>
      <c r="BA126" s="210"/>
      <c r="BB126" s="210"/>
      <c r="BC126" s="210"/>
      <c r="BD126" s="210"/>
      <c r="BE126" s="210"/>
      <c r="BF126" s="210"/>
      <c r="BG126" s="210"/>
      <c r="BH126" s="210"/>
      <c r="BI126" s="210"/>
      <c r="BJ126" s="210"/>
    </row>
    <row r="127" spans="1:62" ht="12" customHeight="1" x14ac:dyDescent="0.2">
      <c r="A127" s="210"/>
      <c r="B127" s="210"/>
      <c r="C127" s="210"/>
      <c r="D127" s="210"/>
      <c r="E127" s="210"/>
      <c r="F127" s="210"/>
      <c r="G127" s="210"/>
      <c r="H127" s="210"/>
      <c r="I127" s="210"/>
      <c r="J127" s="210"/>
      <c r="K127" s="210"/>
      <c r="L127" s="210"/>
      <c r="M127" s="433"/>
      <c r="N127" s="454" t="s">
        <v>995</v>
      </c>
      <c r="O127" s="243"/>
      <c r="R127" s="229">
        <f t="shared" ref="R127:AC127" si="100">SUM(R125:R126)</f>
        <v>603</v>
      </c>
      <c r="S127" s="229">
        <f t="shared" si="100"/>
        <v>604</v>
      </c>
      <c r="T127" s="229">
        <f t="shared" si="100"/>
        <v>603</v>
      </c>
      <c r="U127" s="229">
        <f t="shared" si="100"/>
        <v>-127</v>
      </c>
      <c r="V127" s="229">
        <f t="shared" si="100"/>
        <v>-128</v>
      </c>
      <c r="W127" s="229">
        <f t="shared" si="100"/>
        <v>-508</v>
      </c>
      <c r="X127" s="229">
        <f t="shared" si="100"/>
        <v>-509</v>
      </c>
      <c r="Y127" s="229">
        <f t="shared" si="100"/>
        <v>-508</v>
      </c>
      <c r="Z127" s="229">
        <f t="shared" si="100"/>
        <v>-228</v>
      </c>
      <c r="AA127" s="229">
        <f t="shared" si="100"/>
        <v>-227</v>
      </c>
      <c r="AB127" s="229">
        <f t="shared" si="100"/>
        <v>-228</v>
      </c>
      <c r="AC127" s="229">
        <f t="shared" si="100"/>
        <v>604</v>
      </c>
      <c r="AD127" s="229">
        <f>SUM(AD125:AD126)</f>
        <v>-49</v>
      </c>
      <c r="AI127" s="210"/>
      <c r="AJ127" s="210"/>
      <c r="AK127" s="210"/>
      <c r="AL127" s="210"/>
      <c r="AM127" s="210"/>
      <c r="AN127" s="210"/>
      <c r="AO127" s="210"/>
      <c r="AP127" s="210"/>
      <c r="AQ127" s="210"/>
      <c r="AR127" s="210"/>
      <c r="AS127" s="210"/>
      <c r="AT127" s="210"/>
      <c r="AU127" s="210"/>
      <c r="AV127" s="210"/>
      <c r="AW127" s="210"/>
      <c r="AX127" s="210"/>
      <c r="AY127" s="210"/>
      <c r="AZ127" s="210"/>
      <c r="BA127" s="210"/>
      <c r="BB127" s="210"/>
      <c r="BC127" s="210"/>
      <c r="BD127" s="210"/>
      <c r="BE127" s="210"/>
      <c r="BF127" s="210"/>
      <c r="BG127" s="210"/>
      <c r="BH127" s="210"/>
      <c r="BI127" s="210"/>
      <c r="BJ127" s="210"/>
    </row>
    <row r="128" spans="1:62" ht="6" customHeight="1" x14ac:dyDescent="0.2">
      <c r="A128" s="210"/>
      <c r="B128" s="210"/>
      <c r="C128" s="210"/>
      <c r="D128" s="210"/>
      <c r="E128" s="210"/>
      <c r="F128" s="210"/>
      <c r="G128" s="210"/>
      <c r="H128" s="210"/>
      <c r="I128" s="210"/>
      <c r="J128" s="210"/>
      <c r="K128" s="210"/>
      <c r="L128" s="210"/>
      <c r="M128" s="433"/>
      <c r="N128" s="433"/>
      <c r="AI128" s="210"/>
      <c r="AJ128" s="210"/>
      <c r="AK128" s="210"/>
      <c r="AL128" s="210"/>
      <c r="AM128" s="210"/>
      <c r="AN128" s="210"/>
      <c r="AO128" s="210"/>
      <c r="AP128" s="210"/>
      <c r="AQ128" s="210"/>
      <c r="AR128" s="210"/>
      <c r="AS128" s="210"/>
      <c r="AT128" s="210"/>
      <c r="AU128" s="210"/>
      <c r="AV128" s="210"/>
      <c r="AW128" s="210"/>
      <c r="AX128" s="210"/>
      <c r="AY128" s="210"/>
      <c r="AZ128" s="210"/>
      <c r="BA128" s="210"/>
      <c r="BB128" s="210"/>
      <c r="BC128" s="210"/>
      <c r="BD128" s="210"/>
      <c r="BE128" s="210"/>
      <c r="BF128" s="210"/>
      <c r="BG128" s="210"/>
      <c r="BH128" s="210"/>
      <c r="BI128" s="210"/>
      <c r="BJ128" s="210"/>
    </row>
    <row r="129" spans="1:62" ht="12" customHeight="1" x14ac:dyDescent="0.2">
      <c r="A129" s="210"/>
      <c r="B129" s="210"/>
      <c r="C129" s="210"/>
      <c r="D129" s="210"/>
      <c r="E129" s="210"/>
      <c r="F129" s="210"/>
      <c r="G129" s="210"/>
      <c r="H129" s="210"/>
      <c r="I129" s="210"/>
      <c r="J129" s="210"/>
      <c r="K129" s="210"/>
      <c r="L129" s="210"/>
      <c r="M129" s="433"/>
      <c r="N129" s="454" t="s">
        <v>349</v>
      </c>
      <c r="R129" s="847">
        <f>Trackers!D663+Trackers!D667+OtherInc!C20</f>
        <v>21</v>
      </c>
      <c r="S129" s="847">
        <f>Trackers!E663+Trackers!E667+OtherInc!D20</f>
        <v>19</v>
      </c>
      <c r="T129" s="847">
        <f>Trackers!F663+Trackers!F667+OtherInc!E20</f>
        <v>21</v>
      </c>
      <c r="U129" s="847">
        <f>Trackers!G663+Trackers!G667+OtherInc!F20</f>
        <v>21</v>
      </c>
      <c r="V129" s="847">
        <f>Trackers!H663+Trackers!H667+OtherInc!G20</f>
        <v>21</v>
      </c>
      <c r="W129" s="847">
        <f>Trackers!I663+Trackers!I667+OtherInc!H20</f>
        <v>21</v>
      </c>
      <c r="X129" s="847">
        <f>Trackers!J663+Trackers!J667+OtherInc!I20</f>
        <v>22</v>
      </c>
      <c r="Y129" s="847">
        <f>Trackers!K663+Trackers!K667+OtherInc!J20</f>
        <v>22</v>
      </c>
      <c r="Z129" s="847">
        <f>Trackers!L663+Trackers!L667+OtherInc!K20</f>
        <v>21</v>
      </c>
      <c r="AA129" s="847">
        <f>Trackers!M663+Trackers!M667+OtherInc!L20</f>
        <v>22</v>
      </c>
      <c r="AB129" s="847">
        <f>Trackers!N663+Trackers!N667+OtherInc!M20</f>
        <v>22</v>
      </c>
      <c r="AC129" s="847">
        <f>Trackers!O663+Trackers!O667+OtherInc!N20</f>
        <v>22</v>
      </c>
      <c r="AD129" s="848">
        <f>SUM(R129:AC129)</f>
        <v>255</v>
      </c>
      <c r="AI129" s="210"/>
      <c r="AJ129" s="210"/>
      <c r="AK129" s="210"/>
      <c r="AL129" s="210"/>
      <c r="AM129" s="210"/>
      <c r="AN129" s="210"/>
      <c r="AO129" s="210"/>
      <c r="AP129" s="210"/>
      <c r="AQ129" s="210"/>
      <c r="AR129" s="210"/>
      <c r="AS129" s="210"/>
      <c r="AT129" s="210"/>
      <c r="AU129" s="210"/>
      <c r="AV129" s="210"/>
      <c r="AW129" s="210"/>
      <c r="AX129" s="210"/>
      <c r="AY129" s="210"/>
      <c r="AZ129" s="210"/>
      <c r="BA129" s="210"/>
      <c r="BB129" s="210"/>
      <c r="BC129" s="210"/>
      <c r="BD129" s="210"/>
      <c r="BE129" s="210"/>
      <c r="BF129" s="210"/>
      <c r="BG129" s="210"/>
      <c r="BH129" s="210"/>
      <c r="BI129" s="210"/>
      <c r="BJ129" s="210"/>
    </row>
    <row r="130" spans="1:62" ht="12" customHeight="1" x14ac:dyDescent="0.2">
      <c r="A130" s="210"/>
      <c r="B130" s="210"/>
      <c r="C130" s="210"/>
      <c r="D130" s="210"/>
      <c r="E130" s="210"/>
      <c r="F130" s="210"/>
      <c r="G130" s="210"/>
      <c r="H130" s="210"/>
      <c r="I130" s="210"/>
      <c r="J130" s="210"/>
      <c r="K130" s="210"/>
      <c r="L130" s="210"/>
      <c r="M130" s="433"/>
      <c r="N130" s="442" t="s">
        <v>788</v>
      </c>
      <c r="R130" s="860">
        <v>-21</v>
      </c>
      <c r="S130" s="860">
        <v>-19</v>
      </c>
      <c r="T130" s="860">
        <v>-21</v>
      </c>
      <c r="U130" s="860">
        <v>-21</v>
      </c>
      <c r="V130" s="860">
        <v>-21</v>
      </c>
      <c r="W130" s="860">
        <v>-21</v>
      </c>
      <c r="X130" s="860">
        <v>-22</v>
      </c>
      <c r="Y130" s="860">
        <v>-22</v>
      </c>
      <c r="Z130" s="860">
        <v>-21</v>
      </c>
      <c r="AA130" s="860">
        <v>-22</v>
      </c>
      <c r="AB130" s="860">
        <v>-22</v>
      </c>
      <c r="AC130" s="860">
        <v>-22</v>
      </c>
      <c r="AD130" s="849">
        <f>SUM(R130:AC130)</f>
        <v>-255</v>
      </c>
      <c r="AI130" s="210"/>
      <c r="AJ130" s="210"/>
      <c r="AK130" s="210"/>
      <c r="AL130" s="210"/>
      <c r="AM130" s="210"/>
      <c r="AN130" s="210"/>
      <c r="AO130" s="210"/>
      <c r="AP130" s="210"/>
      <c r="AQ130" s="210"/>
      <c r="AR130" s="210"/>
      <c r="AS130" s="210"/>
      <c r="AT130" s="210"/>
      <c r="AU130" s="210"/>
      <c r="AV130" s="210"/>
      <c r="AW130" s="210"/>
      <c r="AX130" s="210"/>
      <c r="AY130" s="210"/>
      <c r="AZ130" s="210"/>
      <c r="BA130" s="210"/>
      <c r="BB130" s="210"/>
      <c r="BC130" s="210"/>
      <c r="BD130" s="210"/>
      <c r="BE130" s="210"/>
      <c r="BF130" s="210"/>
      <c r="BG130" s="210"/>
      <c r="BH130" s="210"/>
      <c r="BI130" s="210"/>
      <c r="BJ130" s="210"/>
    </row>
    <row r="131" spans="1:62" ht="12" customHeight="1" x14ac:dyDescent="0.2">
      <c r="A131" s="210"/>
      <c r="B131" s="210"/>
      <c r="C131" s="210"/>
      <c r="D131" s="210"/>
      <c r="E131" s="210"/>
      <c r="F131" s="210"/>
      <c r="G131" s="210"/>
      <c r="H131" s="210"/>
      <c r="I131" s="210"/>
      <c r="J131" s="210"/>
      <c r="K131" s="210"/>
      <c r="L131" s="210"/>
      <c r="M131" s="433"/>
      <c r="N131" s="454" t="s">
        <v>350</v>
      </c>
      <c r="R131" s="849">
        <f t="shared" ref="R131:AD131" si="101">SUM(R129:R130)</f>
        <v>0</v>
      </c>
      <c r="S131" s="849">
        <f t="shared" si="101"/>
        <v>0</v>
      </c>
      <c r="T131" s="849">
        <f t="shared" si="101"/>
        <v>0</v>
      </c>
      <c r="U131" s="849">
        <f t="shared" si="101"/>
        <v>0</v>
      </c>
      <c r="V131" s="849">
        <f t="shared" si="101"/>
        <v>0</v>
      </c>
      <c r="W131" s="849">
        <f t="shared" si="101"/>
        <v>0</v>
      </c>
      <c r="X131" s="849">
        <f t="shared" si="101"/>
        <v>0</v>
      </c>
      <c r="Y131" s="849">
        <f t="shared" si="101"/>
        <v>0</v>
      </c>
      <c r="Z131" s="849">
        <f t="shared" si="101"/>
        <v>0</v>
      </c>
      <c r="AA131" s="849">
        <f t="shared" si="101"/>
        <v>0</v>
      </c>
      <c r="AB131" s="849">
        <f t="shared" si="101"/>
        <v>0</v>
      </c>
      <c r="AC131" s="849">
        <f t="shared" si="101"/>
        <v>0</v>
      </c>
      <c r="AD131" s="849">
        <f t="shared" si="101"/>
        <v>0</v>
      </c>
      <c r="AI131" s="210"/>
      <c r="AJ131" s="210"/>
      <c r="AK131" s="210"/>
      <c r="AL131" s="210"/>
      <c r="AM131" s="210"/>
      <c r="AN131" s="210"/>
      <c r="AO131" s="210"/>
      <c r="AP131" s="210"/>
      <c r="AQ131" s="210"/>
      <c r="AR131" s="210"/>
      <c r="AS131" s="210"/>
      <c r="AT131" s="210"/>
      <c r="AU131" s="210"/>
      <c r="AV131" s="210"/>
      <c r="AW131" s="210"/>
      <c r="AX131" s="210"/>
      <c r="AY131" s="210"/>
      <c r="AZ131" s="210"/>
      <c r="BA131" s="210"/>
      <c r="BB131" s="210"/>
      <c r="BC131" s="210"/>
      <c r="BD131" s="210"/>
      <c r="BE131" s="210"/>
      <c r="BF131" s="210"/>
      <c r="BG131" s="210"/>
      <c r="BH131" s="210"/>
      <c r="BI131" s="210"/>
      <c r="BJ131" s="210"/>
    </row>
    <row r="132" spans="1:62" ht="6" customHeight="1" x14ac:dyDescent="0.2">
      <c r="A132" s="210"/>
      <c r="B132" s="210"/>
      <c r="C132" s="210"/>
      <c r="D132" s="210"/>
      <c r="E132" s="210"/>
      <c r="F132" s="210"/>
      <c r="G132" s="210"/>
      <c r="H132" s="210"/>
      <c r="I132" s="210"/>
      <c r="J132" s="210"/>
      <c r="K132" s="210"/>
      <c r="L132" s="210"/>
      <c r="M132" s="433"/>
      <c r="N132" s="433"/>
      <c r="AI132" s="210"/>
      <c r="AJ132" s="210"/>
      <c r="AK132" s="210"/>
      <c r="AL132" s="210"/>
      <c r="AM132" s="210"/>
      <c r="AN132" s="210"/>
      <c r="AO132" s="210"/>
      <c r="AP132" s="210"/>
      <c r="AQ132" s="210"/>
      <c r="AR132" s="210"/>
      <c r="AS132" s="210"/>
      <c r="AT132" s="210"/>
      <c r="AU132" s="210"/>
      <c r="AV132" s="210"/>
      <c r="AW132" s="210"/>
      <c r="AX132" s="210"/>
      <c r="AY132" s="210"/>
      <c r="AZ132" s="210"/>
      <c r="BA132" s="210"/>
      <c r="BB132" s="210"/>
      <c r="BC132" s="210"/>
      <c r="BD132" s="210"/>
      <c r="BE132" s="210"/>
      <c r="BF132" s="210"/>
      <c r="BG132" s="210"/>
      <c r="BH132" s="210"/>
      <c r="BI132" s="210"/>
      <c r="BJ132" s="210"/>
    </row>
    <row r="133" spans="1:62" ht="12" customHeight="1" x14ac:dyDescent="0.2">
      <c r="A133" s="210"/>
      <c r="B133" s="210"/>
      <c r="C133" s="210"/>
      <c r="D133" s="210"/>
      <c r="E133" s="210"/>
      <c r="F133" s="210"/>
      <c r="G133" s="210"/>
      <c r="H133" s="210"/>
      <c r="I133" s="210"/>
      <c r="J133" s="210"/>
      <c r="K133" s="210"/>
      <c r="L133" s="210"/>
      <c r="M133" s="456" t="s">
        <v>996</v>
      </c>
      <c r="N133" s="433"/>
      <c r="AI133" s="210"/>
      <c r="AJ133" s="210"/>
      <c r="AK133" s="210"/>
      <c r="AL133" s="210"/>
      <c r="AM133" s="210"/>
      <c r="AN133" s="210"/>
      <c r="AO133" s="210"/>
      <c r="AP133" s="210"/>
      <c r="AQ133" s="210"/>
      <c r="AR133" s="210"/>
      <c r="AS133" s="210"/>
      <c r="AT133" s="210"/>
      <c r="AU133" s="210"/>
      <c r="AV133" s="210"/>
      <c r="AW133" s="210"/>
      <c r="AX133" s="210"/>
      <c r="AY133" s="210"/>
      <c r="AZ133" s="210"/>
      <c r="BA133" s="210"/>
      <c r="BB133" s="210"/>
      <c r="BC133" s="210"/>
      <c r="BD133" s="210"/>
      <c r="BE133" s="210"/>
      <c r="BF133" s="210"/>
      <c r="BG133" s="210"/>
      <c r="BH133" s="210"/>
      <c r="BI133" s="210"/>
      <c r="BJ133" s="210"/>
    </row>
    <row r="134" spans="1:62" ht="12" customHeight="1" x14ac:dyDescent="0.2">
      <c r="A134" s="244"/>
      <c r="B134" s="210"/>
      <c r="C134" s="210"/>
      <c r="D134" s="210"/>
      <c r="E134" s="210"/>
      <c r="F134" s="210"/>
      <c r="G134" s="210"/>
      <c r="H134" s="210"/>
      <c r="I134" s="210"/>
      <c r="J134" s="210"/>
      <c r="K134" s="210"/>
      <c r="L134" s="210"/>
      <c r="M134"/>
      <c r="N134" s="454" t="s">
        <v>654</v>
      </c>
      <c r="R134" s="221">
        <f>+Transport!C45+Transport!C46-IntDeduct!C12</f>
        <v>0</v>
      </c>
      <c r="S134" s="221">
        <f>+Transport!D45+Transport!D46-IntDeduct!D12</f>
        <v>0</v>
      </c>
      <c r="T134" s="221">
        <f>+Transport!E45+Transport!E46-IntDeduct!E12</f>
        <v>0</v>
      </c>
      <c r="U134" s="221">
        <f>+Transport!F45+Transport!F46-IntDeduct!F12</f>
        <v>0</v>
      </c>
      <c r="V134" s="221">
        <f>+Transport!G45+Transport!G46-IntDeduct!G12</f>
        <v>0</v>
      </c>
      <c r="W134" s="221">
        <f>+Transport!H45+Transport!H46-IntDeduct!H12</f>
        <v>0</v>
      </c>
      <c r="X134" s="221">
        <f>+Transport!I45+Transport!I46-IntDeduct!I12</f>
        <v>0</v>
      </c>
      <c r="Y134" s="638">
        <f>+Transport!J45+Transport!J46-IntDeduct!J12+Trackers!K634</f>
        <v>0</v>
      </c>
      <c r="Z134" s="221">
        <f>+Transport!K45+Transport!K46-IntDeduct!K12</f>
        <v>0</v>
      </c>
      <c r="AA134" s="221">
        <f>+Transport!L45+Transport!L46-IntDeduct!L12</f>
        <v>0</v>
      </c>
      <c r="AB134" s="221">
        <f>+Transport!M45+Transport!M46-IntDeduct!M12</f>
        <v>0</v>
      </c>
      <c r="AC134" s="221">
        <f>+Transport!N45+Transport!N46-IntDeduct!N12</f>
        <v>0</v>
      </c>
      <c r="AD134" s="221">
        <f t="shared" ref="AD134:AD140" si="102">SUM(R134:AC134)</f>
        <v>0</v>
      </c>
      <c r="AI134" s="210"/>
      <c r="AJ134" s="210"/>
      <c r="AK134" s="210"/>
      <c r="AL134" s="210"/>
      <c r="AM134" s="210"/>
      <c r="AN134" s="210"/>
      <c r="AO134" s="210"/>
      <c r="AP134" s="210"/>
      <c r="AQ134" s="210"/>
      <c r="AR134" s="210"/>
      <c r="AS134" s="210"/>
      <c r="AT134" s="210"/>
      <c r="AU134" s="210"/>
      <c r="AV134" s="210"/>
      <c r="AW134" s="210"/>
      <c r="AX134" s="210"/>
      <c r="AY134" s="210"/>
      <c r="AZ134" s="210"/>
      <c r="BA134" s="210"/>
      <c r="BB134" s="210"/>
      <c r="BC134" s="210"/>
      <c r="BD134" s="210"/>
      <c r="BE134" s="210"/>
      <c r="BF134" s="210"/>
      <c r="BG134" s="210"/>
      <c r="BH134" s="210"/>
      <c r="BI134" s="210"/>
      <c r="BJ134" s="210"/>
    </row>
    <row r="135" spans="1:62" ht="12" customHeight="1" x14ac:dyDescent="0.2">
      <c r="A135" s="244"/>
      <c r="B135" s="210"/>
      <c r="C135" s="210"/>
      <c r="D135" s="210"/>
      <c r="E135" s="210"/>
      <c r="F135" s="210"/>
      <c r="G135" s="210"/>
      <c r="H135" s="210"/>
      <c r="I135" s="210"/>
      <c r="J135" s="210"/>
      <c r="K135" s="210"/>
      <c r="L135" s="210"/>
      <c r="M135"/>
      <c r="N135" s="454" t="s">
        <v>752</v>
      </c>
      <c r="P135" s="277"/>
      <c r="R135" s="221">
        <f>Transport!C53+Transport!C54+Transport!C55</f>
        <v>0</v>
      </c>
      <c r="S135" s="221">
        <f>Transport!D53+Transport!D54+Transport!D55</f>
        <v>0</v>
      </c>
      <c r="T135" s="221">
        <f>Transport!E53+Transport!E54+Transport!E55</f>
        <v>0</v>
      </c>
      <c r="U135" s="221">
        <f>Transport!F53+Transport!F54+Transport!F55</f>
        <v>0</v>
      </c>
      <c r="V135" s="221">
        <f>Transport!G53+Transport!G54+Transport!G55</f>
        <v>0</v>
      </c>
      <c r="W135" s="221">
        <f>Transport!H53+Transport!H54+Transport!H55</f>
        <v>0</v>
      </c>
      <c r="X135" s="221">
        <f>Transport!I53+Transport!I54+Transport!I55</f>
        <v>0</v>
      </c>
      <c r="Y135" s="221">
        <f>Transport!J53+Transport!J54+Transport!J55</f>
        <v>0</v>
      </c>
      <c r="Z135" s="221">
        <f>Transport!K53+Transport!K54+Transport!K55</f>
        <v>0</v>
      </c>
      <c r="AA135" s="221">
        <f>Transport!L53+Transport!L54+Transport!L55</f>
        <v>0</v>
      </c>
      <c r="AB135" s="221">
        <f>Transport!M53+Transport!M54+Transport!M55</f>
        <v>0</v>
      </c>
      <c r="AC135" s="221">
        <f>Transport!N53+Transport!N54+Transport!N55</f>
        <v>0</v>
      </c>
      <c r="AD135" s="221">
        <f t="shared" si="102"/>
        <v>0</v>
      </c>
      <c r="AI135" s="210"/>
      <c r="AJ135" s="210"/>
      <c r="AK135" s="210"/>
      <c r="AL135" s="210"/>
      <c r="AM135" s="210"/>
      <c r="AN135" s="210"/>
      <c r="AO135" s="210"/>
      <c r="AP135" s="210"/>
      <c r="AQ135" s="210"/>
      <c r="AR135" s="210"/>
      <c r="AS135" s="210"/>
      <c r="AT135" s="210"/>
      <c r="AU135" s="210"/>
      <c r="AV135" s="210"/>
      <c r="AW135" s="210"/>
      <c r="AX135" s="210"/>
      <c r="AY135" s="210"/>
      <c r="AZ135" s="210"/>
      <c r="BA135" s="210"/>
      <c r="BB135" s="210"/>
      <c r="BC135" s="210"/>
      <c r="BD135" s="210"/>
      <c r="BE135" s="210"/>
      <c r="BF135" s="210"/>
      <c r="BG135" s="210"/>
      <c r="BH135" s="210"/>
      <c r="BI135" s="210"/>
      <c r="BJ135" s="210"/>
    </row>
    <row r="136" spans="1:62" ht="6" customHeight="1" x14ac:dyDescent="0.2">
      <c r="A136" s="244"/>
      <c r="B136" s="210"/>
      <c r="C136" s="210"/>
      <c r="D136" s="210"/>
      <c r="E136" s="210"/>
      <c r="F136" s="210"/>
      <c r="G136" s="210"/>
      <c r="H136" s="210"/>
      <c r="I136" s="210"/>
      <c r="J136" s="210"/>
      <c r="K136" s="210"/>
      <c r="L136" s="210"/>
      <c r="M136"/>
      <c r="N136" s="454"/>
      <c r="P136" s="277"/>
      <c r="R136" s="221"/>
      <c r="S136" s="221"/>
      <c r="T136" s="221"/>
      <c r="U136" s="221"/>
      <c r="V136" s="221"/>
      <c r="W136" s="221"/>
      <c r="X136" s="221"/>
      <c r="Y136" s="221"/>
      <c r="Z136" s="221"/>
      <c r="AA136" s="221"/>
      <c r="AB136" s="221"/>
      <c r="AC136" s="221"/>
      <c r="AD136" s="221"/>
      <c r="AI136" s="210"/>
      <c r="AJ136" s="210"/>
      <c r="AK136" s="210"/>
      <c r="AL136" s="210"/>
      <c r="AM136" s="210"/>
      <c r="AN136" s="210"/>
      <c r="AO136" s="210"/>
      <c r="AP136" s="210"/>
      <c r="AQ136" s="210"/>
      <c r="AR136" s="210"/>
      <c r="AS136" s="210"/>
      <c r="AT136" s="210"/>
      <c r="AU136" s="210"/>
      <c r="AV136" s="210"/>
      <c r="AW136" s="210"/>
      <c r="AX136" s="210"/>
      <c r="AY136" s="210"/>
      <c r="AZ136" s="210"/>
      <c r="BA136" s="210"/>
      <c r="BB136" s="210"/>
      <c r="BC136" s="210"/>
      <c r="BD136" s="210"/>
      <c r="BE136" s="210"/>
      <c r="BF136" s="210"/>
      <c r="BG136" s="210"/>
      <c r="BH136" s="210"/>
      <c r="BI136" s="210"/>
      <c r="BJ136" s="210"/>
    </row>
    <row r="137" spans="1:62" ht="12" customHeight="1" x14ac:dyDescent="0.2">
      <c r="A137" s="210"/>
      <c r="B137" s="210"/>
      <c r="C137" s="210"/>
      <c r="D137" s="210"/>
      <c r="E137" s="210"/>
      <c r="F137" s="210"/>
      <c r="G137" s="210"/>
      <c r="H137" s="210"/>
      <c r="I137" s="210"/>
      <c r="J137" s="210"/>
      <c r="K137" s="210"/>
      <c r="L137" s="210"/>
      <c r="M137"/>
      <c r="N137" s="454" t="s">
        <v>997</v>
      </c>
      <c r="R137" s="221">
        <f>-IntDeduct!C45</f>
        <v>121</v>
      </c>
      <c r="S137" s="221">
        <f>-IntDeduct!D45</f>
        <v>182</v>
      </c>
      <c r="T137" s="221">
        <f>-IntDeduct!E45</f>
        <v>152</v>
      </c>
      <c r="U137" s="221">
        <f>-IntDeduct!F45</f>
        <v>111</v>
      </c>
      <c r="V137" s="221">
        <f>-IntDeduct!G45</f>
        <v>220</v>
      </c>
      <c r="W137" s="221">
        <f>-IntDeduct!H45</f>
        <v>129</v>
      </c>
      <c r="X137" s="221">
        <f>-IntDeduct!I45</f>
        <v>175</v>
      </c>
      <c r="Y137" s="221">
        <f>-IntDeduct!J45</f>
        <v>176</v>
      </c>
      <c r="Z137" s="221">
        <f>-IntDeduct!K45</f>
        <v>209</v>
      </c>
      <c r="AA137" s="221">
        <f>-IntDeduct!L45</f>
        <v>151</v>
      </c>
      <c r="AB137" s="221">
        <f>-IntDeduct!M45</f>
        <v>244</v>
      </c>
      <c r="AC137" s="221">
        <f>-IntDeduct!N45</f>
        <v>138</v>
      </c>
      <c r="AD137" s="221">
        <f t="shared" si="102"/>
        <v>2008</v>
      </c>
      <c r="AI137" s="210"/>
      <c r="AJ137" s="210"/>
      <c r="AK137" s="210"/>
      <c r="AL137" s="210"/>
      <c r="AM137" s="210"/>
      <c r="AN137" s="210"/>
      <c r="AO137" s="210"/>
      <c r="AP137" s="210"/>
      <c r="AQ137" s="210"/>
      <c r="AR137" s="210"/>
      <c r="AS137" s="210"/>
      <c r="AT137" s="210"/>
      <c r="AU137" s="210"/>
      <c r="AV137" s="210"/>
      <c r="AW137" s="210"/>
      <c r="AX137" s="210"/>
      <c r="AY137" s="210"/>
      <c r="AZ137" s="210"/>
      <c r="BA137" s="210"/>
      <c r="BB137" s="210"/>
      <c r="BC137" s="210"/>
      <c r="BD137" s="210"/>
      <c r="BE137" s="210"/>
      <c r="BF137" s="210"/>
      <c r="BG137" s="210"/>
      <c r="BH137" s="210"/>
      <c r="BI137" s="210"/>
      <c r="BJ137" s="210"/>
    </row>
    <row r="138" spans="1:62" ht="12" customHeight="1" x14ac:dyDescent="0.2">
      <c r="A138" s="244"/>
      <c r="B138" s="210"/>
      <c r="C138" s="210"/>
      <c r="D138" s="210"/>
      <c r="E138" s="210"/>
      <c r="F138" s="210"/>
      <c r="G138" s="210"/>
      <c r="H138" s="210"/>
      <c r="I138" s="210"/>
      <c r="J138" s="210"/>
      <c r="K138" s="210"/>
      <c r="L138" s="210"/>
      <c r="M138"/>
      <c r="N138" s="454" t="s">
        <v>646</v>
      </c>
      <c r="R138" s="221">
        <f>-SUM(IntDeduct!C46:C47)</f>
        <v>0</v>
      </c>
      <c r="S138" s="221">
        <f>-SUM(IntDeduct!D46:D47)</f>
        <v>0</v>
      </c>
      <c r="T138" s="221">
        <f>-SUM(IntDeduct!E46:E47)</f>
        <v>0</v>
      </c>
      <c r="U138" s="221">
        <f>-SUM(IntDeduct!F46:F47)</f>
        <v>0</v>
      </c>
      <c r="V138" s="221">
        <f>-SUM(IntDeduct!G46:G47)</f>
        <v>0</v>
      </c>
      <c r="W138" s="221">
        <f>-SUM(IntDeduct!H46:H47)</f>
        <v>0</v>
      </c>
      <c r="X138" s="221">
        <f>-SUM(IntDeduct!I46:I47)</f>
        <v>0</v>
      </c>
      <c r="Y138" s="221">
        <f>-SUM(IntDeduct!J46:J47)</f>
        <v>0</v>
      </c>
      <c r="Z138" s="221">
        <f>-SUM(IntDeduct!K46:K47)</f>
        <v>0</v>
      </c>
      <c r="AA138" s="221">
        <f>-SUM(IntDeduct!L46:L47)</f>
        <v>0</v>
      </c>
      <c r="AB138" s="221">
        <f>-SUM(IntDeduct!M46:M47)</f>
        <v>0</v>
      </c>
      <c r="AC138" s="221">
        <f>-SUM(IntDeduct!N46:N47)</f>
        <v>0</v>
      </c>
      <c r="AD138" s="221">
        <f t="shared" si="102"/>
        <v>0</v>
      </c>
      <c r="AE138" s="221"/>
      <c r="AI138" s="210"/>
      <c r="AJ138" s="210"/>
      <c r="AK138" s="210"/>
      <c r="AL138" s="210"/>
      <c r="AM138" s="210"/>
      <c r="AN138" s="210"/>
      <c r="AO138" s="210"/>
      <c r="AP138" s="210"/>
      <c r="AQ138" s="210"/>
      <c r="AR138" s="210"/>
      <c r="AS138" s="210"/>
      <c r="AT138" s="210"/>
      <c r="AU138" s="210"/>
      <c r="AV138" s="210"/>
      <c r="AW138" s="210"/>
      <c r="AX138" s="210"/>
      <c r="AY138" s="210"/>
      <c r="AZ138" s="210"/>
      <c r="BA138" s="210"/>
      <c r="BB138" s="210"/>
      <c r="BC138" s="210"/>
      <c r="BD138" s="210"/>
      <c r="BE138" s="210"/>
      <c r="BF138" s="210"/>
      <c r="BG138" s="210"/>
      <c r="BH138" s="210"/>
      <c r="BI138" s="210"/>
      <c r="BJ138" s="210"/>
    </row>
    <row r="139" spans="1:62" ht="12" customHeight="1" x14ac:dyDescent="0.2">
      <c r="B139" s="210"/>
      <c r="C139" s="210"/>
      <c r="D139" s="210"/>
      <c r="E139" s="210"/>
      <c r="F139" s="210"/>
      <c r="G139" s="210"/>
      <c r="H139" s="210"/>
      <c r="I139" s="210"/>
      <c r="J139" s="210"/>
      <c r="K139" s="210"/>
      <c r="L139" s="210"/>
      <c r="M139"/>
      <c r="N139" s="454" t="s">
        <v>714</v>
      </c>
      <c r="P139" s="277"/>
      <c r="R139" s="523">
        <f>OtherRev!C24+OtherRev!C25</f>
        <v>0</v>
      </c>
      <c r="S139" s="523">
        <f>OtherRev!D24+OtherRev!D25</f>
        <v>0</v>
      </c>
      <c r="T139" s="523">
        <f>OtherRev!E24+OtherRev!E25</f>
        <v>0</v>
      </c>
      <c r="U139" s="523">
        <f>OtherRev!F24+OtherRev!F25</f>
        <v>0</v>
      </c>
      <c r="V139" s="523">
        <f>OtherRev!G24+OtherRev!G25</f>
        <v>0</v>
      </c>
      <c r="W139" s="523">
        <f>OtherRev!H24+OtherRev!H25</f>
        <v>0</v>
      </c>
      <c r="X139" s="523">
        <f>OtherRev!I24+OtherRev!I25</f>
        <v>0</v>
      </c>
      <c r="Y139" s="523">
        <f>OtherRev!J24+OtherRev!J25</f>
        <v>0</v>
      </c>
      <c r="Z139" s="523">
        <f>OtherRev!K24+OtherRev!K25</f>
        <v>0</v>
      </c>
      <c r="AA139" s="523">
        <f>OtherRev!L24+OtherRev!L25</f>
        <v>0</v>
      </c>
      <c r="AB139" s="523">
        <f>OtherRev!M24+OtherRev!M25</f>
        <v>0</v>
      </c>
      <c r="AC139" s="523">
        <f>OtherRev!N24+OtherRev!N25</f>
        <v>0</v>
      </c>
      <c r="AD139" s="221">
        <f t="shared" si="102"/>
        <v>0</v>
      </c>
      <c r="AI139" s="210"/>
      <c r="AJ139" s="210"/>
      <c r="AK139" s="210"/>
      <c r="AL139" s="210"/>
      <c r="AM139" s="210"/>
      <c r="AN139" s="210"/>
      <c r="AO139" s="210"/>
      <c r="AP139" s="210"/>
      <c r="AQ139" s="210"/>
      <c r="AR139" s="210"/>
      <c r="AS139" s="210"/>
      <c r="AT139" s="210"/>
      <c r="AU139" s="210"/>
      <c r="AV139" s="210"/>
      <c r="AW139" s="210"/>
      <c r="AX139" s="210"/>
      <c r="AY139" s="210"/>
      <c r="AZ139" s="210"/>
      <c r="BA139" s="210"/>
      <c r="BB139" s="210"/>
      <c r="BC139" s="210"/>
      <c r="BD139" s="210"/>
      <c r="BE139" s="210"/>
      <c r="BF139" s="210"/>
      <c r="BG139" s="210"/>
      <c r="BH139" s="210"/>
      <c r="BI139" s="210"/>
      <c r="BJ139" s="210"/>
    </row>
    <row r="140" spans="1:62" ht="12" customHeight="1" x14ac:dyDescent="0.2">
      <c r="D140" s="210"/>
      <c r="E140" s="210"/>
      <c r="F140" s="210"/>
      <c r="G140" s="210"/>
      <c r="H140" s="210"/>
      <c r="I140" s="210"/>
      <c r="J140" s="210"/>
      <c r="K140" s="210"/>
      <c r="L140" s="210"/>
      <c r="M140"/>
      <c r="N140" s="442" t="s">
        <v>788</v>
      </c>
      <c r="O140" s="208"/>
      <c r="R140" s="275">
        <v>0</v>
      </c>
      <c r="S140" s="275">
        <v>0</v>
      </c>
      <c r="T140" s="275">
        <v>0</v>
      </c>
      <c r="U140" s="275">
        <v>0</v>
      </c>
      <c r="V140" s="275">
        <v>0</v>
      </c>
      <c r="W140" s="275">
        <v>0</v>
      </c>
      <c r="X140" s="275">
        <v>0</v>
      </c>
      <c r="Y140" s="275">
        <v>0</v>
      </c>
      <c r="Z140" s="275">
        <v>0</v>
      </c>
      <c r="AA140" s="275">
        <v>0</v>
      </c>
      <c r="AB140" s="275">
        <v>0</v>
      </c>
      <c r="AC140" s="275">
        <v>0</v>
      </c>
      <c r="AD140" s="229">
        <f t="shared" si="102"/>
        <v>0</v>
      </c>
      <c r="AI140" s="210"/>
      <c r="AJ140" s="210"/>
      <c r="AK140" s="210"/>
      <c r="AL140" s="210"/>
      <c r="AM140" s="210"/>
      <c r="AN140" s="210"/>
      <c r="AO140" s="210"/>
      <c r="AP140" s="210"/>
      <c r="AQ140" s="210"/>
      <c r="AR140" s="210"/>
      <c r="AS140" s="210"/>
      <c r="AT140" s="210"/>
      <c r="AU140" s="210"/>
      <c r="AV140" s="210"/>
      <c r="AW140" s="210"/>
      <c r="AX140" s="210"/>
      <c r="AY140" s="210"/>
      <c r="AZ140" s="210"/>
      <c r="BA140" s="210"/>
      <c r="BB140" s="210"/>
      <c r="BC140" s="210"/>
      <c r="BD140" s="210"/>
      <c r="BE140" s="210"/>
      <c r="BF140" s="210"/>
      <c r="BG140" s="210"/>
      <c r="BH140" s="210"/>
      <c r="BI140" s="210"/>
      <c r="BJ140" s="210"/>
    </row>
    <row r="141" spans="1:62" ht="12" customHeight="1" x14ac:dyDescent="0.2">
      <c r="A141" s="210"/>
      <c r="B141" s="210"/>
      <c r="C141" s="210"/>
      <c r="D141" s="210"/>
      <c r="E141" s="210"/>
      <c r="F141" s="210"/>
      <c r="G141" s="210"/>
      <c r="H141" s="210"/>
      <c r="I141" s="210"/>
      <c r="J141" s="210"/>
      <c r="K141" s="210"/>
      <c r="L141" s="210"/>
      <c r="M141"/>
      <c r="N141" s="433"/>
      <c r="O141" s="243"/>
      <c r="R141" s="229">
        <f>SUM(R135:R140)</f>
        <v>121</v>
      </c>
      <c r="S141" s="229">
        <f t="shared" ref="S141:AD141" si="103">SUM(S135:S140)</f>
        <v>182</v>
      </c>
      <c r="T141" s="229">
        <f t="shared" si="103"/>
        <v>152</v>
      </c>
      <c r="U141" s="229">
        <f t="shared" si="103"/>
        <v>111</v>
      </c>
      <c r="V141" s="229">
        <f t="shared" si="103"/>
        <v>220</v>
      </c>
      <c r="W141" s="229">
        <f t="shared" si="103"/>
        <v>129</v>
      </c>
      <c r="X141" s="229">
        <f t="shared" si="103"/>
        <v>175</v>
      </c>
      <c r="Y141" s="229">
        <f t="shared" si="103"/>
        <v>176</v>
      </c>
      <c r="Z141" s="229">
        <f t="shared" si="103"/>
        <v>209</v>
      </c>
      <c r="AA141" s="229">
        <f t="shared" si="103"/>
        <v>151</v>
      </c>
      <c r="AB141" s="229">
        <f t="shared" si="103"/>
        <v>244</v>
      </c>
      <c r="AC141" s="229">
        <f t="shared" si="103"/>
        <v>138</v>
      </c>
      <c r="AD141" s="229">
        <f t="shared" si="103"/>
        <v>2008</v>
      </c>
      <c r="AI141" s="210"/>
      <c r="AJ141" s="210"/>
      <c r="AK141" s="210"/>
      <c r="AL141" s="210"/>
      <c r="AM141" s="210"/>
      <c r="AN141" s="210"/>
      <c r="AO141" s="210"/>
      <c r="AP141" s="210"/>
      <c r="AQ141" s="210"/>
      <c r="AR141" s="210"/>
      <c r="AS141" s="210"/>
      <c r="AT141" s="210"/>
      <c r="AU141" s="210"/>
      <c r="AV141" s="210"/>
      <c r="AW141" s="210"/>
      <c r="AX141" s="210"/>
      <c r="AY141" s="210"/>
      <c r="AZ141" s="210"/>
      <c r="BA141" s="210"/>
      <c r="BB141" s="210"/>
      <c r="BC141" s="210"/>
      <c r="BD141" s="210"/>
      <c r="BE141" s="210"/>
      <c r="BF141" s="210"/>
      <c r="BG141" s="210"/>
      <c r="BH141" s="210"/>
      <c r="BI141" s="210"/>
      <c r="BJ141" s="210"/>
    </row>
    <row r="142" spans="1:62" ht="6" customHeight="1" x14ac:dyDescent="0.2">
      <c r="A142" s="210"/>
      <c r="B142" s="210"/>
      <c r="C142" s="210"/>
      <c r="D142" s="210"/>
      <c r="E142" s="210"/>
      <c r="F142" s="210"/>
      <c r="G142" s="210"/>
      <c r="H142" s="210"/>
      <c r="I142" s="210"/>
      <c r="J142" s="210"/>
      <c r="K142" s="210"/>
      <c r="L142" s="210"/>
      <c r="M142"/>
      <c r="N142" s="433"/>
      <c r="AI142" s="210"/>
      <c r="AJ142" s="210"/>
      <c r="AK142" s="210"/>
      <c r="AL142" s="210"/>
      <c r="AM142" s="210"/>
      <c r="AN142" s="210"/>
      <c r="AO142" s="210"/>
      <c r="AP142" s="210"/>
      <c r="AQ142" s="210"/>
      <c r="AR142" s="210"/>
      <c r="AS142" s="210"/>
      <c r="AT142" s="210"/>
      <c r="AU142" s="210"/>
      <c r="AV142" s="210"/>
      <c r="AW142" s="210"/>
      <c r="AX142" s="210"/>
      <c r="AY142" s="210"/>
      <c r="AZ142" s="210"/>
      <c r="BA142" s="210"/>
      <c r="BB142" s="210"/>
      <c r="BC142" s="210"/>
      <c r="BD142" s="210"/>
      <c r="BE142" s="210"/>
      <c r="BF142" s="210"/>
      <c r="BG142" s="210"/>
      <c r="BH142" s="210"/>
      <c r="BI142" s="210"/>
      <c r="BJ142" s="210"/>
    </row>
    <row r="143" spans="1:62" ht="12" customHeight="1" x14ac:dyDescent="0.2">
      <c r="A143" s="210"/>
      <c r="B143" s="210"/>
      <c r="C143" s="210"/>
      <c r="D143" s="210"/>
      <c r="E143" s="210"/>
      <c r="F143" s="210"/>
      <c r="G143" s="210"/>
      <c r="H143" s="210"/>
      <c r="I143" s="210"/>
      <c r="J143" s="210"/>
      <c r="K143" s="210"/>
      <c r="L143" s="210"/>
      <c r="M143" s="456" t="s">
        <v>998</v>
      </c>
      <c r="N143" s="206"/>
      <c r="O143" s="206"/>
      <c r="P143" s="206"/>
      <c r="R143" s="220"/>
      <c r="S143" s="220"/>
      <c r="T143" s="220"/>
      <c r="U143" s="220"/>
      <c r="V143" s="220"/>
      <c r="W143" s="220"/>
      <c r="X143" s="220"/>
      <c r="Y143" s="220"/>
      <c r="Z143" s="220"/>
      <c r="AA143" s="220"/>
      <c r="AB143" s="220"/>
      <c r="AC143" s="220"/>
      <c r="AD143" s="220"/>
      <c r="AG143" s="245"/>
      <c r="AI143" s="210"/>
      <c r="AJ143" s="241"/>
      <c r="AK143" s="241"/>
      <c r="AL143" s="241"/>
      <c r="AM143" s="242"/>
      <c r="AN143" s="242"/>
      <c r="AO143" s="242"/>
      <c r="AP143" s="242"/>
      <c r="AQ143" s="242"/>
      <c r="AR143" s="242"/>
      <c r="AS143" s="210"/>
      <c r="AT143" s="210"/>
      <c r="AU143" s="210"/>
      <c r="AV143" s="210"/>
      <c r="AW143" s="210"/>
      <c r="AX143" s="210"/>
      <c r="AY143" s="210"/>
      <c r="AZ143" s="210"/>
      <c r="BA143" s="210"/>
      <c r="BB143" s="210"/>
      <c r="BC143" s="210"/>
      <c r="BD143" s="210"/>
      <c r="BE143" s="210"/>
      <c r="BF143" s="210"/>
      <c r="BG143" s="210"/>
      <c r="BH143" s="210"/>
      <c r="BI143" s="210"/>
      <c r="BJ143" s="210"/>
    </row>
    <row r="144" spans="1:62" ht="12" customHeight="1" x14ac:dyDescent="0.2">
      <c r="A144" s="210"/>
      <c r="B144" s="210"/>
      <c r="C144" s="210"/>
      <c r="D144" s="210"/>
      <c r="E144" s="210"/>
      <c r="F144" s="210"/>
      <c r="G144" s="210"/>
      <c r="H144" s="210"/>
      <c r="I144" s="210"/>
      <c r="J144" s="210"/>
      <c r="K144" s="210"/>
      <c r="L144" s="210"/>
      <c r="M144"/>
      <c r="N144" s="454" t="s">
        <v>999</v>
      </c>
      <c r="O144" s="206"/>
      <c r="P144" s="206"/>
      <c r="R144" s="221">
        <f>-RegAmort!C32</f>
        <v>-58</v>
      </c>
      <c r="S144" s="221">
        <f>-RegAmort!D32</f>
        <v>-58</v>
      </c>
      <c r="T144" s="221">
        <f>-RegAmort!E32</f>
        <v>-58</v>
      </c>
      <c r="U144" s="221">
        <f>-RegAmort!F32</f>
        <v>-58</v>
      </c>
      <c r="V144" s="221">
        <f>-RegAmort!G32</f>
        <v>-58</v>
      </c>
      <c r="W144" s="221">
        <f>-RegAmort!H32</f>
        <v>-58</v>
      </c>
      <c r="X144" s="221">
        <f>-RegAmort!I32</f>
        <v>-58</v>
      </c>
      <c r="Y144" s="221">
        <f>-RegAmort!J32</f>
        <v>-58</v>
      </c>
      <c r="Z144" s="221">
        <f>-RegAmort!K32</f>
        <v>-58</v>
      </c>
      <c r="AA144" s="221">
        <f>-RegAmort!L32</f>
        <v>-58</v>
      </c>
      <c r="AB144" s="221">
        <f>-RegAmort!M32</f>
        <v>-58</v>
      </c>
      <c r="AC144" s="221">
        <f>-RegAmort!N32</f>
        <v>-58</v>
      </c>
      <c r="AD144" s="221">
        <f>SUM(R144:AC144)</f>
        <v>-696</v>
      </c>
      <c r="AG144" s="245"/>
      <c r="AI144" s="210"/>
      <c r="AJ144" s="241"/>
      <c r="AK144" s="241"/>
      <c r="AL144" s="241"/>
      <c r="AM144" s="242"/>
      <c r="AN144" s="242"/>
      <c r="AO144" s="242"/>
      <c r="AP144" s="242"/>
      <c r="AQ144" s="242"/>
      <c r="AR144" s="242"/>
      <c r="AS144" s="210"/>
      <c r="AT144" s="210"/>
      <c r="AU144" s="210"/>
      <c r="AV144" s="210"/>
      <c r="AW144" s="210"/>
      <c r="AX144" s="210"/>
      <c r="AY144" s="210"/>
      <c r="AZ144" s="210"/>
      <c r="BA144" s="210"/>
      <c r="BB144" s="210"/>
      <c r="BC144" s="210"/>
      <c r="BD144" s="210"/>
      <c r="BE144" s="210"/>
      <c r="BF144" s="210"/>
      <c r="BG144" s="210"/>
      <c r="BH144" s="210"/>
      <c r="BI144" s="210"/>
      <c r="BJ144" s="210"/>
    </row>
    <row r="145" spans="1:62" ht="12" customHeight="1" x14ac:dyDescent="0.2">
      <c r="A145" s="210"/>
      <c r="B145" s="210"/>
      <c r="C145" s="210"/>
      <c r="D145" s="210"/>
      <c r="E145" s="210"/>
      <c r="F145" s="210"/>
      <c r="G145" s="210"/>
      <c r="H145" s="210"/>
      <c r="I145" s="210"/>
      <c r="J145" s="210"/>
      <c r="K145" s="210"/>
      <c r="L145" s="210"/>
      <c r="M145"/>
      <c r="N145" s="454" t="s">
        <v>1059</v>
      </c>
      <c r="R145" s="221">
        <f>-RegAmort!C33</f>
        <v>-228</v>
      </c>
      <c r="S145" s="221">
        <f>-RegAmort!D33</f>
        <v>-228</v>
      </c>
      <c r="T145" s="221">
        <f>-RegAmort!E33</f>
        <v>-228</v>
      </c>
      <c r="U145" s="221">
        <f>-RegAmort!F33</f>
        <v>-228</v>
      </c>
      <c r="V145" s="221">
        <f>-RegAmort!G33</f>
        <v>-228</v>
      </c>
      <c r="W145" s="221">
        <f>-RegAmort!H33</f>
        <v>-228</v>
      </c>
      <c r="X145" s="221">
        <f>-RegAmort!I33</f>
        <v>-228</v>
      </c>
      <c r="Y145" s="221">
        <f>-RegAmort!J33</f>
        <v>-228</v>
      </c>
      <c r="Z145" s="221">
        <f>-RegAmort!K33</f>
        <v>-229</v>
      </c>
      <c r="AA145" s="221">
        <f>-RegAmort!L33</f>
        <v>-240</v>
      </c>
      <c r="AB145" s="221">
        <f>-RegAmort!M33</f>
        <v>-240</v>
      </c>
      <c r="AC145" s="221">
        <f>-RegAmort!N33</f>
        <v>-240</v>
      </c>
      <c r="AD145" s="221">
        <f>SUM(R145:AC145)</f>
        <v>-2773</v>
      </c>
      <c r="AI145" s="210"/>
      <c r="AJ145" s="210"/>
      <c r="AK145" s="210"/>
      <c r="AL145" s="210"/>
      <c r="AM145" s="242"/>
      <c r="AN145" s="242"/>
      <c r="AO145" s="242"/>
      <c r="AP145" s="242"/>
      <c r="AQ145" s="242"/>
      <c r="AR145" s="242"/>
      <c r="AS145" s="210"/>
      <c r="AT145" s="210"/>
      <c r="AU145" s="210"/>
      <c r="AV145" s="210"/>
      <c r="AW145" s="210"/>
      <c r="AX145" s="210"/>
      <c r="AY145" s="210"/>
      <c r="AZ145" s="210"/>
      <c r="BA145" s="210"/>
      <c r="BB145" s="210"/>
      <c r="BC145" s="210"/>
      <c r="BD145" s="210"/>
      <c r="BE145" s="210"/>
      <c r="BF145" s="210"/>
      <c r="BG145" s="210"/>
      <c r="BH145" s="210"/>
      <c r="BI145" s="210"/>
      <c r="BJ145" s="210"/>
    </row>
    <row r="146" spans="1:62" ht="12" customHeight="1" x14ac:dyDescent="0.2">
      <c r="A146" s="210"/>
      <c r="B146" s="210"/>
      <c r="C146" s="210"/>
      <c r="D146" s="210"/>
      <c r="E146" s="210"/>
      <c r="F146" s="210"/>
      <c r="G146" s="210"/>
      <c r="H146" s="210"/>
      <c r="I146" s="210"/>
      <c r="J146" s="210"/>
      <c r="K146" s="210"/>
      <c r="L146" s="210"/>
      <c r="M146"/>
      <c r="N146" s="454" t="s">
        <v>1060</v>
      </c>
      <c r="P146" s="277"/>
      <c r="R146" s="523">
        <f>-'O&amp;M'!C17</f>
        <v>0</v>
      </c>
      <c r="S146" s="523">
        <f>-'O&amp;M'!D17</f>
        <v>0</v>
      </c>
      <c r="T146" s="523">
        <f>-'O&amp;M'!E17</f>
        <v>0</v>
      </c>
      <c r="U146" s="523">
        <f>-'O&amp;M'!F17</f>
        <v>0</v>
      </c>
      <c r="V146" s="523">
        <f>-'O&amp;M'!G17</f>
        <v>0</v>
      </c>
      <c r="W146" s="523">
        <f>-'O&amp;M'!H17</f>
        <v>0</v>
      </c>
      <c r="X146" s="523">
        <f>-'O&amp;M'!I17</f>
        <v>0</v>
      </c>
      <c r="Y146" s="523">
        <f>-'O&amp;M'!J17</f>
        <v>0</v>
      </c>
      <c r="Z146" s="523">
        <f>-'O&amp;M'!K17</f>
        <v>0</v>
      </c>
      <c r="AA146" s="523">
        <f>-'O&amp;M'!L17</f>
        <v>0</v>
      </c>
      <c r="AB146" s="523">
        <f>-'O&amp;M'!M17</f>
        <v>0</v>
      </c>
      <c r="AC146" s="523">
        <f>-'O&amp;M'!N17</f>
        <v>0</v>
      </c>
      <c r="AD146" s="221">
        <f>SUM(R146:AC146)</f>
        <v>0</v>
      </c>
      <c r="AG146" s="223"/>
      <c r="AI146" s="210"/>
      <c r="AJ146" s="210"/>
      <c r="AK146" s="210"/>
      <c r="AL146" s="210"/>
      <c r="AM146" s="246"/>
      <c r="AN146" s="242"/>
      <c r="AO146" s="246"/>
      <c r="AP146" s="246"/>
      <c r="AQ146" s="242"/>
      <c r="AR146" s="242"/>
      <c r="AS146" s="210"/>
      <c r="AT146" s="210"/>
      <c r="AU146" s="210"/>
      <c r="AV146" s="210"/>
      <c r="AW146" s="210"/>
      <c r="AX146" s="210"/>
      <c r="AY146" s="210"/>
      <c r="AZ146" s="210"/>
      <c r="BA146" s="210"/>
      <c r="BB146" s="210"/>
      <c r="BC146" s="210"/>
      <c r="BD146" s="210"/>
      <c r="BE146" s="210"/>
      <c r="BF146" s="210"/>
      <c r="BG146" s="210"/>
      <c r="BH146" s="210"/>
      <c r="BI146" s="210"/>
      <c r="BJ146" s="210"/>
    </row>
    <row r="147" spans="1:62" ht="12" customHeight="1" x14ac:dyDescent="0.2">
      <c r="A147" s="244"/>
      <c r="B147" s="210"/>
      <c r="C147" s="210"/>
      <c r="D147" s="210"/>
      <c r="E147" s="210"/>
      <c r="F147" s="210"/>
      <c r="G147" s="210"/>
      <c r="H147" s="210"/>
      <c r="I147" s="210"/>
      <c r="J147" s="210"/>
      <c r="K147" s="210"/>
      <c r="L147" s="210"/>
      <c r="M147"/>
      <c r="N147" s="454" t="s">
        <v>1065</v>
      </c>
      <c r="R147" s="490">
        <f>-RegAmort!C40</f>
        <v>-86</v>
      </c>
      <c r="S147" s="490">
        <f>-RegAmort!D40</f>
        <v>-85</v>
      </c>
      <c r="T147" s="490">
        <f>-RegAmort!E40</f>
        <v>-86</v>
      </c>
      <c r="U147" s="490">
        <f>-RegAmort!F40</f>
        <v>-86</v>
      </c>
      <c r="V147" s="490">
        <f>-RegAmort!G40</f>
        <v>-86</v>
      </c>
      <c r="W147" s="490">
        <f>-RegAmort!H40</f>
        <v>-85</v>
      </c>
      <c r="X147" s="490">
        <f>-RegAmort!I40</f>
        <v>-86</v>
      </c>
      <c r="Y147" s="490">
        <f>-RegAmort!J40</f>
        <v>-85</v>
      </c>
      <c r="Z147" s="490">
        <f>-RegAmort!K40</f>
        <v>-86</v>
      </c>
      <c r="AA147" s="490">
        <f>-RegAmort!L40</f>
        <v>-85</v>
      </c>
      <c r="AB147" s="490">
        <f>-RegAmort!M40</f>
        <v>-86</v>
      </c>
      <c r="AC147" s="490">
        <f>-RegAmort!N40</f>
        <v>-86</v>
      </c>
      <c r="AD147" s="221">
        <f t="shared" ref="AD147:AD155" si="104">SUM(R147:AC147)</f>
        <v>-1028</v>
      </c>
      <c r="AG147" s="223"/>
      <c r="AH147" s="223"/>
      <c r="AI147" s="210"/>
      <c r="AJ147" s="241"/>
      <c r="AK147" s="241"/>
      <c r="AL147" s="241"/>
      <c r="AM147" s="246"/>
      <c r="AN147" s="242"/>
      <c r="AO147" s="246"/>
      <c r="AP147" s="246"/>
      <c r="AQ147" s="242"/>
      <c r="AR147" s="242"/>
      <c r="AS147" s="210"/>
      <c r="AT147" s="210"/>
      <c r="AU147" s="210"/>
      <c r="AV147" s="210"/>
      <c r="AW147" s="210"/>
      <c r="AX147" s="210"/>
      <c r="AY147" s="210"/>
      <c r="AZ147" s="210"/>
      <c r="BA147" s="210"/>
      <c r="BB147" s="210"/>
      <c r="BC147" s="210"/>
      <c r="BD147" s="210"/>
      <c r="BE147" s="210"/>
      <c r="BF147" s="210"/>
      <c r="BG147" s="210"/>
      <c r="BH147" s="210"/>
      <c r="BI147" s="210"/>
      <c r="BJ147" s="210"/>
    </row>
    <row r="148" spans="1:62" ht="12" customHeight="1" x14ac:dyDescent="0.2">
      <c r="A148" s="210"/>
      <c r="B148" s="210"/>
      <c r="C148" s="210"/>
      <c r="D148" s="210"/>
      <c r="E148" s="210"/>
      <c r="F148" s="210"/>
      <c r="G148" s="210"/>
      <c r="H148" s="210"/>
      <c r="I148" s="210"/>
      <c r="J148" s="210"/>
      <c r="K148" s="210"/>
      <c r="L148" s="210"/>
      <c r="M148"/>
      <c r="N148" s="454" t="s">
        <v>1066</v>
      </c>
      <c r="R148" s="221">
        <f>-RegAmort!C41</f>
        <v>-31</v>
      </c>
      <c r="S148" s="221">
        <f>-RegAmort!D41</f>
        <v>-31</v>
      </c>
      <c r="T148" s="221">
        <f>-RegAmort!E41</f>
        <v>-32</v>
      </c>
      <c r="U148" s="221">
        <f>-RegAmort!F41</f>
        <v>-31</v>
      </c>
      <c r="V148" s="221">
        <f>-RegAmort!G41</f>
        <v>-31</v>
      </c>
      <c r="W148" s="221">
        <f>-RegAmort!H41</f>
        <v>-32</v>
      </c>
      <c r="X148" s="221">
        <f>-RegAmort!I41</f>
        <v>-31</v>
      </c>
      <c r="Y148" s="221">
        <f>-RegAmort!J41</f>
        <v>-31</v>
      </c>
      <c r="Z148" s="221">
        <f>-RegAmort!K41</f>
        <v>-32</v>
      </c>
      <c r="AA148" s="221">
        <f>-RegAmort!L41</f>
        <v>-32</v>
      </c>
      <c r="AB148" s="221">
        <f>-RegAmort!M41</f>
        <v>-32</v>
      </c>
      <c r="AC148" s="221">
        <f>-RegAmort!N41</f>
        <v>-32</v>
      </c>
      <c r="AD148" s="221">
        <f t="shared" si="104"/>
        <v>-378</v>
      </c>
      <c r="AI148" s="210"/>
      <c r="AJ148" s="210"/>
      <c r="AK148" s="210"/>
      <c r="AL148" s="210"/>
      <c r="AM148" s="210"/>
      <c r="AN148" s="210"/>
      <c r="AO148" s="210"/>
      <c r="AP148" s="210"/>
      <c r="AQ148" s="210"/>
      <c r="AR148" s="210"/>
      <c r="AS148" s="210"/>
      <c r="AT148" s="210"/>
      <c r="AU148" s="210"/>
      <c r="AV148" s="210"/>
      <c r="AW148" s="210"/>
      <c r="AX148" s="210"/>
      <c r="AY148" s="210"/>
      <c r="AZ148" s="210"/>
      <c r="BA148" s="210"/>
      <c r="BB148" s="210"/>
      <c r="BC148" s="210"/>
      <c r="BD148" s="210"/>
      <c r="BE148" s="210"/>
      <c r="BF148" s="210"/>
      <c r="BG148" s="210"/>
      <c r="BH148" s="210"/>
      <c r="BI148" s="210"/>
      <c r="BJ148" s="210"/>
    </row>
    <row r="149" spans="1:62" ht="12" customHeight="1" x14ac:dyDescent="0.2">
      <c r="A149" s="210"/>
      <c r="B149" s="210"/>
      <c r="C149" s="210"/>
      <c r="D149" s="210"/>
      <c r="E149" s="210"/>
      <c r="F149" s="210"/>
      <c r="G149" s="210"/>
      <c r="H149" s="210"/>
      <c r="I149" s="210"/>
      <c r="J149" s="210"/>
      <c r="K149" s="210"/>
      <c r="L149" s="210"/>
      <c r="M149"/>
      <c r="N149" s="454" t="s">
        <v>1067</v>
      </c>
      <c r="R149" s="221">
        <f>-RegAmort!C42</f>
        <v>-127</v>
      </c>
      <c r="S149" s="221">
        <f>-RegAmort!D42</f>
        <v>-127</v>
      </c>
      <c r="T149" s="221">
        <f>-RegAmort!E42</f>
        <v>-127</v>
      </c>
      <c r="U149" s="221">
        <f>-RegAmort!F42</f>
        <v>-127</v>
      </c>
      <c r="V149" s="221">
        <f>-RegAmort!G42</f>
        <v>-127</v>
      </c>
      <c r="W149" s="221">
        <f>-RegAmort!H42</f>
        <v>-127</v>
      </c>
      <c r="X149" s="221">
        <f>-RegAmort!I42</f>
        <v>-127</v>
      </c>
      <c r="Y149" s="221">
        <f>-RegAmort!J42</f>
        <v>-127</v>
      </c>
      <c r="Z149" s="221">
        <f>-RegAmort!K42</f>
        <v>-127</v>
      </c>
      <c r="AA149" s="221">
        <f>-RegAmort!L42</f>
        <v>-127</v>
      </c>
      <c r="AB149" s="221">
        <f>-RegAmort!M42</f>
        <v>-128</v>
      </c>
      <c r="AC149" s="221">
        <f>-RegAmort!N42</f>
        <v>-128</v>
      </c>
      <c r="AD149" s="221">
        <f t="shared" si="104"/>
        <v>-1526</v>
      </c>
      <c r="AI149" s="210"/>
      <c r="AJ149" s="210"/>
      <c r="AK149" s="210"/>
      <c r="AL149" s="210"/>
      <c r="AM149" s="210"/>
      <c r="AN149" s="210"/>
      <c r="AO149" s="210"/>
      <c r="AP149" s="210"/>
      <c r="AQ149" s="210"/>
      <c r="AR149" s="210"/>
      <c r="AS149" s="210"/>
      <c r="AT149" s="210"/>
      <c r="AU149" s="210"/>
      <c r="AV149" s="210"/>
      <c r="AW149" s="210"/>
      <c r="AX149" s="210"/>
      <c r="AY149" s="210"/>
      <c r="AZ149" s="210"/>
      <c r="BA149" s="210"/>
      <c r="BB149" s="210"/>
      <c r="BC149" s="210"/>
      <c r="BD149" s="210"/>
      <c r="BE149" s="210"/>
      <c r="BF149" s="210"/>
      <c r="BG149" s="210"/>
      <c r="BH149" s="210"/>
      <c r="BI149" s="210"/>
      <c r="BJ149" s="210"/>
    </row>
    <row r="150" spans="1:62" ht="12" customHeight="1" x14ac:dyDescent="0.2">
      <c r="A150" s="210"/>
      <c r="B150" s="210"/>
      <c r="C150" s="210"/>
      <c r="D150" s="210"/>
      <c r="E150" s="210"/>
      <c r="F150" s="210"/>
      <c r="G150" s="210"/>
      <c r="H150" s="210"/>
      <c r="I150" s="210"/>
      <c r="J150" s="210"/>
      <c r="K150" s="210"/>
      <c r="L150" s="210"/>
      <c r="M150"/>
      <c r="N150" s="263" t="s">
        <v>264</v>
      </c>
      <c r="O150" s="206"/>
      <c r="P150" s="206"/>
      <c r="R150" s="221">
        <f>-RegAmort!C43</f>
        <v>-28</v>
      </c>
      <c r="S150" s="221">
        <f>-RegAmort!D43</f>
        <v>-28</v>
      </c>
      <c r="T150" s="221">
        <f>-RegAmort!E43</f>
        <v>-28</v>
      </c>
      <c r="U150" s="221">
        <f>-RegAmort!F43</f>
        <v>-28</v>
      </c>
      <c r="V150" s="221">
        <f>-RegAmort!G43</f>
        <v>-28</v>
      </c>
      <c r="W150" s="221">
        <f>-RegAmort!H43</f>
        <v>-28</v>
      </c>
      <c r="X150" s="221">
        <f>-RegAmort!I43</f>
        <v>-28</v>
      </c>
      <c r="Y150" s="221">
        <f>-RegAmort!J43</f>
        <v>-28</v>
      </c>
      <c r="Z150" s="221">
        <f>-RegAmort!K43</f>
        <v>-28</v>
      </c>
      <c r="AA150" s="221">
        <f>-RegAmort!L43</f>
        <v>-28</v>
      </c>
      <c r="AB150" s="221">
        <f>-RegAmort!M43</f>
        <v>-28</v>
      </c>
      <c r="AC150" s="221">
        <f>-RegAmort!N43</f>
        <v>-29</v>
      </c>
      <c r="AD150" s="221">
        <f t="shared" si="104"/>
        <v>-337</v>
      </c>
      <c r="AI150" s="210"/>
      <c r="AJ150" s="210"/>
      <c r="AK150" s="210"/>
      <c r="AL150" s="210"/>
      <c r="AM150" s="210"/>
      <c r="AN150" s="210"/>
      <c r="AO150" s="210"/>
      <c r="AP150" s="210"/>
      <c r="AQ150" s="210"/>
      <c r="AR150" s="210"/>
      <c r="AS150" s="210"/>
      <c r="AT150" s="210"/>
      <c r="AU150" s="210"/>
      <c r="AV150" s="210"/>
      <c r="AW150" s="210"/>
      <c r="AX150" s="210"/>
      <c r="AY150" s="210"/>
      <c r="AZ150" s="210"/>
      <c r="BA150" s="210"/>
      <c r="BB150" s="210"/>
      <c r="BC150" s="210"/>
      <c r="BD150" s="210"/>
      <c r="BE150" s="210"/>
      <c r="BF150" s="210"/>
      <c r="BG150" s="210"/>
      <c r="BH150" s="210"/>
      <c r="BI150" s="210"/>
      <c r="BJ150" s="210"/>
    </row>
    <row r="151" spans="1:62" ht="12" customHeight="1" x14ac:dyDescent="0.2">
      <c r="A151" s="210"/>
      <c r="B151" s="210"/>
      <c r="C151" s="210"/>
      <c r="D151" s="210"/>
      <c r="E151" s="210"/>
      <c r="F151" s="210"/>
      <c r="G151" s="210"/>
      <c r="H151" s="210"/>
      <c r="I151" s="210"/>
      <c r="J151" s="210"/>
      <c r="K151" s="210"/>
      <c r="L151" s="210"/>
      <c r="M151"/>
      <c r="N151" s="263" t="s">
        <v>1068</v>
      </c>
      <c r="O151" s="206"/>
      <c r="P151" s="206"/>
      <c r="R151" s="221">
        <f>-RegAmort!C44</f>
        <v>-219</v>
      </c>
      <c r="S151" s="221">
        <f>-RegAmort!D44</f>
        <v>-219</v>
      </c>
      <c r="T151" s="221">
        <f>-RegAmort!E44</f>
        <v>-219</v>
      </c>
      <c r="U151" s="221">
        <f>-RegAmort!F44</f>
        <v>-219</v>
      </c>
      <c r="V151" s="221">
        <f>-RegAmort!G44</f>
        <v>-219</v>
      </c>
      <c r="W151" s="221">
        <f>-RegAmort!H44</f>
        <v>-219</v>
      </c>
      <c r="X151" s="221">
        <f>-RegAmort!I44</f>
        <v>-219</v>
      </c>
      <c r="Y151" s="221">
        <f>-RegAmort!J44</f>
        <v>-219</v>
      </c>
      <c r="Z151" s="221">
        <f>-RegAmort!K44</f>
        <v>-219</v>
      </c>
      <c r="AA151" s="221">
        <f>-RegAmort!L44</f>
        <v>-219</v>
      </c>
      <c r="AB151" s="221">
        <f>-RegAmort!M44</f>
        <v>-219</v>
      </c>
      <c r="AC151" s="221">
        <f>-RegAmort!N44</f>
        <v>-219</v>
      </c>
      <c r="AD151" s="221">
        <f t="shared" si="104"/>
        <v>-2628</v>
      </c>
      <c r="AI151" s="210"/>
      <c r="AJ151" s="210"/>
      <c r="AK151" s="210"/>
      <c r="AL151" s="210"/>
      <c r="AM151" s="210"/>
      <c r="AN151" s="210"/>
      <c r="AO151" s="210"/>
      <c r="AP151" s="210"/>
      <c r="AQ151" s="210"/>
      <c r="AR151" s="210"/>
      <c r="AS151" s="210"/>
      <c r="AT151" s="210"/>
      <c r="AU151" s="210"/>
      <c r="AV151" s="210"/>
      <c r="AW151" s="210"/>
      <c r="AX151" s="210"/>
      <c r="AY151" s="210"/>
      <c r="AZ151" s="210"/>
      <c r="BA151" s="210"/>
      <c r="BB151" s="210"/>
      <c r="BC151" s="210"/>
      <c r="BD151" s="210"/>
      <c r="BE151" s="210"/>
      <c r="BF151" s="210"/>
      <c r="BG151" s="210"/>
      <c r="BH151" s="210"/>
      <c r="BI151" s="210"/>
      <c r="BJ151" s="210"/>
    </row>
    <row r="152" spans="1:62" ht="12" customHeight="1" x14ac:dyDescent="0.2">
      <c r="A152" s="210"/>
      <c r="B152" s="210"/>
      <c r="C152" s="210"/>
      <c r="D152" s="210"/>
      <c r="E152" s="210"/>
      <c r="F152" s="210"/>
      <c r="G152" s="210"/>
      <c r="H152" s="210"/>
      <c r="I152" s="210"/>
      <c r="J152" s="210"/>
      <c r="K152" s="210"/>
      <c r="L152" s="210"/>
      <c r="M152"/>
      <c r="N152" s="263" t="s">
        <v>1069</v>
      </c>
      <c r="O152" s="206"/>
      <c r="P152" s="206"/>
      <c r="R152" s="221">
        <f>-RegAmort!C45</f>
        <v>0</v>
      </c>
      <c r="S152" s="221">
        <f>-RegAmort!D45</f>
        <v>0</v>
      </c>
      <c r="T152" s="221">
        <f>-RegAmort!E45</f>
        <v>0</v>
      </c>
      <c r="U152" s="221">
        <f>-RegAmort!F45</f>
        <v>0</v>
      </c>
      <c r="V152" s="221">
        <f>-RegAmort!G45</f>
        <v>0</v>
      </c>
      <c r="W152" s="221">
        <f>-RegAmort!H45</f>
        <v>0</v>
      </c>
      <c r="X152" s="221">
        <f>-RegAmort!I45</f>
        <v>0</v>
      </c>
      <c r="Y152" s="221">
        <f>-RegAmort!J45</f>
        <v>0</v>
      </c>
      <c r="Z152" s="221">
        <f>-RegAmort!K45</f>
        <v>0</v>
      </c>
      <c r="AA152" s="221">
        <f>-RegAmort!L45</f>
        <v>0</v>
      </c>
      <c r="AB152" s="221">
        <f>-RegAmort!M45</f>
        <v>0</v>
      </c>
      <c r="AC152" s="221">
        <f>-RegAmort!N45</f>
        <v>0</v>
      </c>
      <c r="AD152" s="221">
        <f t="shared" si="104"/>
        <v>0</v>
      </c>
      <c r="AI152" s="210"/>
      <c r="AJ152" s="210"/>
      <c r="AK152" s="210"/>
      <c r="AL152" s="210"/>
      <c r="AM152" s="210"/>
      <c r="AN152" s="210"/>
      <c r="AO152" s="210"/>
      <c r="AP152" s="210"/>
      <c r="AQ152" s="210"/>
      <c r="AR152" s="210"/>
      <c r="AS152" s="210"/>
      <c r="AT152" s="210"/>
      <c r="AU152" s="210"/>
      <c r="AV152" s="210"/>
      <c r="AW152" s="210"/>
      <c r="AX152" s="210"/>
      <c r="AY152" s="210"/>
      <c r="AZ152" s="210"/>
      <c r="BA152" s="210"/>
      <c r="BB152" s="210"/>
      <c r="BC152" s="210"/>
      <c r="BD152" s="210"/>
      <c r="BE152" s="210"/>
      <c r="BF152" s="210"/>
      <c r="BG152" s="210"/>
      <c r="BH152" s="210"/>
      <c r="BI152" s="210"/>
      <c r="BJ152" s="210"/>
    </row>
    <row r="153" spans="1:62" ht="12" customHeight="1" x14ac:dyDescent="0.2">
      <c r="A153" s="210"/>
      <c r="B153" s="210"/>
      <c r="C153" s="210"/>
      <c r="D153" s="210"/>
      <c r="E153" s="210"/>
      <c r="F153" s="210"/>
      <c r="G153" s="210"/>
      <c r="H153" s="210"/>
      <c r="I153" s="210"/>
      <c r="J153" s="210"/>
      <c r="K153" s="210"/>
      <c r="L153" s="210"/>
      <c r="M153"/>
      <c r="N153" s="454" t="s">
        <v>1070</v>
      </c>
      <c r="Q153" s="208"/>
      <c r="R153" s="490">
        <f>-RegAmort!C52</f>
        <v>-349</v>
      </c>
      <c r="S153" s="490">
        <f>-RegAmort!D52</f>
        <v>-350</v>
      </c>
      <c r="T153" s="490">
        <f>-RegAmort!E52</f>
        <v>-349</v>
      </c>
      <c r="U153" s="490">
        <f>-RegAmort!F52</f>
        <v>-350</v>
      </c>
      <c r="V153" s="490">
        <f>-RegAmort!G52</f>
        <v>-349</v>
      </c>
      <c r="W153" s="490">
        <f>-RegAmort!H52</f>
        <v>-350</v>
      </c>
      <c r="X153" s="490">
        <f>-RegAmort!I52</f>
        <v>-349</v>
      </c>
      <c r="Y153" s="490">
        <f>-RegAmort!J52</f>
        <v>-350</v>
      </c>
      <c r="Z153" s="490">
        <f>-RegAmort!K52</f>
        <v>-349</v>
      </c>
      <c r="AA153" s="490">
        <f>-RegAmort!L52</f>
        <v>-350</v>
      </c>
      <c r="AB153" s="490">
        <f>-RegAmort!M52</f>
        <v>-351</v>
      </c>
      <c r="AC153" s="490">
        <f>-RegAmort!N52</f>
        <v>-351</v>
      </c>
      <c r="AD153" s="221">
        <f t="shared" si="104"/>
        <v>-4197</v>
      </c>
      <c r="AI153" s="210"/>
      <c r="AJ153" s="210"/>
      <c r="AK153" s="210"/>
      <c r="AL153" s="210"/>
      <c r="AM153" s="210"/>
      <c r="AN153" s="210"/>
      <c r="AO153" s="210"/>
      <c r="AP153" s="210"/>
      <c r="AQ153" s="210"/>
      <c r="AR153" s="210"/>
      <c r="AS153" s="210"/>
      <c r="AT153" s="210"/>
      <c r="AU153" s="210"/>
      <c r="AV153" s="210"/>
      <c r="AW153" s="210"/>
      <c r="AX153" s="210"/>
      <c r="AY153" s="210"/>
      <c r="AZ153" s="210"/>
      <c r="BA153" s="210"/>
      <c r="BB153" s="210"/>
      <c r="BC153" s="210"/>
      <c r="BD153" s="210"/>
      <c r="BE153" s="210"/>
      <c r="BF153" s="210"/>
      <c r="BG153" s="210"/>
      <c r="BH153" s="210"/>
      <c r="BI153" s="210"/>
      <c r="BJ153" s="210"/>
    </row>
    <row r="154" spans="1:62" ht="12" customHeight="1" x14ac:dyDescent="0.2">
      <c r="A154" s="210"/>
      <c r="B154" s="210"/>
      <c r="C154" s="210"/>
      <c r="D154" s="210"/>
      <c r="E154" s="210"/>
      <c r="F154" s="210"/>
      <c r="G154" s="210"/>
      <c r="H154" s="210"/>
      <c r="I154" s="210"/>
      <c r="J154" s="210"/>
      <c r="K154" s="210"/>
      <c r="L154" s="210"/>
      <c r="M154"/>
      <c r="N154" s="454" t="s">
        <v>1071</v>
      </c>
      <c r="R154" s="221">
        <f>-'Fuel-Depr-OtherTax'!C23</f>
        <v>-27</v>
      </c>
      <c r="S154" s="490">
        <f>-'Fuel-Depr-OtherTax'!D23</f>
        <v>-27</v>
      </c>
      <c r="T154" s="490">
        <f>-'Fuel-Depr-OtherTax'!E23</f>
        <v>-27</v>
      </c>
      <c r="U154" s="490">
        <f>-'Fuel-Depr-OtherTax'!F23</f>
        <v>-27</v>
      </c>
      <c r="V154" s="490">
        <f>-'Fuel-Depr-OtherTax'!G23</f>
        <v>-27</v>
      </c>
      <c r="W154" s="490">
        <f>-'Fuel-Depr-OtherTax'!H23</f>
        <v>-27</v>
      </c>
      <c r="X154" s="490">
        <f>-'Fuel-Depr-OtherTax'!I23</f>
        <v>-27</v>
      </c>
      <c r="Y154" s="490">
        <f>-'Fuel-Depr-OtherTax'!J23</f>
        <v>-27</v>
      </c>
      <c r="Z154" s="490">
        <f>-'Fuel-Depr-OtherTax'!K23</f>
        <v>-27</v>
      </c>
      <c r="AA154" s="490">
        <f>-'Fuel-Depr-OtherTax'!L23</f>
        <v>-27</v>
      </c>
      <c r="AB154" s="490">
        <f>-'Fuel-Depr-OtherTax'!M23</f>
        <v>-27</v>
      </c>
      <c r="AC154" s="490">
        <f>-'Fuel-Depr-OtherTax'!N23</f>
        <v>-27</v>
      </c>
      <c r="AD154" s="221">
        <f t="shared" si="104"/>
        <v>-324</v>
      </c>
      <c r="AE154" s="221"/>
      <c r="AF154" s="221"/>
      <c r="AG154" s="221"/>
      <c r="AH154" s="221"/>
      <c r="AI154" s="242"/>
      <c r="AJ154" s="242"/>
      <c r="AK154" s="242"/>
      <c r="AL154" s="242"/>
      <c r="AM154" s="242"/>
      <c r="AN154" s="242"/>
      <c r="AO154" s="242"/>
      <c r="AP154" s="242"/>
      <c r="AQ154" s="242"/>
      <c r="AR154" s="242"/>
      <c r="AS154" s="242"/>
      <c r="AT154" s="242"/>
      <c r="AU154" s="242"/>
      <c r="AV154" s="242"/>
      <c r="AW154" s="242"/>
      <c r="AX154" s="242"/>
      <c r="AY154" s="242"/>
      <c r="AZ154" s="242"/>
      <c r="BA154" s="242"/>
      <c r="BB154" s="242"/>
      <c r="BC154" s="210"/>
      <c r="BD154" s="210"/>
      <c r="BE154" s="210"/>
      <c r="BF154" s="210"/>
      <c r="BG154" s="210"/>
      <c r="BH154" s="210"/>
      <c r="BI154" s="210"/>
      <c r="BJ154" s="210"/>
    </row>
    <row r="155" spans="1:62" ht="12" customHeight="1" x14ac:dyDescent="0.2">
      <c r="A155" s="210"/>
      <c r="B155" s="210"/>
      <c r="C155" s="210"/>
      <c r="D155" s="210"/>
      <c r="E155" s="210"/>
      <c r="F155" s="210"/>
      <c r="G155" s="210"/>
      <c r="H155" s="210"/>
      <c r="I155" s="210"/>
      <c r="J155" s="210"/>
      <c r="K155" s="210"/>
      <c r="L155" s="210"/>
      <c r="M155"/>
      <c r="N155" s="454" t="s">
        <v>1072</v>
      </c>
      <c r="R155" s="221">
        <f>-RegAmort!C53</f>
        <v>-2</v>
      </c>
      <c r="S155" s="221">
        <f>-RegAmort!D53</f>
        <v>-3</v>
      </c>
      <c r="T155" s="221">
        <f>-RegAmort!E53</f>
        <v>-2</v>
      </c>
      <c r="U155" s="221">
        <f>-RegAmort!F53</f>
        <v>-3</v>
      </c>
      <c r="V155" s="221">
        <f>-RegAmort!G53</f>
        <v>-2</v>
      </c>
      <c r="W155" s="221">
        <f>-RegAmort!H53</f>
        <v>-3</v>
      </c>
      <c r="X155" s="221">
        <f>-RegAmort!I53</f>
        <v>-2</v>
      </c>
      <c r="Y155" s="221">
        <f>-RegAmort!J53</f>
        <v>-3</v>
      </c>
      <c r="Z155" s="221">
        <f>-RegAmort!K53</f>
        <v>-3</v>
      </c>
      <c r="AA155" s="221">
        <f>-RegAmort!L53</f>
        <v>-3</v>
      </c>
      <c r="AB155" s="221">
        <f>-RegAmort!M53</f>
        <v>-2</v>
      </c>
      <c r="AC155" s="221">
        <f>-RegAmort!N53</f>
        <v>-3</v>
      </c>
      <c r="AD155" s="221">
        <f t="shared" si="104"/>
        <v>-31</v>
      </c>
      <c r="AI155" s="210"/>
      <c r="AJ155" s="210"/>
      <c r="AK155" s="210"/>
      <c r="AL155" s="210"/>
      <c r="AM155" s="210"/>
      <c r="AN155" s="210"/>
      <c r="AO155" s="210"/>
      <c r="AP155" s="210"/>
      <c r="AQ155" s="210"/>
      <c r="AR155" s="210"/>
      <c r="AS155" s="210"/>
      <c r="AT155" s="210"/>
      <c r="AU155" s="210"/>
      <c r="AV155" s="210"/>
      <c r="AW155" s="210"/>
      <c r="AX155" s="210"/>
      <c r="AY155" s="210"/>
      <c r="AZ155" s="210"/>
      <c r="BA155" s="210"/>
      <c r="BB155" s="210"/>
      <c r="BC155" s="210"/>
      <c r="BD155" s="210"/>
      <c r="BE155" s="210"/>
      <c r="BF155" s="210"/>
      <c r="BG155" s="210"/>
      <c r="BH155" s="210"/>
      <c r="BI155" s="210"/>
      <c r="BJ155" s="210"/>
    </row>
    <row r="156" spans="1:62" ht="6" customHeight="1" x14ac:dyDescent="0.2">
      <c r="A156" s="210"/>
      <c r="B156" s="210"/>
      <c r="C156" s="210"/>
      <c r="D156" s="210"/>
      <c r="E156" s="210"/>
      <c r="F156" s="210"/>
      <c r="G156" s="210"/>
      <c r="H156" s="210"/>
      <c r="I156" s="210"/>
      <c r="J156" s="210"/>
      <c r="K156" s="210"/>
      <c r="L156" s="210"/>
      <c r="M156" s="433"/>
      <c r="N156" s="433"/>
      <c r="AI156" s="210"/>
      <c r="AJ156" s="210"/>
      <c r="AK156" s="210"/>
      <c r="AL156" s="210"/>
      <c r="AM156" s="210"/>
      <c r="AN156" s="210"/>
      <c r="AO156" s="210"/>
      <c r="AP156" s="210"/>
      <c r="AQ156" s="210"/>
      <c r="AR156" s="210"/>
      <c r="AS156" s="210"/>
      <c r="AT156" s="210"/>
      <c r="AU156" s="210"/>
      <c r="AV156" s="210"/>
      <c r="AW156" s="210"/>
      <c r="AX156" s="210"/>
      <c r="AY156" s="210"/>
      <c r="AZ156" s="210"/>
      <c r="BA156" s="210"/>
      <c r="BB156" s="210"/>
      <c r="BC156" s="210"/>
      <c r="BD156" s="210"/>
      <c r="BE156" s="210"/>
      <c r="BF156" s="210"/>
      <c r="BG156" s="210"/>
      <c r="BH156" s="210"/>
      <c r="BI156" s="210"/>
      <c r="BJ156" s="210"/>
    </row>
    <row r="157" spans="1:62" ht="12" customHeight="1" x14ac:dyDescent="0.2">
      <c r="A157" s="210"/>
      <c r="B157" s="210"/>
      <c r="C157" s="210"/>
      <c r="D157" s="210"/>
      <c r="E157" s="210"/>
      <c r="F157" s="210"/>
      <c r="G157" s="210"/>
      <c r="H157" s="210"/>
      <c r="I157" s="210"/>
      <c r="J157" s="210"/>
      <c r="K157" s="210"/>
      <c r="L157" s="210"/>
      <c r="M157" s="456" t="s">
        <v>1073</v>
      </c>
      <c r="N157" s="433"/>
      <c r="AI157" s="210"/>
      <c r="AJ157" s="210"/>
      <c r="AK157" s="210"/>
      <c r="AL157" s="210"/>
      <c r="AM157" s="210"/>
      <c r="AN157" s="210"/>
      <c r="AO157" s="210"/>
      <c r="AP157" s="210"/>
      <c r="AQ157" s="210"/>
      <c r="AR157" s="210"/>
      <c r="AS157" s="210"/>
      <c r="AT157" s="210"/>
      <c r="AU157" s="210"/>
      <c r="AV157" s="210"/>
      <c r="AW157" s="210"/>
      <c r="AX157" s="210"/>
      <c r="AY157" s="210"/>
      <c r="AZ157" s="210"/>
      <c r="BA157" s="210"/>
      <c r="BB157" s="210"/>
      <c r="BC157" s="210"/>
      <c r="BD157" s="210"/>
      <c r="BE157" s="210"/>
      <c r="BF157" s="210"/>
      <c r="BG157" s="210"/>
      <c r="BH157" s="210"/>
      <c r="BI157" s="210"/>
      <c r="BJ157" s="210"/>
    </row>
    <row r="158" spans="1:62" ht="12" customHeight="1" x14ac:dyDescent="0.2">
      <c r="A158" s="210"/>
      <c r="B158" s="210"/>
      <c r="C158" s="210"/>
      <c r="D158" s="210"/>
      <c r="E158" s="210"/>
      <c r="F158" s="210"/>
      <c r="G158" s="210"/>
      <c r="H158" s="210"/>
      <c r="I158" s="210"/>
      <c r="J158" s="210"/>
      <c r="K158" s="210"/>
      <c r="L158" s="210"/>
      <c r="M158"/>
      <c r="N158" s="454" t="s">
        <v>1074</v>
      </c>
      <c r="R158" s="221">
        <f>(-IntDeduct!C42)</f>
        <v>-39</v>
      </c>
      <c r="S158" s="221">
        <f>(-IntDeduct!D42)</f>
        <v>-38</v>
      </c>
      <c r="T158" s="221">
        <f>(-IntDeduct!E42)</f>
        <v>-39</v>
      </c>
      <c r="U158" s="221">
        <f>(-IntDeduct!F42)</f>
        <v>-38</v>
      </c>
      <c r="V158" s="221">
        <f>(-IntDeduct!G42)</f>
        <v>-39</v>
      </c>
      <c r="W158" s="221">
        <f>(-IntDeduct!H42)</f>
        <v>-38</v>
      </c>
      <c r="X158" s="221">
        <f>(-IntDeduct!I42)</f>
        <v>-39</v>
      </c>
      <c r="Y158" s="221">
        <f>(-IntDeduct!J42)</f>
        <v>-38</v>
      </c>
      <c r="Z158" s="221">
        <f>(-IntDeduct!K42)</f>
        <v>-39</v>
      </c>
      <c r="AA158" s="221">
        <f>(-IntDeduct!L42)</f>
        <v>-33</v>
      </c>
      <c r="AB158" s="221">
        <f>(-IntDeduct!M42)</f>
        <v>-28</v>
      </c>
      <c r="AC158" s="221">
        <f>(-IntDeduct!N42)</f>
        <v>-28</v>
      </c>
      <c r="AD158" s="221">
        <f>SUM(R158:AC158)</f>
        <v>-436</v>
      </c>
      <c r="AI158" s="210"/>
      <c r="AJ158" s="210"/>
      <c r="AK158" s="210"/>
      <c r="AL158" s="210"/>
      <c r="AM158" s="210"/>
      <c r="AN158" s="210"/>
      <c r="AO158" s="210"/>
      <c r="AP158" s="210"/>
      <c r="AQ158" s="210"/>
      <c r="AR158" s="210"/>
      <c r="AS158" s="210"/>
      <c r="AT158" s="210"/>
      <c r="AU158" s="210"/>
      <c r="AV158" s="210"/>
      <c r="AW158" s="210"/>
      <c r="AX158" s="210"/>
      <c r="AY158" s="210"/>
      <c r="AZ158" s="210"/>
      <c r="BA158" s="210"/>
      <c r="BB158" s="210"/>
      <c r="BC158" s="210"/>
      <c r="BD158" s="210"/>
      <c r="BE158" s="210"/>
      <c r="BF158" s="210"/>
      <c r="BG158" s="210"/>
      <c r="BH158" s="210"/>
      <c r="BI158" s="210"/>
      <c r="BJ158" s="210"/>
    </row>
    <row r="159" spans="1:62" ht="12" customHeight="1" x14ac:dyDescent="0.2">
      <c r="A159" s="210"/>
      <c r="B159" s="210"/>
      <c r="C159" s="210"/>
      <c r="D159" s="210"/>
      <c r="E159" s="210"/>
      <c r="F159" s="210"/>
      <c r="G159" s="210"/>
      <c r="H159" s="210"/>
      <c r="I159" s="210"/>
      <c r="J159" s="210"/>
      <c r="K159" s="210"/>
      <c r="L159" s="210"/>
      <c r="M159"/>
      <c r="N159" s="454" t="s">
        <v>1075</v>
      </c>
      <c r="R159" s="221">
        <f>(-IntDeduct!C43)</f>
        <v>1</v>
      </c>
      <c r="S159" s="221">
        <f>(-IntDeduct!D43)</f>
        <v>0</v>
      </c>
      <c r="T159" s="221">
        <f>(-IntDeduct!E43)</f>
        <v>1</v>
      </c>
      <c r="U159" s="221">
        <f>(-IntDeduct!F43)</f>
        <v>0</v>
      </c>
      <c r="V159" s="221">
        <f>(-IntDeduct!G43)</f>
        <v>1</v>
      </c>
      <c r="W159" s="221">
        <f>(-IntDeduct!H43)</f>
        <v>1</v>
      </c>
      <c r="X159" s="221">
        <f>(-IntDeduct!I43)</f>
        <v>0</v>
      </c>
      <c r="Y159" s="221">
        <f>(-IntDeduct!J43)</f>
        <v>1</v>
      </c>
      <c r="Z159" s="221">
        <f>(-IntDeduct!K43)</f>
        <v>0</v>
      </c>
      <c r="AA159" s="221">
        <f>(-IntDeduct!L43)</f>
        <v>1</v>
      </c>
      <c r="AB159" s="221">
        <f>(-IntDeduct!M43)</f>
        <v>0</v>
      </c>
      <c r="AC159" s="221">
        <f>(-IntDeduct!N43)</f>
        <v>1</v>
      </c>
      <c r="AD159" s="221">
        <f>SUM(R159:AC159)</f>
        <v>7</v>
      </c>
      <c r="AI159" s="210"/>
      <c r="AJ159" s="210"/>
      <c r="AK159" s="210"/>
      <c r="AL159" s="210"/>
      <c r="AM159" s="210"/>
      <c r="AN159" s="210"/>
      <c r="AO159" s="210"/>
      <c r="AP159" s="210"/>
      <c r="AQ159" s="210"/>
      <c r="AR159" s="210"/>
      <c r="AS159" s="210"/>
      <c r="AT159" s="210"/>
      <c r="AU159" s="210"/>
      <c r="AV159" s="210"/>
      <c r="AW159" s="210"/>
      <c r="AX159" s="210"/>
      <c r="AY159" s="210"/>
      <c r="AZ159" s="210"/>
      <c r="BA159" s="210"/>
      <c r="BB159" s="210"/>
      <c r="BC159" s="210"/>
      <c r="BD159" s="210"/>
      <c r="BE159" s="210"/>
      <c r="BF159" s="210"/>
      <c r="BG159" s="210"/>
      <c r="BH159" s="210"/>
      <c r="BI159" s="210"/>
      <c r="BJ159" s="210"/>
    </row>
    <row r="160" spans="1:62" ht="12" customHeight="1" x14ac:dyDescent="0.2">
      <c r="A160" s="210"/>
      <c r="B160" s="210"/>
      <c r="C160" s="210"/>
      <c r="D160" s="210"/>
      <c r="E160" s="210"/>
      <c r="F160" s="210"/>
      <c r="G160" s="210"/>
      <c r="H160" s="210"/>
      <c r="I160" s="210"/>
      <c r="J160" s="210"/>
      <c r="K160" s="210"/>
      <c r="L160" s="210"/>
      <c r="M160" s="227"/>
      <c r="N160" s="442" t="s">
        <v>788</v>
      </c>
      <c r="O160" s="208"/>
      <c r="R160" s="275">
        <v>0</v>
      </c>
      <c r="S160" s="275">
        <v>0</v>
      </c>
      <c r="T160" s="275">
        <v>0</v>
      </c>
      <c r="U160" s="275">
        <v>0</v>
      </c>
      <c r="V160" s="275">
        <v>0</v>
      </c>
      <c r="W160" s="275">
        <v>0</v>
      </c>
      <c r="X160" s="275">
        <v>0</v>
      </c>
      <c r="Y160" s="275">
        <v>0</v>
      </c>
      <c r="Z160" s="275">
        <v>0</v>
      </c>
      <c r="AA160" s="275">
        <v>0</v>
      </c>
      <c r="AB160" s="275">
        <v>0</v>
      </c>
      <c r="AC160" s="275">
        <v>0</v>
      </c>
      <c r="AD160" s="229">
        <f>SUM(R160:AC160)</f>
        <v>0</v>
      </c>
      <c r="AI160" s="210"/>
      <c r="AJ160" s="210"/>
      <c r="AK160" s="210"/>
      <c r="AL160" s="210"/>
      <c r="AM160" s="210"/>
      <c r="AN160" s="210"/>
      <c r="AO160" s="210"/>
      <c r="AP160" s="210"/>
      <c r="AQ160" s="210"/>
      <c r="AR160" s="210"/>
      <c r="AS160" s="210"/>
      <c r="AT160" s="210"/>
      <c r="AU160" s="210"/>
      <c r="AV160" s="210"/>
      <c r="AW160" s="210"/>
      <c r="AX160" s="210"/>
      <c r="AY160" s="210"/>
      <c r="AZ160" s="210"/>
      <c r="BA160" s="210"/>
      <c r="BB160" s="210"/>
      <c r="BC160" s="210"/>
      <c r="BD160" s="210"/>
      <c r="BE160" s="210"/>
      <c r="BF160" s="210"/>
      <c r="BG160" s="210"/>
      <c r="BH160" s="210"/>
      <c r="BI160" s="210"/>
      <c r="BJ160" s="210"/>
    </row>
    <row r="161" spans="1:62" ht="12" customHeight="1" x14ac:dyDescent="0.2">
      <c r="A161" s="210"/>
      <c r="B161" s="210"/>
      <c r="C161" s="210"/>
      <c r="D161" s="210"/>
      <c r="E161" s="210"/>
      <c r="F161" s="210"/>
      <c r="G161" s="210"/>
      <c r="H161" s="210"/>
      <c r="I161" s="210"/>
      <c r="J161" s="210"/>
      <c r="K161" s="210"/>
      <c r="L161" s="210"/>
      <c r="M161" s="433"/>
      <c r="N161" s="454" t="s">
        <v>1076</v>
      </c>
      <c r="O161" s="243"/>
      <c r="R161" s="229">
        <f t="shared" ref="R161:AD161" si="105">SUM(R158:R160)</f>
        <v>-38</v>
      </c>
      <c r="S161" s="229">
        <f t="shared" si="105"/>
        <v>-38</v>
      </c>
      <c r="T161" s="229">
        <f t="shared" si="105"/>
        <v>-38</v>
      </c>
      <c r="U161" s="229">
        <f t="shared" si="105"/>
        <v>-38</v>
      </c>
      <c r="V161" s="229">
        <f t="shared" si="105"/>
        <v>-38</v>
      </c>
      <c r="W161" s="229">
        <f t="shared" si="105"/>
        <v>-37</v>
      </c>
      <c r="X161" s="229">
        <f t="shared" si="105"/>
        <v>-39</v>
      </c>
      <c r="Y161" s="229">
        <f t="shared" si="105"/>
        <v>-37</v>
      </c>
      <c r="Z161" s="229">
        <f t="shared" si="105"/>
        <v>-39</v>
      </c>
      <c r="AA161" s="229">
        <f t="shared" si="105"/>
        <v>-32</v>
      </c>
      <c r="AB161" s="229">
        <f t="shared" si="105"/>
        <v>-28</v>
      </c>
      <c r="AC161" s="229">
        <f t="shared" si="105"/>
        <v>-27</v>
      </c>
      <c r="AD161" s="229">
        <f t="shared" si="105"/>
        <v>-429</v>
      </c>
      <c r="AI161" s="210"/>
      <c r="AJ161" s="210"/>
      <c r="AK161" s="210"/>
      <c r="AL161" s="210"/>
      <c r="AM161" s="210"/>
      <c r="AN161" s="210"/>
      <c r="AO161" s="210"/>
      <c r="AP161" s="210"/>
      <c r="AQ161" s="210"/>
      <c r="AR161" s="210"/>
      <c r="AS161" s="210"/>
      <c r="AT161" s="210"/>
      <c r="AU161" s="210"/>
      <c r="AV161" s="210"/>
      <c r="AW161" s="210"/>
      <c r="AX161" s="210"/>
      <c r="AY161" s="210"/>
      <c r="AZ161" s="210"/>
      <c r="BA161" s="210"/>
      <c r="BB161" s="210"/>
      <c r="BC161" s="210"/>
      <c r="BD161" s="210"/>
      <c r="BE161" s="210"/>
      <c r="BF161" s="210"/>
      <c r="BG161" s="210"/>
      <c r="BH161" s="210"/>
      <c r="BI161" s="210"/>
      <c r="BJ161" s="210"/>
    </row>
    <row r="162" spans="1:62" ht="6" customHeight="1" x14ac:dyDescent="0.2">
      <c r="A162" s="210"/>
      <c r="B162" s="210"/>
      <c r="C162" s="210"/>
      <c r="D162" s="210"/>
      <c r="E162" s="210"/>
      <c r="F162" s="210"/>
      <c r="G162" s="210"/>
      <c r="H162" s="210"/>
      <c r="I162" s="210"/>
      <c r="J162" s="210"/>
      <c r="K162" s="210"/>
      <c r="L162" s="210"/>
      <c r="M162" s="433"/>
      <c r="N162" s="433"/>
      <c r="R162" s="221"/>
      <c r="S162" s="221"/>
      <c r="T162" s="221"/>
      <c r="U162" s="221"/>
      <c r="V162" s="221"/>
      <c r="W162" s="221"/>
      <c r="X162" s="221"/>
      <c r="Y162" s="221"/>
      <c r="Z162" s="221"/>
      <c r="AA162" s="221"/>
      <c r="AB162" s="221"/>
      <c r="AC162" s="221"/>
      <c r="AD162" s="221"/>
      <c r="AI162" s="210"/>
      <c r="AJ162" s="210"/>
      <c r="AK162" s="210"/>
      <c r="AL162" s="210"/>
      <c r="AM162" s="210"/>
      <c r="AN162" s="210"/>
      <c r="AO162" s="210"/>
      <c r="AP162" s="210"/>
      <c r="AQ162" s="210"/>
      <c r="AR162" s="210"/>
      <c r="AS162" s="210"/>
      <c r="AT162" s="210"/>
      <c r="AU162" s="210"/>
      <c r="AV162" s="210"/>
      <c r="AW162" s="210"/>
      <c r="AX162" s="210"/>
      <c r="AY162" s="210"/>
      <c r="AZ162" s="210"/>
      <c r="BA162" s="210"/>
      <c r="BB162" s="210"/>
      <c r="BC162" s="210"/>
      <c r="BD162" s="210"/>
      <c r="BE162" s="210"/>
      <c r="BF162" s="210"/>
      <c r="BG162" s="210"/>
      <c r="BH162" s="210"/>
      <c r="BI162" s="210"/>
      <c r="BJ162" s="210"/>
    </row>
    <row r="163" spans="1:62" ht="12" customHeight="1" x14ac:dyDescent="0.2">
      <c r="A163" s="210"/>
      <c r="B163" s="210"/>
      <c r="C163" s="210"/>
      <c r="D163" s="210"/>
      <c r="E163" s="210"/>
      <c r="F163" s="210"/>
      <c r="G163" s="210"/>
      <c r="H163" s="210"/>
      <c r="I163" s="210"/>
      <c r="J163" s="210"/>
      <c r="K163" s="210"/>
      <c r="L163" s="210"/>
      <c r="M163" s="433"/>
      <c r="N163" s="433"/>
      <c r="AI163" s="210"/>
      <c r="AJ163" s="210"/>
      <c r="AK163" s="210"/>
      <c r="AL163" s="210"/>
      <c r="AM163" s="210"/>
      <c r="AN163" s="210"/>
      <c r="AO163" s="210"/>
      <c r="AP163" s="210"/>
      <c r="AQ163" s="210"/>
      <c r="AR163" s="210"/>
      <c r="AS163" s="210"/>
      <c r="AT163" s="210"/>
      <c r="AU163" s="210"/>
      <c r="AV163" s="210"/>
      <c r="AW163" s="210"/>
      <c r="AX163" s="210"/>
      <c r="AY163" s="210"/>
      <c r="AZ163" s="210"/>
      <c r="BA163" s="210"/>
      <c r="BB163" s="210"/>
      <c r="BC163" s="210"/>
      <c r="BD163" s="210"/>
      <c r="BE163" s="210"/>
      <c r="BF163" s="210"/>
      <c r="BG163" s="210"/>
      <c r="BH163" s="210"/>
      <c r="BI163" s="210"/>
      <c r="BJ163" s="210"/>
    </row>
    <row r="164" spans="1:62" ht="12" customHeight="1" x14ac:dyDescent="0.2">
      <c r="A164" s="210"/>
      <c r="B164" s="210"/>
      <c r="C164" s="210"/>
      <c r="D164" s="210"/>
      <c r="E164" s="210"/>
      <c r="F164" s="210"/>
      <c r="G164" s="210"/>
      <c r="H164" s="210"/>
      <c r="I164" s="210"/>
      <c r="J164" s="210"/>
      <c r="K164" s="210"/>
      <c r="L164" s="210"/>
      <c r="M164" s="433"/>
      <c r="N164" s="451" t="s">
        <v>841</v>
      </c>
      <c r="O164" s="247"/>
      <c r="R164" s="221">
        <f>IncomeState!C50</f>
        <v>30575</v>
      </c>
      <c r="S164" s="221">
        <f>IncomeState!D50</f>
        <v>29385</v>
      </c>
      <c r="T164" s="221">
        <f>IncomeState!E50</f>
        <v>33794</v>
      </c>
      <c r="U164" s="221">
        <f>IncomeState!F50</f>
        <v>-1522</v>
      </c>
      <c r="V164" s="221">
        <f>IncomeState!G50</f>
        <v>-1542</v>
      </c>
      <c r="W164" s="221">
        <f>IncomeState!H50</f>
        <v>13053</v>
      </c>
      <c r="X164" s="221">
        <f>IncomeState!I50</f>
        <v>-569</v>
      </c>
      <c r="Y164" s="221">
        <f>IncomeState!J50</f>
        <v>383</v>
      </c>
      <c r="Z164" s="221">
        <f>IncomeState!K50</f>
        <v>269</v>
      </c>
      <c r="AA164" s="221">
        <f>IncomeState!L50</f>
        <v>-1010</v>
      </c>
      <c r="AB164" s="221">
        <f>IncomeState!M50</f>
        <v>28776</v>
      </c>
      <c r="AC164" s="221">
        <f>IncomeState!N50</f>
        <v>35335</v>
      </c>
      <c r="AD164" s="221">
        <f>SUM(R164:AC164)</f>
        <v>166927</v>
      </c>
      <c r="AE164" s="220">
        <f>SUM(S164:X164)</f>
        <v>72599</v>
      </c>
      <c r="AF164" s="221">
        <f>AD164-AE164</f>
        <v>94328</v>
      </c>
      <c r="AI164" s="210"/>
      <c r="AJ164" s="210"/>
      <c r="AK164" s="210"/>
      <c r="AL164" s="210"/>
      <c r="AM164" s="210"/>
      <c r="AN164" s="210"/>
      <c r="AO164" s="210"/>
      <c r="AP164" s="210"/>
      <c r="AQ164" s="210"/>
      <c r="AR164" s="210"/>
      <c r="AS164" s="210"/>
      <c r="AT164" s="210"/>
      <c r="AU164" s="210"/>
      <c r="AV164" s="210"/>
      <c r="AW164" s="210"/>
      <c r="AX164" s="210"/>
      <c r="AY164" s="210"/>
      <c r="AZ164" s="210"/>
      <c r="BA164" s="210"/>
      <c r="BB164" s="210"/>
      <c r="BC164" s="210"/>
      <c r="BD164" s="210"/>
      <c r="BE164" s="210"/>
      <c r="BF164" s="210"/>
      <c r="BG164" s="210"/>
      <c r="BH164" s="210"/>
      <c r="BI164" s="210"/>
      <c r="BJ164" s="210"/>
    </row>
    <row r="165" spans="1:62" ht="6" customHeight="1" x14ac:dyDescent="0.2">
      <c r="A165" s="210"/>
      <c r="B165" s="210"/>
      <c r="C165" s="210"/>
      <c r="D165" s="210"/>
      <c r="E165" s="210"/>
      <c r="F165" s="210"/>
      <c r="G165" s="210"/>
      <c r="H165" s="210"/>
      <c r="I165" s="210"/>
      <c r="J165" s="210"/>
      <c r="K165" s="210"/>
      <c r="L165" s="210"/>
      <c r="M165" s="433"/>
      <c r="N165" s="434"/>
      <c r="O165" s="204"/>
      <c r="AI165" s="210"/>
      <c r="AJ165" s="210"/>
      <c r="AK165" s="210"/>
      <c r="AL165" s="210"/>
      <c r="AM165" s="210"/>
      <c r="AN165" s="210"/>
      <c r="AO165" s="210"/>
      <c r="AP165" s="210"/>
      <c r="AQ165" s="210"/>
      <c r="AR165" s="210"/>
      <c r="AS165" s="210"/>
      <c r="AT165" s="210"/>
      <c r="AU165" s="210"/>
      <c r="AV165" s="210"/>
      <c r="AW165" s="210"/>
      <c r="AX165" s="210"/>
      <c r="AY165" s="210"/>
      <c r="AZ165" s="210"/>
      <c r="BA165" s="210"/>
      <c r="BB165" s="210"/>
      <c r="BC165" s="210"/>
      <c r="BD165" s="210"/>
      <c r="BE165" s="210"/>
      <c r="BF165" s="210"/>
      <c r="BG165" s="210"/>
      <c r="BH165" s="210"/>
      <c r="BI165" s="210"/>
      <c r="BJ165" s="210"/>
    </row>
    <row r="166" spans="1:62" ht="12" customHeight="1" x14ac:dyDescent="0.2">
      <c r="A166" s="210"/>
      <c r="B166" s="210"/>
      <c r="C166" s="210"/>
      <c r="D166" s="210"/>
      <c r="E166" s="210"/>
      <c r="F166" s="210"/>
      <c r="G166" s="210"/>
      <c r="H166" s="210"/>
      <c r="I166" s="210"/>
      <c r="J166" s="210"/>
      <c r="K166" s="210"/>
      <c r="L166" s="210"/>
      <c r="M166" s="433"/>
      <c r="N166" s="451" t="s">
        <v>1077</v>
      </c>
      <c r="O166" s="247"/>
      <c r="R166" s="220"/>
      <c r="S166" s="220"/>
      <c r="T166" s="220"/>
      <c r="U166" s="220"/>
      <c r="V166" s="220"/>
      <c r="W166" s="220"/>
      <c r="X166" s="220"/>
      <c r="Y166" s="220"/>
      <c r="Z166" s="220"/>
      <c r="AA166" s="220"/>
      <c r="AB166" s="220"/>
      <c r="AC166" s="220"/>
      <c r="AD166" s="220"/>
      <c r="AG166" s="223"/>
      <c r="AH166" s="223"/>
      <c r="AI166" s="210"/>
      <c r="AJ166" s="210"/>
      <c r="AK166" s="210"/>
      <c r="AL166" s="210"/>
      <c r="AM166" s="248"/>
      <c r="AN166" s="242"/>
      <c r="AO166" s="248"/>
      <c r="AP166" s="248"/>
      <c r="AQ166" s="242"/>
      <c r="AR166" s="242"/>
      <c r="AS166" s="210"/>
      <c r="AT166" s="210"/>
      <c r="AU166" s="210"/>
      <c r="AV166" s="210"/>
      <c r="AW166" s="210"/>
      <c r="AX166" s="210"/>
      <c r="AY166" s="210"/>
      <c r="AZ166" s="210"/>
      <c r="BA166" s="210"/>
      <c r="BB166" s="210"/>
      <c r="BC166" s="210"/>
      <c r="BD166" s="210"/>
      <c r="BE166" s="210"/>
      <c r="BF166" s="210"/>
      <c r="BG166" s="210"/>
      <c r="BH166" s="210"/>
      <c r="BI166" s="210"/>
      <c r="BJ166" s="210"/>
    </row>
    <row r="167" spans="1:62" ht="12" customHeight="1" x14ac:dyDescent="0.2">
      <c r="A167" s="210"/>
      <c r="B167" s="210"/>
      <c r="C167" s="210"/>
      <c r="D167" s="210"/>
      <c r="E167" s="210"/>
      <c r="F167" s="210"/>
      <c r="G167" s="210"/>
      <c r="H167" s="210"/>
      <c r="I167" s="210"/>
      <c r="J167" s="210"/>
      <c r="K167" s="210"/>
      <c r="L167" s="210"/>
      <c r="M167" s="433"/>
      <c r="N167" s="454" t="s">
        <v>1078</v>
      </c>
      <c r="O167" s="243"/>
      <c r="R167" s="221">
        <f t="shared" ref="R167:AD167" si="106">ROUND((+R170-R168),0)</f>
        <v>11427</v>
      </c>
      <c r="S167" s="221">
        <f t="shared" si="106"/>
        <v>10928</v>
      </c>
      <c r="T167" s="221">
        <f t="shared" si="106"/>
        <v>12650</v>
      </c>
      <c r="U167" s="221">
        <f t="shared" si="106"/>
        <v>-1088</v>
      </c>
      <c r="V167" s="221">
        <f t="shared" si="106"/>
        <v>-2005</v>
      </c>
      <c r="W167" s="221">
        <f t="shared" si="106"/>
        <v>4131</v>
      </c>
      <c r="X167" s="221">
        <f t="shared" si="106"/>
        <v>-318</v>
      </c>
      <c r="Y167" s="221">
        <f t="shared" si="106"/>
        <v>-43</v>
      </c>
      <c r="Z167" s="221">
        <f t="shared" si="106"/>
        <v>-1396</v>
      </c>
      <c r="AA167" s="221">
        <f t="shared" si="106"/>
        <v>-764</v>
      </c>
      <c r="AB167" s="221">
        <f t="shared" si="106"/>
        <v>11476</v>
      </c>
      <c r="AC167" s="221">
        <f t="shared" si="106"/>
        <v>13423</v>
      </c>
      <c r="AD167" s="221">
        <f t="shared" si="106"/>
        <v>58421</v>
      </c>
      <c r="AE167" s="221">
        <f>AE170-AE168</f>
        <v>22355</v>
      </c>
      <c r="AF167" s="221">
        <f>AD167-AE167</f>
        <v>36066</v>
      </c>
      <c r="AI167" s="210"/>
      <c r="AJ167" s="210"/>
      <c r="AK167" s="210"/>
      <c r="AL167" s="210"/>
      <c r="AM167" s="210"/>
      <c r="AN167" s="210"/>
      <c r="AO167" s="210"/>
      <c r="AP167" s="210"/>
      <c r="AQ167" s="210"/>
      <c r="AR167" s="210"/>
      <c r="AS167" s="210"/>
      <c r="AT167" s="210"/>
      <c r="AU167" s="210"/>
      <c r="AV167" s="210"/>
      <c r="AW167" s="210"/>
      <c r="AX167" s="210"/>
      <c r="AY167" s="210"/>
      <c r="AZ167" s="210"/>
      <c r="BA167" s="210"/>
      <c r="BB167" s="210"/>
      <c r="BC167" s="210"/>
      <c r="BD167" s="210"/>
      <c r="BE167" s="210"/>
      <c r="BF167" s="210"/>
      <c r="BG167" s="210"/>
      <c r="BH167" s="210"/>
      <c r="BI167" s="210"/>
      <c r="BJ167" s="210"/>
    </row>
    <row r="168" spans="1:62" ht="12" customHeight="1" x14ac:dyDescent="0.2">
      <c r="A168" s="210"/>
      <c r="B168" s="210"/>
      <c r="C168" s="210"/>
      <c r="D168" s="210"/>
      <c r="E168" s="210"/>
      <c r="F168" s="210"/>
      <c r="G168" s="210"/>
      <c r="H168" s="210"/>
      <c r="I168" s="210"/>
      <c r="J168" s="210"/>
      <c r="K168" s="210"/>
      <c r="L168" s="210"/>
      <c r="M168" s="433"/>
      <c r="N168" s="454" t="s">
        <v>1079</v>
      </c>
      <c r="O168" s="243"/>
      <c r="R168" s="229">
        <f t="shared" ref="R168:AE168" si="107">R80</f>
        <v>643</v>
      </c>
      <c r="S168" s="229">
        <f t="shared" si="107"/>
        <v>672</v>
      </c>
      <c r="T168" s="229">
        <f t="shared" si="107"/>
        <v>691</v>
      </c>
      <c r="U168" s="229">
        <f t="shared" si="107"/>
        <v>488</v>
      </c>
      <c r="V168" s="229">
        <f t="shared" si="107"/>
        <v>1398</v>
      </c>
      <c r="W168" s="229">
        <f t="shared" si="107"/>
        <v>1010</v>
      </c>
      <c r="X168" s="229">
        <f t="shared" si="107"/>
        <v>82</v>
      </c>
      <c r="Y168" s="229">
        <f t="shared" si="107"/>
        <v>186</v>
      </c>
      <c r="Z168" s="229">
        <f t="shared" si="107"/>
        <v>1494</v>
      </c>
      <c r="AA168" s="229">
        <f t="shared" si="107"/>
        <v>358</v>
      </c>
      <c r="AB168" s="229">
        <f t="shared" si="107"/>
        <v>-126</v>
      </c>
      <c r="AC168" s="229">
        <f t="shared" si="107"/>
        <v>516</v>
      </c>
      <c r="AD168" s="229">
        <f t="shared" si="107"/>
        <v>7412</v>
      </c>
      <c r="AE168" s="229">
        <f t="shared" si="107"/>
        <v>1315</v>
      </c>
      <c r="AF168" s="229">
        <f>AD168-AE168</f>
        <v>6097</v>
      </c>
      <c r="AI168" s="210"/>
      <c r="AJ168" s="210"/>
      <c r="AK168" s="210"/>
      <c r="AL168" s="210"/>
      <c r="AM168" s="210"/>
      <c r="AN168" s="210"/>
      <c r="AO168" s="210"/>
      <c r="AP168" s="210"/>
      <c r="AQ168" s="210"/>
      <c r="AR168" s="210"/>
      <c r="AS168" s="210"/>
      <c r="AT168" s="210"/>
      <c r="AU168" s="210"/>
      <c r="AV168" s="210"/>
      <c r="AW168" s="210"/>
      <c r="AX168" s="210"/>
      <c r="AY168" s="210"/>
      <c r="AZ168" s="210"/>
      <c r="BA168" s="210"/>
      <c r="BB168" s="210"/>
      <c r="BC168" s="210"/>
      <c r="BD168" s="210"/>
      <c r="BE168" s="210"/>
      <c r="BF168" s="210"/>
      <c r="BG168" s="210"/>
      <c r="BH168" s="210"/>
      <c r="BI168" s="210"/>
      <c r="BJ168" s="210"/>
    </row>
    <row r="169" spans="1:62" ht="3.95" customHeight="1" x14ac:dyDescent="0.2">
      <c r="A169" s="210"/>
      <c r="B169" s="210"/>
      <c r="C169" s="210"/>
      <c r="D169" s="210"/>
      <c r="E169" s="210"/>
      <c r="F169" s="210"/>
      <c r="G169" s="210"/>
      <c r="H169" s="210"/>
      <c r="I169" s="210"/>
      <c r="J169" s="210"/>
      <c r="K169" s="210"/>
      <c r="L169" s="210"/>
      <c r="M169" s="433"/>
      <c r="N169" s="433"/>
      <c r="R169" s="221"/>
      <c r="S169" s="221"/>
      <c r="T169" s="221"/>
      <c r="U169" s="221"/>
      <c r="V169" s="221"/>
      <c r="W169" s="221"/>
      <c r="X169" s="221"/>
      <c r="Y169" s="221"/>
      <c r="Z169" s="221"/>
      <c r="AA169" s="221"/>
      <c r="AB169" s="221"/>
      <c r="AC169" s="221"/>
      <c r="AD169" s="221"/>
      <c r="AE169" s="221"/>
      <c r="AF169" s="221"/>
      <c r="AI169" s="210"/>
      <c r="AJ169" s="210"/>
      <c r="AK169" s="210"/>
      <c r="AL169" s="210"/>
      <c r="AM169" s="210"/>
      <c r="AN169" s="210"/>
      <c r="AO169" s="210"/>
      <c r="AP169" s="210"/>
      <c r="AQ169" s="210"/>
      <c r="AR169" s="210"/>
      <c r="AS169" s="210"/>
      <c r="AT169" s="210"/>
      <c r="AU169" s="210"/>
      <c r="AV169" s="210"/>
      <c r="AW169" s="210"/>
      <c r="AX169" s="210"/>
      <c r="AY169" s="210"/>
      <c r="AZ169" s="210"/>
      <c r="BA169" s="210"/>
      <c r="BB169" s="210"/>
      <c r="BC169" s="210"/>
      <c r="BD169" s="210"/>
      <c r="BE169" s="210"/>
      <c r="BF169" s="210"/>
      <c r="BG169" s="210"/>
      <c r="BH169" s="210"/>
      <c r="BI169" s="210"/>
      <c r="BJ169" s="210"/>
    </row>
    <row r="170" spans="1:62" ht="12" customHeight="1" x14ac:dyDescent="0.2">
      <c r="A170" s="210"/>
      <c r="B170" s="210"/>
      <c r="C170" s="210"/>
      <c r="D170" s="210"/>
      <c r="E170" s="210"/>
      <c r="F170" s="210"/>
      <c r="G170" s="210"/>
      <c r="H170" s="210"/>
      <c r="I170" s="210"/>
      <c r="J170" s="210"/>
      <c r="K170" s="210"/>
      <c r="L170" s="210"/>
      <c r="M170" s="433"/>
      <c r="N170" s="451" t="s">
        <v>1080</v>
      </c>
      <c r="O170" s="247"/>
      <c r="R170" s="229">
        <f>IncomeState!C55</f>
        <v>12070</v>
      </c>
      <c r="S170" s="229">
        <f>IncomeState!D55</f>
        <v>11600</v>
      </c>
      <c r="T170" s="229">
        <f>IncomeState!E55</f>
        <v>13341</v>
      </c>
      <c r="U170" s="229">
        <f>IncomeState!F55</f>
        <v>-600</v>
      </c>
      <c r="V170" s="229">
        <f>IncomeState!G55</f>
        <v>-607</v>
      </c>
      <c r="W170" s="229">
        <f>IncomeState!H55</f>
        <v>5141</v>
      </c>
      <c r="X170" s="229">
        <f>IncomeState!I55</f>
        <v>-236</v>
      </c>
      <c r="Y170" s="229">
        <f>IncomeState!J55</f>
        <v>143</v>
      </c>
      <c r="Z170" s="229">
        <f>IncomeState!K55</f>
        <v>98</v>
      </c>
      <c r="AA170" s="229">
        <f>IncomeState!L55</f>
        <v>-406</v>
      </c>
      <c r="AB170" s="229">
        <f>IncomeState!M55</f>
        <v>11350</v>
      </c>
      <c r="AC170" s="229">
        <f>IncomeState!N55</f>
        <v>13939</v>
      </c>
      <c r="AD170" s="229">
        <f>SUM(R170:AC170)</f>
        <v>65833</v>
      </c>
      <c r="AE170" s="275">
        <f>SUM(R170:S170)</f>
        <v>23670</v>
      </c>
      <c r="AF170" s="476">
        <f>SUM(AF167:AF168)</f>
        <v>42163</v>
      </c>
      <c r="AI170" s="210"/>
      <c r="AJ170" s="210"/>
      <c r="AK170" s="210"/>
      <c r="AL170" s="210"/>
      <c r="AM170" s="210"/>
      <c r="AN170" s="210"/>
      <c r="AO170" s="210"/>
      <c r="AP170" s="210"/>
      <c r="AQ170" s="210"/>
      <c r="AR170" s="210"/>
      <c r="AS170" s="210"/>
      <c r="AT170" s="210"/>
      <c r="AU170" s="210"/>
      <c r="AV170" s="210"/>
      <c r="AW170" s="210"/>
      <c r="AX170" s="210"/>
      <c r="AY170" s="210"/>
      <c r="AZ170" s="210"/>
      <c r="BA170" s="210"/>
      <c r="BB170" s="210"/>
      <c r="BC170" s="210"/>
      <c r="BD170" s="210"/>
      <c r="BE170" s="210"/>
      <c r="BF170" s="210"/>
      <c r="BG170" s="210"/>
      <c r="BH170" s="210"/>
      <c r="BI170" s="210"/>
      <c r="BJ170" s="210"/>
    </row>
    <row r="171" spans="1:62" ht="6" customHeight="1" x14ac:dyDescent="0.2">
      <c r="A171" s="210"/>
      <c r="B171" s="210"/>
      <c r="C171" s="210"/>
      <c r="D171" s="210"/>
      <c r="E171" s="210"/>
      <c r="F171" s="210"/>
      <c r="G171" s="210"/>
      <c r="H171" s="210"/>
      <c r="I171" s="210"/>
      <c r="J171" s="210"/>
      <c r="K171" s="210"/>
      <c r="L171" s="210"/>
      <c r="AI171" s="210"/>
      <c r="AJ171" s="210"/>
      <c r="AK171" s="210"/>
      <c r="AL171" s="210"/>
      <c r="AM171" s="210"/>
      <c r="AN171" s="210"/>
      <c r="AO171" s="210"/>
      <c r="AP171" s="210"/>
      <c r="AQ171" s="210"/>
      <c r="AR171" s="210"/>
      <c r="AS171" s="210"/>
      <c r="AT171" s="210"/>
      <c r="AU171" s="210"/>
      <c r="AV171" s="210"/>
      <c r="AW171" s="210"/>
      <c r="AX171" s="210"/>
      <c r="AY171" s="210"/>
      <c r="AZ171" s="210"/>
      <c r="BA171" s="210"/>
      <c r="BB171" s="210"/>
      <c r="BC171" s="210"/>
      <c r="BD171" s="210"/>
      <c r="BE171" s="210"/>
      <c r="BF171" s="210"/>
      <c r="BG171" s="210"/>
      <c r="BH171" s="210"/>
      <c r="BI171" s="210"/>
      <c r="BJ171" s="210"/>
    </row>
    <row r="172" spans="1:62" ht="15" x14ac:dyDescent="0.2">
      <c r="A172" s="210"/>
      <c r="B172" s="210"/>
      <c r="C172" s="210"/>
      <c r="D172" s="210"/>
      <c r="E172" s="210"/>
      <c r="F172" s="210"/>
      <c r="G172" s="210"/>
      <c r="H172" s="210"/>
      <c r="I172" s="210"/>
      <c r="J172" s="210"/>
      <c r="K172" s="210"/>
      <c r="L172" s="210"/>
      <c r="N172" s="452" t="s">
        <v>1081</v>
      </c>
      <c r="R172" s="477">
        <f>R164-R170</f>
        <v>18505</v>
      </c>
      <c r="S172" s="477">
        <f t="shared" ref="S172:AF172" si="108">S164-S170</f>
        <v>17785</v>
      </c>
      <c r="T172" s="477">
        <f t="shared" si="108"/>
        <v>20453</v>
      </c>
      <c r="U172" s="477">
        <f t="shared" si="108"/>
        <v>-922</v>
      </c>
      <c r="V172" s="477">
        <f t="shared" si="108"/>
        <v>-935</v>
      </c>
      <c r="W172" s="477">
        <f t="shared" si="108"/>
        <v>7912</v>
      </c>
      <c r="X172" s="477">
        <f t="shared" si="108"/>
        <v>-333</v>
      </c>
      <c r="Y172" s="477">
        <f t="shared" si="108"/>
        <v>240</v>
      </c>
      <c r="Z172" s="477">
        <f t="shared" si="108"/>
        <v>171</v>
      </c>
      <c r="AA172" s="477">
        <f t="shared" si="108"/>
        <v>-604</v>
      </c>
      <c r="AB172" s="477">
        <f t="shared" si="108"/>
        <v>17426</v>
      </c>
      <c r="AC172" s="477">
        <f t="shared" si="108"/>
        <v>21396</v>
      </c>
      <c r="AD172" s="477">
        <f t="shared" si="108"/>
        <v>101094</v>
      </c>
      <c r="AE172" s="477">
        <f t="shared" si="108"/>
        <v>48929</v>
      </c>
      <c r="AF172" s="477">
        <f t="shared" si="108"/>
        <v>52165</v>
      </c>
      <c r="AI172" s="210"/>
      <c r="AJ172" s="210"/>
      <c r="AK172" s="210"/>
      <c r="AL172" s="210"/>
      <c r="AM172" s="210"/>
      <c r="AN172" s="210"/>
      <c r="AO172" s="210"/>
      <c r="AP172" s="210"/>
      <c r="AQ172" s="210"/>
      <c r="AR172" s="210"/>
      <c r="AS172" s="210"/>
      <c r="AT172" s="210"/>
      <c r="AU172" s="210"/>
      <c r="AV172" s="210"/>
      <c r="AW172" s="210"/>
      <c r="AX172" s="210"/>
      <c r="AY172" s="210"/>
      <c r="AZ172" s="210"/>
      <c r="BA172" s="210"/>
      <c r="BB172" s="210"/>
      <c r="BC172" s="210"/>
      <c r="BD172" s="210"/>
      <c r="BE172" s="210"/>
      <c r="BF172" s="210"/>
      <c r="BG172" s="210"/>
      <c r="BH172" s="210"/>
      <c r="BI172" s="210"/>
      <c r="BJ172" s="210"/>
    </row>
    <row r="173" spans="1:62" ht="8.1" customHeight="1" x14ac:dyDescent="0.2">
      <c r="A173" s="210"/>
      <c r="B173" s="210"/>
      <c r="C173" s="210"/>
      <c r="D173" s="210"/>
      <c r="E173" s="210"/>
      <c r="F173" s="210"/>
      <c r="G173" s="210"/>
      <c r="H173" s="210"/>
      <c r="I173" s="210"/>
      <c r="J173" s="210"/>
      <c r="K173" s="210"/>
      <c r="L173" s="210"/>
      <c r="AI173" s="210"/>
      <c r="AJ173" s="210"/>
      <c r="AK173" s="210"/>
      <c r="AL173" s="210"/>
      <c r="AM173" s="210"/>
      <c r="AN173" s="210"/>
      <c r="AO173" s="210"/>
      <c r="AP173" s="210"/>
      <c r="AQ173" s="210"/>
      <c r="AR173" s="210"/>
      <c r="AS173" s="210"/>
      <c r="AT173" s="210"/>
      <c r="AU173" s="210"/>
      <c r="AV173" s="210"/>
      <c r="AW173" s="210"/>
      <c r="AX173" s="210"/>
      <c r="AY173" s="210"/>
      <c r="AZ173" s="210"/>
      <c r="BA173" s="210"/>
      <c r="BB173" s="210"/>
      <c r="BC173" s="210"/>
      <c r="BD173" s="210"/>
      <c r="BE173" s="210"/>
      <c r="BF173" s="210"/>
      <c r="BG173" s="210"/>
      <c r="BH173" s="210"/>
      <c r="BI173" s="210"/>
      <c r="BJ173" s="210"/>
    </row>
    <row r="174" spans="1:62" ht="15" x14ac:dyDescent="0.2">
      <c r="A174" s="210"/>
      <c r="B174" s="210"/>
      <c r="C174" s="210"/>
      <c r="D174" s="210"/>
      <c r="E174" s="210"/>
      <c r="F174" s="210"/>
      <c r="G174" s="210"/>
      <c r="H174" s="210"/>
      <c r="I174" s="210"/>
      <c r="J174" s="210"/>
      <c r="K174" s="210"/>
      <c r="L174" s="210"/>
      <c r="AI174" s="210"/>
      <c r="AJ174" s="210"/>
      <c r="AK174" s="210"/>
      <c r="AL174" s="210"/>
      <c r="AM174" s="210"/>
      <c r="AN174" s="210"/>
      <c r="AO174" s="210"/>
      <c r="AP174" s="210"/>
      <c r="AQ174" s="210"/>
      <c r="AR174" s="210"/>
      <c r="AS174" s="210"/>
      <c r="AT174" s="210"/>
      <c r="AU174" s="210"/>
      <c r="AV174" s="210"/>
      <c r="AW174" s="210"/>
      <c r="AX174" s="210"/>
      <c r="AY174" s="210"/>
      <c r="AZ174" s="210"/>
      <c r="BA174" s="210"/>
      <c r="BB174" s="210"/>
      <c r="BC174" s="210"/>
      <c r="BD174" s="210"/>
      <c r="BE174" s="210"/>
      <c r="BF174" s="210"/>
      <c r="BG174" s="210"/>
      <c r="BH174" s="210"/>
      <c r="BI174" s="210"/>
      <c r="BJ174" s="210"/>
    </row>
    <row r="175" spans="1:62" ht="15" x14ac:dyDescent="0.2">
      <c r="A175" s="210"/>
      <c r="B175" s="210"/>
      <c r="C175" s="210"/>
      <c r="D175" s="210"/>
      <c r="E175" s="210"/>
      <c r="F175" s="210"/>
      <c r="G175" s="210"/>
      <c r="H175" s="210"/>
      <c r="I175" s="210"/>
      <c r="J175" s="210"/>
      <c r="K175" s="210"/>
      <c r="L175" s="210"/>
      <c r="AI175" s="210"/>
      <c r="AJ175" s="210"/>
      <c r="AK175" s="210"/>
      <c r="AL175" s="210"/>
      <c r="AM175" s="210"/>
      <c r="AN175" s="210"/>
      <c r="AO175" s="210"/>
      <c r="AP175" s="210"/>
      <c r="AQ175" s="210"/>
      <c r="AR175" s="210"/>
      <c r="AS175" s="210"/>
      <c r="AT175" s="210"/>
      <c r="AU175" s="210"/>
      <c r="AV175" s="210"/>
      <c r="AW175" s="210"/>
      <c r="AX175" s="210"/>
      <c r="AY175" s="210"/>
      <c r="AZ175" s="210"/>
      <c r="BA175" s="210"/>
      <c r="BB175" s="210"/>
      <c r="BC175" s="210"/>
      <c r="BD175" s="210"/>
      <c r="BE175" s="210"/>
      <c r="BF175" s="210"/>
      <c r="BG175" s="210"/>
      <c r="BH175" s="210"/>
      <c r="BI175" s="210"/>
      <c r="BJ175" s="210"/>
    </row>
    <row r="176" spans="1:62" ht="15" x14ac:dyDescent="0.2">
      <c r="A176" s="210"/>
      <c r="B176" s="210"/>
      <c r="C176" s="210"/>
      <c r="D176" s="210"/>
      <c r="E176" s="210"/>
      <c r="F176" s="210"/>
      <c r="G176" s="210"/>
      <c r="H176" s="210"/>
      <c r="I176" s="210"/>
      <c r="J176" s="210"/>
      <c r="K176" s="210"/>
      <c r="L176" s="210"/>
      <c r="AI176" s="210"/>
      <c r="AJ176" s="210"/>
      <c r="AK176" s="210"/>
      <c r="AL176" s="210"/>
      <c r="AM176" s="210"/>
      <c r="AN176" s="210"/>
      <c r="AO176" s="210"/>
      <c r="AP176" s="210"/>
      <c r="AQ176" s="210"/>
      <c r="AR176" s="210"/>
      <c r="AS176" s="210"/>
      <c r="AT176" s="210"/>
      <c r="AU176" s="210"/>
      <c r="AV176" s="210"/>
      <c r="AW176" s="210"/>
      <c r="AX176" s="210"/>
      <c r="AY176" s="210"/>
      <c r="AZ176" s="210"/>
      <c r="BA176" s="210"/>
      <c r="BB176" s="210"/>
      <c r="BC176" s="210"/>
      <c r="BD176" s="210"/>
      <c r="BE176" s="210"/>
      <c r="BF176" s="210"/>
      <c r="BG176" s="210"/>
      <c r="BH176" s="210"/>
      <c r="BI176" s="210"/>
      <c r="BJ176" s="210"/>
    </row>
    <row r="177" spans="1:62" ht="15" x14ac:dyDescent="0.2">
      <c r="A177" s="210"/>
      <c r="B177" s="210"/>
      <c r="C177" s="210"/>
      <c r="D177" s="210"/>
      <c r="E177" s="210"/>
      <c r="F177" s="210"/>
      <c r="G177" s="210"/>
      <c r="H177" s="210"/>
      <c r="I177" s="210"/>
      <c r="J177" s="210"/>
      <c r="K177" s="210"/>
      <c r="L177" s="210"/>
      <c r="AI177" s="210"/>
      <c r="AJ177" s="210"/>
      <c r="AK177" s="210"/>
      <c r="AL177" s="210"/>
      <c r="AM177" s="210"/>
      <c r="AN177" s="210"/>
      <c r="AO177" s="210"/>
      <c r="AP177" s="210"/>
      <c r="AQ177" s="210"/>
      <c r="AR177" s="210"/>
      <c r="AS177" s="210"/>
      <c r="AT177" s="210"/>
      <c r="AU177" s="210"/>
      <c r="AV177" s="210"/>
      <c r="AW177" s="210"/>
      <c r="AX177" s="210"/>
      <c r="AY177" s="210"/>
      <c r="AZ177" s="210"/>
      <c r="BA177" s="210"/>
      <c r="BB177" s="210"/>
      <c r="BC177" s="210"/>
      <c r="BD177" s="210"/>
      <c r="BE177" s="210"/>
      <c r="BF177" s="210"/>
      <c r="BG177" s="210"/>
      <c r="BH177" s="210"/>
      <c r="BI177" s="210"/>
      <c r="BJ177" s="210"/>
    </row>
    <row r="178" spans="1:62" ht="15" x14ac:dyDescent="0.2">
      <c r="A178" s="210"/>
      <c r="B178" s="210"/>
      <c r="C178" s="210"/>
      <c r="D178" s="210"/>
      <c r="E178" s="210"/>
      <c r="F178" s="210"/>
      <c r="G178" s="210"/>
      <c r="H178" s="210"/>
      <c r="I178" s="210"/>
      <c r="J178" s="210"/>
      <c r="K178" s="210"/>
      <c r="L178" s="210"/>
      <c r="AI178" s="210"/>
      <c r="AJ178" s="210"/>
      <c r="AK178" s="210"/>
      <c r="AL178" s="210"/>
      <c r="AM178" s="210"/>
      <c r="AN178" s="210"/>
      <c r="AO178" s="210"/>
      <c r="AP178" s="210"/>
      <c r="AQ178" s="210"/>
      <c r="AR178" s="210"/>
      <c r="AS178" s="210"/>
      <c r="AT178" s="210"/>
      <c r="AU178" s="210"/>
      <c r="AV178" s="210"/>
      <c r="AW178" s="210"/>
      <c r="AX178" s="210"/>
      <c r="AY178" s="210"/>
      <c r="AZ178" s="210"/>
      <c r="BA178" s="210"/>
      <c r="BB178" s="210"/>
      <c r="BC178" s="210"/>
      <c r="BD178" s="210"/>
      <c r="BE178" s="210"/>
      <c r="BF178" s="210"/>
      <c r="BG178" s="210"/>
      <c r="BH178" s="210"/>
      <c r="BI178" s="210"/>
      <c r="BJ178" s="210"/>
    </row>
    <row r="179" spans="1:62" ht="15" x14ac:dyDescent="0.2">
      <c r="A179" s="210"/>
      <c r="B179" s="210"/>
      <c r="C179" s="210"/>
      <c r="D179" s="210"/>
      <c r="E179" s="210"/>
      <c r="F179" s="210"/>
      <c r="G179" s="210"/>
      <c r="H179" s="210"/>
      <c r="I179" s="210"/>
      <c r="J179" s="210"/>
      <c r="K179" s="210"/>
      <c r="L179" s="210"/>
      <c r="AI179" s="210"/>
      <c r="AJ179" s="210"/>
      <c r="AK179" s="210"/>
      <c r="AL179" s="210"/>
      <c r="AM179" s="210"/>
      <c r="AN179" s="210"/>
      <c r="AO179" s="210"/>
      <c r="AP179" s="210"/>
      <c r="AQ179" s="210"/>
      <c r="AR179" s="210"/>
      <c r="AS179" s="210"/>
      <c r="AT179" s="210"/>
      <c r="AU179" s="210"/>
      <c r="AV179" s="210"/>
      <c r="AW179" s="210"/>
      <c r="AX179" s="210"/>
      <c r="AY179" s="210"/>
      <c r="AZ179" s="210"/>
      <c r="BA179" s="210"/>
      <c r="BB179" s="210"/>
      <c r="BC179" s="210"/>
      <c r="BD179" s="210"/>
      <c r="BE179" s="210"/>
      <c r="BF179" s="210"/>
      <c r="BG179" s="210"/>
      <c r="BH179" s="210"/>
      <c r="BI179" s="210"/>
      <c r="BJ179" s="210"/>
    </row>
    <row r="180" spans="1:62" ht="15" x14ac:dyDescent="0.2">
      <c r="A180" s="210"/>
      <c r="B180" s="210"/>
      <c r="C180" s="210"/>
      <c r="D180" s="210"/>
      <c r="E180" s="210"/>
      <c r="F180" s="210"/>
      <c r="G180" s="210"/>
      <c r="H180" s="210"/>
      <c r="I180" s="210"/>
      <c r="J180" s="210"/>
      <c r="K180" s="210"/>
      <c r="L180" s="210"/>
      <c r="AI180" s="210"/>
      <c r="AJ180" s="210"/>
      <c r="AK180" s="210"/>
      <c r="AL180" s="210"/>
      <c r="AM180" s="210"/>
      <c r="AN180" s="210"/>
      <c r="AO180" s="210"/>
      <c r="AP180" s="210"/>
      <c r="AQ180" s="210"/>
      <c r="AR180" s="210"/>
      <c r="AS180" s="210"/>
      <c r="AT180" s="210"/>
      <c r="AU180" s="210"/>
      <c r="AV180" s="210"/>
      <c r="AW180" s="210"/>
      <c r="AX180" s="210"/>
      <c r="AY180" s="210"/>
      <c r="AZ180" s="210"/>
      <c r="BA180" s="210"/>
      <c r="BB180" s="210"/>
      <c r="BC180" s="210"/>
      <c r="BD180" s="210"/>
      <c r="BE180" s="210"/>
      <c r="BF180" s="210"/>
      <c r="BG180" s="210"/>
      <c r="BH180" s="210"/>
      <c r="BI180" s="210"/>
      <c r="BJ180" s="210"/>
    </row>
    <row r="181" spans="1:62" ht="15" x14ac:dyDescent="0.2">
      <c r="A181" s="210"/>
      <c r="B181" s="210"/>
      <c r="C181" s="210"/>
      <c r="D181" s="210"/>
      <c r="E181" s="210"/>
      <c r="F181" s="210"/>
      <c r="G181" s="210"/>
      <c r="H181" s="210"/>
      <c r="I181" s="210"/>
      <c r="J181" s="210"/>
      <c r="K181" s="210"/>
      <c r="L181" s="210"/>
      <c r="AI181" s="210"/>
      <c r="AJ181" s="210"/>
      <c r="AK181" s="210"/>
      <c r="AL181" s="210"/>
      <c r="AM181" s="210"/>
      <c r="AN181" s="210"/>
      <c r="AO181" s="210"/>
      <c r="AP181" s="210"/>
      <c r="AQ181" s="210"/>
      <c r="AR181" s="210"/>
      <c r="AS181" s="210"/>
      <c r="AT181" s="210"/>
      <c r="AU181" s="210"/>
      <c r="AV181" s="210"/>
      <c r="AW181" s="210"/>
      <c r="AX181" s="210"/>
      <c r="AY181" s="210"/>
      <c r="AZ181" s="210"/>
      <c r="BA181" s="210"/>
      <c r="BB181" s="210"/>
      <c r="BC181" s="210"/>
      <c r="BD181" s="210"/>
      <c r="BE181" s="210"/>
      <c r="BF181" s="210"/>
      <c r="BG181" s="210"/>
      <c r="BH181" s="210"/>
      <c r="BI181" s="210"/>
      <c r="BJ181" s="210"/>
    </row>
    <row r="182" spans="1:62" ht="15" x14ac:dyDescent="0.2">
      <c r="A182" s="210"/>
      <c r="B182" s="210"/>
      <c r="C182" s="210"/>
      <c r="D182" s="210"/>
      <c r="E182" s="210"/>
      <c r="F182" s="210"/>
      <c r="G182" s="210"/>
      <c r="H182" s="210"/>
      <c r="I182" s="210"/>
      <c r="J182" s="210"/>
      <c r="K182" s="210"/>
      <c r="L182" s="210"/>
      <c r="AI182" s="210"/>
      <c r="AJ182" s="210"/>
      <c r="AK182" s="210"/>
      <c r="AL182" s="210"/>
      <c r="AM182" s="210"/>
      <c r="AN182" s="210"/>
      <c r="AO182" s="210"/>
      <c r="AP182" s="210"/>
      <c r="AQ182" s="210"/>
      <c r="AR182" s="210"/>
      <c r="AS182" s="210"/>
      <c r="AT182" s="210"/>
      <c r="AU182" s="210"/>
      <c r="AV182" s="210"/>
      <c r="AW182" s="210"/>
      <c r="AX182" s="210"/>
      <c r="AY182" s="210"/>
      <c r="AZ182" s="210"/>
      <c r="BA182" s="210"/>
      <c r="BB182" s="210"/>
      <c r="BC182" s="210"/>
      <c r="BD182" s="210"/>
      <c r="BE182" s="210"/>
      <c r="BF182" s="210"/>
      <c r="BG182" s="210"/>
      <c r="BH182" s="210"/>
      <c r="BI182" s="210"/>
      <c r="BJ182" s="210"/>
    </row>
    <row r="183" spans="1:62" ht="15" x14ac:dyDescent="0.2">
      <c r="A183" s="210"/>
      <c r="B183" s="210"/>
      <c r="C183" s="210"/>
      <c r="D183" s="210"/>
      <c r="E183" s="210"/>
      <c r="F183" s="210"/>
      <c r="G183" s="210"/>
      <c r="H183" s="210"/>
      <c r="I183" s="210"/>
      <c r="J183" s="210"/>
      <c r="K183" s="210"/>
      <c r="L183" s="210"/>
      <c r="AI183" s="210"/>
      <c r="AJ183" s="210"/>
      <c r="AK183" s="210"/>
      <c r="AL183" s="210"/>
      <c r="AM183" s="210"/>
      <c r="AN183" s="210"/>
      <c r="AO183" s="210"/>
      <c r="AP183" s="210"/>
      <c r="AQ183" s="210"/>
      <c r="AR183" s="210"/>
      <c r="AS183" s="210"/>
      <c r="AT183" s="210"/>
      <c r="AU183" s="210"/>
      <c r="AV183" s="210"/>
      <c r="AW183" s="210"/>
      <c r="AX183" s="210"/>
      <c r="AY183" s="210"/>
      <c r="AZ183" s="210"/>
      <c r="BA183" s="210"/>
      <c r="BB183" s="210"/>
      <c r="BC183" s="210"/>
      <c r="BD183" s="210"/>
      <c r="BE183" s="210"/>
      <c r="BF183" s="210"/>
      <c r="BG183" s="210"/>
      <c r="BH183" s="210"/>
      <c r="BI183" s="210"/>
      <c r="BJ183" s="210"/>
    </row>
    <row r="184" spans="1:62" ht="15" x14ac:dyDescent="0.2">
      <c r="A184" s="210"/>
      <c r="B184" s="210"/>
      <c r="C184" s="210"/>
      <c r="D184" s="210"/>
      <c r="E184" s="210"/>
      <c r="F184" s="210"/>
      <c r="G184" s="210"/>
      <c r="H184" s="210"/>
      <c r="I184" s="210"/>
      <c r="J184" s="210"/>
      <c r="K184" s="210"/>
      <c r="L184" s="210"/>
      <c r="AI184" s="210"/>
      <c r="AJ184" s="210"/>
      <c r="AK184" s="210"/>
      <c r="AL184" s="210"/>
      <c r="AM184" s="210"/>
      <c r="AN184" s="210"/>
      <c r="AO184" s="210"/>
      <c r="AP184" s="210"/>
      <c r="AQ184" s="210"/>
      <c r="AR184" s="210"/>
      <c r="AS184" s="210"/>
      <c r="AT184" s="210"/>
      <c r="AU184" s="210"/>
      <c r="AV184" s="210"/>
      <c r="AW184" s="210"/>
      <c r="AX184" s="210"/>
      <c r="AY184" s="210"/>
      <c r="AZ184" s="210"/>
      <c r="BA184" s="210"/>
      <c r="BB184" s="210"/>
      <c r="BC184" s="210"/>
      <c r="BD184" s="210"/>
      <c r="BE184" s="210"/>
      <c r="BF184" s="210"/>
      <c r="BG184" s="210"/>
      <c r="BH184" s="210"/>
      <c r="BI184" s="210"/>
      <c r="BJ184" s="210"/>
    </row>
    <row r="185" spans="1:62" ht="15" x14ac:dyDescent="0.2">
      <c r="A185" s="210"/>
      <c r="B185" s="210"/>
      <c r="C185" s="210"/>
      <c r="D185" s="210"/>
      <c r="E185" s="210"/>
      <c r="F185" s="210"/>
      <c r="G185" s="210"/>
      <c r="H185" s="210"/>
      <c r="I185" s="210"/>
      <c r="J185" s="210"/>
      <c r="K185" s="210"/>
      <c r="L185" s="210"/>
      <c r="AI185" s="210"/>
      <c r="AJ185" s="210"/>
      <c r="AK185" s="210"/>
      <c r="AL185" s="210"/>
      <c r="AM185" s="210"/>
      <c r="AN185" s="210"/>
      <c r="AO185" s="210"/>
      <c r="AP185" s="210"/>
      <c r="AQ185" s="210"/>
      <c r="AR185" s="210"/>
      <c r="AS185" s="210"/>
      <c r="AT185" s="210"/>
      <c r="AU185" s="210"/>
      <c r="AV185" s="210"/>
      <c r="AW185" s="210"/>
      <c r="AX185" s="210"/>
      <c r="AY185" s="210"/>
      <c r="AZ185" s="210"/>
      <c r="BA185" s="210"/>
      <c r="BB185" s="210"/>
      <c r="BC185" s="210"/>
      <c r="BD185" s="210"/>
      <c r="BE185" s="210"/>
      <c r="BF185" s="210"/>
      <c r="BG185" s="210"/>
      <c r="BH185" s="210"/>
      <c r="BI185" s="210"/>
      <c r="BJ185" s="210"/>
    </row>
    <row r="186" spans="1:62" ht="15" x14ac:dyDescent="0.2">
      <c r="A186" s="210"/>
      <c r="B186" s="210"/>
      <c r="C186" s="210"/>
      <c r="D186" s="210"/>
      <c r="E186" s="210"/>
      <c r="F186" s="210"/>
      <c r="G186" s="210"/>
      <c r="H186" s="210"/>
      <c r="I186" s="210"/>
      <c r="J186" s="210"/>
      <c r="K186" s="210"/>
      <c r="L186" s="210"/>
      <c r="M186" s="210"/>
      <c r="N186" s="210"/>
      <c r="O186" s="210"/>
      <c r="P186" s="210"/>
      <c r="Q186" s="210"/>
      <c r="R186" s="210"/>
      <c r="S186" s="210"/>
      <c r="T186" s="210"/>
      <c r="U186" s="210"/>
      <c r="V186" s="210"/>
      <c r="W186" s="210"/>
      <c r="X186" s="210"/>
      <c r="Y186" s="210"/>
      <c r="Z186" s="210"/>
      <c r="AA186" s="210"/>
      <c r="AB186" s="210"/>
      <c r="AC186" s="210"/>
      <c r="AD186" s="210"/>
      <c r="AE186" s="210"/>
      <c r="AF186" s="210"/>
      <c r="AG186" s="210"/>
      <c r="AH186" s="210"/>
      <c r="AI186" s="210"/>
      <c r="AJ186" s="210"/>
      <c r="AK186" s="210"/>
      <c r="AL186" s="210"/>
      <c r="AM186" s="210"/>
      <c r="AN186" s="210"/>
      <c r="AO186" s="210"/>
      <c r="AP186" s="210"/>
      <c r="AQ186" s="210"/>
      <c r="AR186" s="210"/>
      <c r="AS186" s="210"/>
      <c r="AT186" s="210"/>
      <c r="AU186" s="210"/>
      <c r="AV186" s="210"/>
      <c r="AW186" s="210"/>
      <c r="AX186" s="210"/>
      <c r="AY186" s="210"/>
      <c r="AZ186" s="210"/>
      <c r="BA186" s="210"/>
      <c r="BB186" s="210"/>
      <c r="BC186" s="210"/>
      <c r="BD186" s="210"/>
      <c r="BE186" s="210"/>
      <c r="BF186" s="210"/>
      <c r="BG186" s="210"/>
      <c r="BH186" s="210"/>
      <c r="BI186" s="210"/>
      <c r="BJ186" s="210"/>
    </row>
    <row r="187" spans="1:62" ht="15" x14ac:dyDescent="0.2">
      <c r="A187" s="210"/>
      <c r="B187" s="210"/>
      <c r="C187" s="210"/>
      <c r="D187" s="210"/>
      <c r="E187" s="210"/>
      <c r="F187" s="210"/>
      <c r="G187" s="210"/>
      <c r="H187" s="210"/>
      <c r="I187" s="210"/>
      <c r="J187" s="210"/>
      <c r="K187" s="210"/>
      <c r="L187" s="210"/>
      <c r="M187" s="210"/>
      <c r="N187" s="210"/>
      <c r="O187" s="210"/>
      <c r="P187" s="210"/>
      <c r="Q187" s="210"/>
      <c r="R187" s="210"/>
      <c r="S187" s="210"/>
      <c r="T187" s="210"/>
      <c r="U187" s="210"/>
      <c r="V187" s="210"/>
      <c r="W187" s="210"/>
      <c r="X187" s="210"/>
      <c r="Y187" s="210"/>
      <c r="Z187" s="210"/>
      <c r="AA187" s="210"/>
      <c r="AB187" s="210"/>
      <c r="AC187" s="210"/>
      <c r="AD187" s="210"/>
      <c r="AE187" s="210"/>
      <c r="AF187" s="210"/>
      <c r="AG187" s="210"/>
      <c r="AH187" s="210"/>
      <c r="AI187" s="210"/>
      <c r="AJ187" s="210"/>
      <c r="AK187" s="210"/>
      <c r="AL187" s="210"/>
      <c r="AM187" s="210"/>
      <c r="AN187" s="210"/>
      <c r="AO187" s="210"/>
      <c r="AP187" s="210"/>
      <c r="AQ187" s="210"/>
      <c r="AR187" s="210"/>
      <c r="AS187" s="210"/>
      <c r="AT187" s="210"/>
      <c r="AU187" s="210"/>
      <c r="AV187" s="210"/>
      <c r="AW187" s="210"/>
      <c r="AX187" s="210"/>
      <c r="AY187" s="210"/>
      <c r="AZ187" s="210"/>
      <c r="BA187" s="210"/>
      <c r="BB187" s="210"/>
      <c r="BC187" s="210"/>
      <c r="BD187" s="210"/>
      <c r="BE187" s="210"/>
      <c r="BF187" s="210"/>
      <c r="BG187" s="210"/>
      <c r="BH187" s="210"/>
      <c r="BI187" s="210"/>
      <c r="BJ187" s="210"/>
    </row>
    <row r="188" spans="1:62" ht="15" x14ac:dyDescent="0.2">
      <c r="A188" s="210"/>
      <c r="B188" s="210"/>
      <c r="C188" s="210"/>
      <c r="D188" s="210"/>
      <c r="E188" s="210"/>
      <c r="F188" s="210"/>
      <c r="G188" s="210"/>
      <c r="H188" s="210"/>
      <c r="I188" s="210"/>
      <c r="J188" s="210"/>
      <c r="K188" s="210"/>
      <c r="L188" s="210"/>
      <c r="M188" s="210"/>
      <c r="N188" s="210"/>
      <c r="O188" s="210"/>
      <c r="P188" s="210"/>
      <c r="Q188" s="210"/>
      <c r="R188" s="210"/>
      <c r="S188" s="210"/>
      <c r="T188" s="210"/>
      <c r="U188" s="210"/>
      <c r="V188" s="210"/>
      <c r="W188" s="210"/>
      <c r="X188" s="210"/>
      <c r="Y188" s="210"/>
      <c r="Z188" s="210"/>
      <c r="AA188" s="210"/>
      <c r="AB188" s="210"/>
      <c r="AC188" s="210"/>
      <c r="AD188" s="210"/>
      <c r="AE188" s="210"/>
      <c r="AF188" s="210"/>
      <c r="AG188" s="210"/>
      <c r="AH188" s="210"/>
      <c r="AI188" s="210"/>
      <c r="AJ188" s="210"/>
      <c r="AK188" s="210"/>
      <c r="AL188" s="210"/>
      <c r="AM188" s="210"/>
      <c r="AN188" s="210"/>
      <c r="AO188" s="210"/>
      <c r="AP188" s="210"/>
      <c r="AQ188" s="210"/>
      <c r="AR188" s="210"/>
      <c r="AS188" s="210"/>
      <c r="AT188" s="210"/>
      <c r="AU188" s="210"/>
      <c r="AV188" s="210"/>
      <c r="AW188" s="210"/>
      <c r="AX188" s="210"/>
      <c r="AY188" s="210"/>
      <c r="AZ188" s="210"/>
      <c r="BA188" s="210"/>
      <c r="BB188" s="210"/>
      <c r="BC188" s="210"/>
      <c r="BD188" s="210"/>
      <c r="BE188" s="210"/>
      <c r="BF188" s="210"/>
      <c r="BG188" s="210"/>
      <c r="BH188" s="210"/>
      <c r="BI188" s="210"/>
      <c r="BJ188" s="210"/>
    </row>
    <row r="189" spans="1:62" ht="15" x14ac:dyDescent="0.2">
      <c r="A189" s="210"/>
      <c r="B189" s="210"/>
      <c r="C189" s="210"/>
      <c r="D189" s="210"/>
      <c r="E189" s="210"/>
      <c r="F189" s="210"/>
      <c r="G189" s="210"/>
      <c r="H189" s="210"/>
      <c r="I189" s="210"/>
      <c r="J189" s="210"/>
      <c r="K189" s="210"/>
      <c r="L189" s="210"/>
      <c r="M189" s="210"/>
      <c r="N189" s="210"/>
      <c r="O189" s="210"/>
      <c r="P189" s="210"/>
      <c r="Q189" s="210"/>
      <c r="R189" s="210"/>
      <c r="S189" s="210"/>
      <c r="T189" s="210"/>
      <c r="U189" s="210"/>
      <c r="V189" s="210"/>
      <c r="W189" s="210"/>
      <c r="X189" s="210"/>
      <c r="Y189" s="210"/>
      <c r="Z189" s="210"/>
      <c r="AA189" s="210"/>
      <c r="AB189" s="210"/>
      <c r="AC189" s="210"/>
      <c r="AD189" s="210"/>
      <c r="AE189" s="210"/>
      <c r="AF189" s="210"/>
      <c r="AG189" s="210"/>
      <c r="AH189" s="210"/>
      <c r="AI189" s="210"/>
      <c r="AJ189" s="210"/>
      <c r="AK189" s="210"/>
      <c r="AL189" s="210"/>
      <c r="AM189" s="210"/>
      <c r="AN189" s="210"/>
      <c r="AO189" s="210"/>
      <c r="AP189" s="210"/>
      <c r="AQ189" s="210"/>
      <c r="AR189" s="210"/>
      <c r="AS189" s="210"/>
      <c r="AT189" s="210"/>
      <c r="AU189" s="210"/>
      <c r="AV189" s="210"/>
      <c r="AW189" s="210"/>
      <c r="AX189" s="210"/>
      <c r="AY189" s="210"/>
      <c r="AZ189" s="210"/>
      <c r="BA189" s="210"/>
      <c r="BB189" s="210"/>
      <c r="BC189" s="210"/>
      <c r="BD189" s="210"/>
      <c r="BE189" s="210"/>
      <c r="BF189" s="210"/>
      <c r="BG189" s="210"/>
      <c r="BH189" s="210"/>
      <c r="BI189" s="210"/>
      <c r="BJ189" s="210"/>
    </row>
    <row r="190" spans="1:62" ht="15" x14ac:dyDescent="0.2">
      <c r="A190" s="210"/>
      <c r="B190" s="210"/>
      <c r="C190" s="210"/>
      <c r="D190" s="210"/>
      <c r="E190" s="210"/>
      <c r="F190" s="210"/>
      <c r="G190" s="210"/>
      <c r="H190" s="210"/>
      <c r="I190" s="210"/>
      <c r="J190" s="210"/>
      <c r="K190" s="210"/>
      <c r="L190" s="210"/>
      <c r="M190" s="210"/>
      <c r="N190" s="210"/>
      <c r="O190" s="210"/>
      <c r="P190" s="210"/>
      <c r="Q190" s="210"/>
      <c r="R190" s="210"/>
      <c r="S190" s="210"/>
      <c r="T190" s="210"/>
      <c r="U190" s="210"/>
      <c r="V190" s="210"/>
      <c r="W190" s="210"/>
      <c r="X190" s="210"/>
      <c r="Y190" s="210"/>
      <c r="Z190" s="210"/>
      <c r="AA190" s="210"/>
      <c r="AB190" s="210"/>
      <c r="AC190" s="210"/>
      <c r="AD190" s="210"/>
      <c r="AE190" s="210"/>
      <c r="AF190" s="210"/>
      <c r="AG190" s="210"/>
      <c r="AH190" s="210"/>
      <c r="AI190" s="210"/>
      <c r="AJ190" s="210"/>
      <c r="AK190" s="210"/>
      <c r="AL190" s="210"/>
      <c r="AM190" s="210"/>
      <c r="AN190" s="210"/>
      <c r="AO190" s="210"/>
      <c r="AP190" s="210"/>
      <c r="AQ190" s="210"/>
      <c r="AR190" s="210"/>
      <c r="AS190" s="210"/>
      <c r="AT190" s="210"/>
      <c r="AU190" s="210"/>
      <c r="AV190" s="210"/>
      <c r="AW190" s="210"/>
      <c r="AX190" s="210"/>
      <c r="AY190" s="210"/>
      <c r="AZ190" s="210"/>
      <c r="BA190" s="210"/>
      <c r="BB190" s="210"/>
      <c r="BC190" s="210"/>
      <c r="BD190" s="210"/>
      <c r="BE190" s="210"/>
      <c r="BF190" s="210"/>
      <c r="BG190" s="210"/>
      <c r="BH190" s="210"/>
      <c r="BI190" s="210"/>
      <c r="BJ190" s="210"/>
    </row>
    <row r="191" spans="1:62" ht="15" x14ac:dyDescent="0.2">
      <c r="A191" s="210"/>
      <c r="B191" s="210"/>
      <c r="C191" s="210"/>
      <c r="D191" s="210"/>
      <c r="E191" s="210"/>
      <c r="F191" s="210"/>
      <c r="G191" s="210"/>
      <c r="H191" s="210"/>
      <c r="I191" s="210"/>
      <c r="J191" s="210"/>
      <c r="K191" s="210"/>
      <c r="L191" s="210"/>
      <c r="M191" s="210"/>
      <c r="N191" s="210"/>
      <c r="O191" s="210"/>
      <c r="P191" s="210"/>
      <c r="Q191" s="210"/>
      <c r="R191" s="210"/>
      <c r="S191" s="210"/>
      <c r="T191" s="210"/>
      <c r="U191" s="210"/>
      <c r="V191" s="210"/>
      <c r="W191" s="210"/>
      <c r="X191" s="210"/>
      <c r="Y191" s="210"/>
      <c r="Z191" s="210"/>
      <c r="AA191" s="210"/>
      <c r="AB191" s="210"/>
      <c r="AC191" s="210"/>
      <c r="AD191" s="210"/>
      <c r="AE191" s="210"/>
      <c r="AF191" s="210"/>
      <c r="AG191" s="210"/>
      <c r="AH191" s="210"/>
      <c r="AI191" s="210"/>
      <c r="AJ191" s="210"/>
      <c r="AK191" s="210"/>
      <c r="AL191" s="210"/>
      <c r="AM191" s="210"/>
      <c r="AN191" s="210"/>
      <c r="AO191" s="210"/>
      <c r="AP191" s="210"/>
      <c r="AQ191" s="210"/>
      <c r="AR191" s="210"/>
      <c r="AS191" s="210"/>
      <c r="AT191" s="210"/>
      <c r="AU191" s="210"/>
      <c r="AV191" s="210"/>
      <c r="AW191" s="210"/>
      <c r="AX191" s="210"/>
      <c r="AY191" s="210"/>
      <c r="AZ191" s="210"/>
      <c r="BA191" s="210"/>
      <c r="BB191" s="210"/>
      <c r="BC191" s="210"/>
      <c r="BD191" s="210"/>
      <c r="BE191" s="210"/>
      <c r="BF191" s="210"/>
      <c r="BG191" s="210"/>
      <c r="BH191" s="210"/>
      <c r="BI191" s="210"/>
      <c r="BJ191" s="210"/>
    </row>
    <row r="192" spans="1:62" ht="15" x14ac:dyDescent="0.2">
      <c r="A192" s="210"/>
      <c r="B192" s="210"/>
      <c r="C192" s="210"/>
      <c r="D192" s="210"/>
      <c r="E192" s="210"/>
      <c r="F192" s="210"/>
      <c r="G192" s="210"/>
      <c r="H192" s="210"/>
      <c r="I192" s="210"/>
      <c r="J192" s="210"/>
      <c r="K192" s="210"/>
      <c r="L192" s="210"/>
      <c r="M192" s="210"/>
      <c r="N192" s="210"/>
      <c r="O192" s="210"/>
      <c r="P192" s="210"/>
      <c r="Q192" s="210"/>
      <c r="R192" s="210"/>
      <c r="S192" s="210"/>
      <c r="T192" s="210"/>
      <c r="U192" s="210"/>
      <c r="V192" s="210"/>
      <c r="W192" s="210"/>
      <c r="X192" s="210"/>
      <c r="Y192" s="210"/>
      <c r="Z192" s="210"/>
      <c r="AA192" s="210"/>
      <c r="AB192" s="210"/>
      <c r="AC192" s="210"/>
      <c r="AD192" s="210"/>
      <c r="AE192" s="210"/>
      <c r="AF192" s="210"/>
      <c r="AG192" s="210"/>
      <c r="AH192" s="210"/>
      <c r="AI192" s="210"/>
      <c r="AJ192" s="210"/>
      <c r="AK192" s="210"/>
      <c r="AL192" s="210"/>
      <c r="AM192" s="210"/>
      <c r="AN192" s="210"/>
      <c r="AO192" s="210"/>
      <c r="AP192" s="210"/>
      <c r="AQ192" s="210"/>
      <c r="AR192" s="210"/>
      <c r="AS192" s="210"/>
      <c r="AT192" s="210"/>
      <c r="AU192" s="210"/>
      <c r="AV192" s="210"/>
      <c r="AW192" s="210"/>
      <c r="AX192" s="210"/>
      <c r="AY192" s="210"/>
      <c r="AZ192" s="210"/>
      <c r="BA192" s="210"/>
      <c r="BB192" s="210"/>
      <c r="BC192" s="210"/>
      <c r="BD192" s="210"/>
      <c r="BE192" s="210"/>
      <c r="BF192" s="210"/>
      <c r="BG192" s="210"/>
      <c r="BH192" s="210"/>
      <c r="BI192" s="210"/>
      <c r="BJ192" s="210"/>
    </row>
    <row r="193" spans="1:62" ht="15" x14ac:dyDescent="0.2">
      <c r="A193" s="210"/>
      <c r="B193" s="210"/>
      <c r="C193" s="210"/>
      <c r="D193" s="210"/>
      <c r="E193" s="210"/>
      <c r="F193" s="210"/>
      <c r="G193" s="210"/>
      <c r="H193" s="210"/>
      <c r="I193" s="210"/>
      <c r="J193" s="210"/>
      <c r="K193" s="210"/>
      <c r="L193" s="210"/>
      <c r="M193" s="210"/>
      <c r="N193" s="210"/>
      <c r="O193" s="210"/>
      <c r="P193" s="210"/>
      <c r="Q193" s="210"/>
      <c r="R193" s="210"/>
      <c r="S193" s="210"/>
      <c r="T193" s="210"/>
      <c r="U193" s="210"/>
      <c r="V193" s="210"/>
      <c r="W193" s="210"/>
      <c r="X193" s="210"/>
      <c r="Y193" s="210"/>
      <c r="Z193" s="210"/>
      <c r="AA193" s="210"/>
      <c r="AB193" s="210"/>
      <c r="AC193" s="210"/>
      <c r="AD193" s="210"/>
      <c r="AE193" s="210"/>
      <c r="AF193" s="210"/>
      <c r="AG193" s="210"/>
      <c r="AH193" s="210"/>
      <c r="AI193" s="210"/>
      <c r="AJ193" s="210"/>
      <c r="AK193" s="210"/>
      <c r="AL193" s="210"/>
      <c r="AM193" s="210"/>
      <c r="AN193" s="210"/>
      <c r="AO193" s="210"/>
      <c r="AP193" s="210"/>
      <c r="AQ193" s="210"/>
      <c r="AR193" s="210"/>
      <c r="AS193" s="210"/>
      <c r="AT193" s="210"/>
      <c r="AU193" s="210"/>
      <c r="AV193" s="210"/>
      <c r="AW193" s="210"/>
      <c r="AX193" s="210"/>
      <c r="AY193" s="210"/>
      <c r="AZ193" s="210"/>
      <c r="BA193" s="210"/>
      <c r="BB193" s="210"/>
      <c r="BC193" s="210"/>
      <c r="BD193" s="210"/>
      <c r="BE193" s="210"/>
      <c r="BF193" s="210"/>
      <c r="BG193" s="210"/>
      <c r="BH193" s="210"/>
      <c r="BI193" s="210"/>
      <c r="BJ193" s="210"/>
    </row>
    <row r="194" spans="1:62" ht="15" x14ac:dyDescent="0.2">
      <c r="A194" s="210"/>
      <c r="B194" s="210"/>
      <c r="C194" s="210"/>
      <c r="D194" s="210"/>
      <c r="E194" s="210"/>
      <c r="F194" s="210"/>
      <c r="G194" s="210"/>
      <c r="H194" s="210"/>
      <c r="I194" s="210"/>
      <c r="J194" s="210"/>
      <c r="K194" s="210"/>
      <c r="L194" s="210"/>
      <c r="M194" s="210"/>
      <c r="N194" s="210"/>
      <c r="O194" s="210"/>
      <c r="P194" s="210"/>
      <c r="Q194" s="210"/>
      <c r="R194" s="210"/>
      <c r="S194" s="210"/>
      <c r="T194" s="210"/>
      <c r="U194" s="210"/>
      <c r="V194" s="210"/>
      <c r="W194" s="210"/>
      <c r="X194" s="210"/>
      <c r="Y194" s="210"/>
      <c r="Z194" s="210"/>
      <c r="AA194" s="210"/>
      <c r="AB194" s="210"/>
      <c r="AC194" s="210"/>
      <c r="AD194" s="210"/>
      <c r="AE194" s="210"/>
      <c r="AF194" s="210"/>
      <c r="AG194" s="210"/>
      <c r="AH194" s="210"/>
      <c r="AI194" s="210"/>
      <c r="AJ194" s="210"/>
      <c r="AK194" s="210"/>
      <c r="AL194" s="210"/>
      <c r="AM194" s="210"/>
      <c r="AN194" s="210"/>
      <c r="AO194" s="210"/>
      <c r="AP194" s="210"/>
      <c r="AQ194" s="210"/>
      <c r="AR194" s="210"/>
      <c r="AS194" s="210"/>
      <c r="AT194" s="210"/>
      <c r="AU194" s="210"/>
      <c r="AV194" s="210"/>
      <c r="AW194" s="210"/>
      <c r="AX194" s="210"/>
      <c r="AY194" s="210"/>
      <c r="AZ194" s="210"/>
      <c r="BA194" s="210"/>
      <c r="BB194" s="210"/>
      <c r="BC194" s="210"/>
      <c r="BD194" s="210"/>
      <c r="BE194" s="210"/>
      <c r="BF194" s="210"/>
      <c r="BG194" s="210"/>
      <c r="BH194" s="210"/>
      <c r="BI194" s="210"/>
      <c r="BJ194" s="210"/>
    </row>
    <row r="195" spans="1:62" ht="15" x14ac:dyDescent="0.2">
      <c r="A195" s="210"/>
      <c r="B195" s="210"/>
      <c r="C195" s="210"/>
      <c r="D195" s="210"/>
      <c r="E195" s="210"/>
      <c r="F195" s="210"/>
      <c r="G195" s="210"/>
      <c r="H195" s="210"/>
      <c r="I195" s="210"/>
      <c r="J195" s="210"/>
      <c r="K195" s="210"/>
      <c r="L195" s="210"/>
      <c r="M195" s="210"/>
      <c r="N195" s="210"/>
      <c r="O195" s="210"/>
      <c r="P195" s="210"/>
      <c r="Q195" s="210"/>
      <c r="R195" s="210"/>
      <c r="S195" s="210"/>
      <c r="T195" s="210"/>
      <c r="U195" s="210"/>
      <c r="V195" s="210"/>
      <c r="W195" s="210"/>
      <c r="X195" s="210"/>
      <c r="Y195" s="210"/>
      <c r="Z195" s="210"/>
      <c r="AA195" s="210"/>
      <c r="AB195" s="210"/>
      <c r="AC195" s="210"/>
      <c r="AD195" s="210"/>
      <c r="AE195" s="210"/>
      <c r="AF195" s="210"/>
      <c r="AG195" s="210"/>
      <c r="AH195" s="210"/>
      <c r="AI195" s="210"/>
      <c r="AJ195" s="210"/>
      <c r="AK195" s="210"/>
      <c r="AL195" s="210"/>
      <c r="AM195" s="210"/>
      <c r="AN195" s="210"/>
      <c r="AO195" s="210"/>
      <c r="AP195" s="210"/>
      <c r="AQ195" s="210"/>
      <c r="AR195" s="210"/>
      <c r="AS195" s="210"/>
      <c r="AT195" s="210"/>
      <c r="AU195" s="210"/>
      <c r="AV195" s="210"/>
      <c r="AW195" s="210"/>
      <c r="AX195" s="210"/>
      <c r="AY195" s="210"/>
      <c r="AZ195" s="210"/>
      <c r="BA195" s="210"/>
      <c r="BB195" s="210"/>
      <c r="BC195" s="210"/>
      <c r="BD195" s="210"/>
      <c r="BE195" s="210"/>
      <c r="BF195" s="210"/>
      <c r="BG195" s="210"/>
      <c r="BH195" s="210"/>
      <c r="BI195" s="210"/>
      <c r="BJ195" s="210"/>
    </row>
    <row r="196" spans="1:62" ht="15" x14ac:dyDescent="0.2">
      <c r="A196" s="210"/>
      <c r="B196" s="210"/>
      <c r="C196" s="210"/>
      <c r="D196" s="210"/>
      <c r="E196" s="210"/>
      <c r="F196" s="210"/>
      <c r="G196" s="210"/>
      <c r="H196" s="210"/>
      <c r="I196" s="210"/>
      <c r="J196" s="210"/>
      <c r="K196" s="210"/>
      <c r="L196" s="210"/>
      <c r="M196" s="210"/>
      <c r="N196" s="210"/>
      <c r="O196" s="210"/>
      <c r="P196" s="210"/>
      <c r="Q196" s="210"/>
      <c r="R196" s="210"/>
      <c r="S196" s="210"/>
      <c r="T196" s="210"/>
      <c r="U196" s="210"/>
      <c r="V196" s="210"/>
      <c r="W196" s="210"/>
      <c r="X196" s="210"/>
      <c r="Y196" s="210"/>
      <c r="Z196" s="210"/>
      <c r="AA196" s="210"/>
      <c r="AB196" s="210"/>
      <c r="AC196" s="210"/>
      <c r="AD196" s="210"/>
      <c r="AE196" s="210"/>
      <c r="AF196" s="210"/>
      <c r="AG196" s="210"/>
      <c r="AH196" s="210"/>
      <c r="AI196" s="210"/>
      <c r="AJ196" s="210"/>
      <c r="AK196" s="210"/>
      <c r="AL196" s="210"/>
      <c r="AM196" s="210"/>
      <c r="AN196" s="210"/>
      <c r="AO196" s="210"/>
      <c r="AP196" s="210"/>
      <c r="AQ196" s="210"/>
      <c r="AR196" s="210"/>
      <c r="AS196" s="210"/>
      <c r="AT196" s="210"/>
      <c r="AU196" s="210"/>
      <c r="AV196" s="210"/>
      <c r="AW196" s="210"/>
      <c r="AX196" s="210"/>
      <c r="AY196" s="210"/>
      <c r="AZ196" s="210"/>
      <c r="BA196" s="210"/>
      <c r="BB196" s="210"/>
      <c r="BC196" s="210"/>
      <c r="BD196" s="210"/>
      <c r="BE196" s="210"/>
      <c r="BF196" s="210"/>
      <c r="BG196" s="210"/>
      <c r="BH196" s="210"/>
      <c r="BI196" s="210"/>
      <c r="BJ196" s="210"/>
    </row>
    <row r="197" spans="1:62" ht="15" x14ac:dyDescent="0.2">
      <c r="A197" s="210"/>
      <c r="B197" s="210"/>
      <c r="C197" s="210"/>
      <c r="D197" s="210"/>
      <c r="E197" s="210"/>
      <c r="F197" s="210"/>
      <c r="G197" s="210"/>
      <c r="H197" s="210"/>
      <c r="I197" s="210"/>
      <c r="J197" s="210"/>
      <c r="K197" s="210"/>
      <c r="L197" s="210"/>
      <c r="M197" s="210"/>
      <c r="N197" s="210"/>
      <c r="O197" s="210"/>
      <c r="P197" s="210"/>
      <c r="Q197" s="210"/>
      <c r="R197" s="210"/>
      <c r="S197" s="210"/>
      <c r="T197" s="210"/>
      <c r="U197" s="210"/>
      <c r="V197" s="210"/>
      <c r="W197" s="210"/>
      <c r="X197" s="210"/>
      <c r="Y197" s="210"/>
      <c r="Z197" s="210"/>
      <c r="AA197" s="210"/>
      <c r="AB197" s="210"/>
      <c r="AC197" s="210"/>
      <c r="AD197" s="210"/>
      <c r="AE197" s="210"/>
      <c r="AF197" s="210"/>
      <c r="AG197" s="210"/>
      <c r="AH197" s="210"/>
      <c r="AI197" s="210"/>
      <c r="AJ197" s="210"/>
      <c r="AK197" s="210"/>
      <c r="AL197" s="210"/>
      <c r="AM197" s="210"/>
      <c r="AN197" s="210"/>
      <c r="AO197" s="210"/>
      <c r="AP197" s="210"/>
      <c r="AQ197" s="210"/>
      <c r="AR197" s="210"/>
      <c r="AS197" s="210"/>
      <c r="AT197" s="210"/>
      <c r="AU197" s="210"/>
      <c r="AV197" s="210"/>
      <c r="AW197" s="210"/>
      <c r="AX197" s="210"/>
      <c r="AY197" s="210"/>
      <c r="AZ197" s="210"/>
      <c r="BA197" s="210"/>
      <c r="BB197" s="210"/>
      <c r="BC197" s="210"/>
      <c r="BD197" s="210"/>
      <c r="BE197" s="210"/>
      <c r="BF197" s="210"/>
      <c r="BG197" s="210"/>
      <c r="BH197" s="210"/>
      <c r="BI197" s="210"/>
      <c r="BJ197" s="210"/>
    </row>
    <row r="198" spans="1:62" ht="15" x14ac:dyDescent="0.2">
      <c r="A198" s="210"/>
      <c r="B198" s="210"/>
      <c r="C198" s="210"/>
      <c r="D198" s="210"/>
      <c r="E198" s="210"/>
      <c r="F198" s="210"/>
      <c r="G198" s="210"/>
      <c r="H198" s="210"/>
      <c r="I198" s="210"/>
      <c r="J198" s="210"/>
      <c r="K198" s="210"/>
      <c r="L198" s="210"/>
      <c r="M198" s="210"/>
      <c r="N198" s="210"/>
      <c r="O198" s="210"/>
      <c r="P198" s="210"/>
      <c r="Q198" s="210"/>
      <c r="R198" s="210"/>
      <c r="S198" s="210"/>
      <c r="T198" s="210"/>
      <c r="U198" s="210"/>
      <c r="V198" s="210"/>
      <c r="W198" s="210"/>
      <c r="X198" s="210"/>
      <c r="Y198" s="210"/>
      <c r="Z198" s="210"/>
      <c r="AA198" s="210"/>
      <c r="AB198" s="210"/>
      <c r="AC198" s="210"/>
      <c r="AD198" s="210"/>
      <c r="AE198" s="210"/>
      <c r="AF198" s="210"/>
      <c r="AG198" s="210"/>
      <c r="AH198" s="210"/>
      <c r="AI198" s="210"/>
      <c r="AJ198" s="210"/>
      <c r="AK198" s="210"/>
      <c r="AL198" s="210"/>
      <c r="AM198" s="210"/>
      <c r="AN198" s="210"/>
      <c r="AO198" s="210"/>
      <c r="AP198" s="210"/>
      <c r="AQ198" s="210"/>
      <c r="AR198" s="210"/>
      <c r="AS198" s="210"/>
      <c r="AT198" s="210"/>
      <c r="AU198" s="210"/>
      <c r="AV198" s="210"/>
      <c r="AW198" s="210"/>
      <c r="AX198" s="210"/>
      <c r="AY198" s="210"/>
      <c r="AZ198" s="210"/>
      <c r="BA198" s="210"/>
      <c r="BB198" s="210"/>
      <c r="BC198" s="210"/>
      <c r="BD198" s="210"/>
      <c r="BE198" s="210"/>
      <c r="BF198" s="210"/>
      <c r="BG198" s="210"/>
      <c r="BH198" s="210"/>
      <c r="BI198" s="210"/>
      <c r="BJ198" s="210"/>
    </row>
    <row r="199" spans="1:62" ht="15" x14ac:dyDescent="0.2">
      <c r="A199" s="210"/>
      <c r="B199" s="210"/>
      <c r="C199" s="210"/>
      <c r="D199" s="210"/>
      <c r="E199" s="210"/>
      <c r="F199" s="210"/>
      <c r="G199" s="210"/>
      <c r="H199" s="210"/>
      <c r="I199" s="210"/>
      <c r="J199" s="210"/>
      <c r="K199" s="210"/>
      <c r="L199" s="210"/>
      <c r="M199" s="210"/>
      <c r="N199" s="210"/>
      <c r="O199" s="210"/>
      <c r="P199" s="210"/>
      <c r="Q199" s="210"/>
      <c r="R199" s="210"/>
      <c r="S199" s="210"/>
      <c r="T199" s="210"/>
      <c r="U199" s="210"/>
      <c r="V199" s="210"/>
      <c r="W199" s="210"/>
      <c r="X199" s="210"/>
      <c r="Y199" s="210"/>
      <c r="Z199" s="210"/>
      <c r="AA199" s="210"/>
      <c r="AB199" s="210"/>
      <c r="AC199" s="210"/>
      <c r="AD199" s="210"/>
      <c r="AE199" s="210"/>
      <c r="AF199" s="210"/>
      <c r="AG199" s="210"/>
      <c r="AH199" s="210"/>
      <c r="AI199" s="210"/>
      <c r="AJ199" s="210"/>
      <c r="AK199" s="210"/>
      <c r="AL199" s="210"/>
      <c r="AM199" s="210"/>
      <c r="AN199" s="210"/>
      <c r="AO199" s="210"/>
      <c r="AP199" s="210"/>
      <c r="AQ199" s="210"/>
      <c r="AR199" s="210"/>
      <c r="AS199" s="210"/>
      <c r="AT199" s="210"/>
      <c r="AU199" s="210"/>
      <c r="AV199" s="210"/>
      <c r="AW199" s="210"/>
      <c r="AX199" s="210"/>
      <c r="AY199" s="210"/>
      <c r="AZ199" s="210"/>
      <c r="BA199" s="210"/>
      <c r="BB199" s="210"/>
      <c r="BC199" s="210"/>
      <c r="BD199" s="210"/>
      <c r="BE199" s="210"/>
      <c r="BF199" s="210"/>
      <c r="BG199" s="210"/>
      <c r="BH199" s="210"/>
      <c r="BI199" s="210"/>
      <c r="BJ199" s="210"/>
    </row>
    <row r="200" spans="1:62" ht="15" x14ac:dyDescent="0.2">
      <c r="A200" s="210"/>
      <c r="B200" s="210"/>
      <c r="C200" s="210"/>
      <c r="D200" s="210"/>
      <c r="E200" s="210"/>
      <c r="F200" s="210"/>
      <c r="G200" s="210"/>
      <c r="H200" s="210"/>
      <c r="I200" s="210"/>
      <c r="J200" s="210"/>
      <c r="K200" s="210"/>
      <c r="L200" s="210"/>
      <c r="M200" s="210"/>
      <c r="N200" s="210"/>
      <c r="O200" s="210"/>
      <c r="P200" s="210"/>
      <c r="Q200" s="210"/>
      <c r="R200" s="210"/>
      <c r="S200" s="210"/>
      <c r="T200" s="210"/>
      <c r="U200" s="210"/>
      <c r="V200" s="210"/>
      <c r="W200" s="210"/>
      <c r="X200" s="210"/>
      <c r="Y200" s="210"/>
      <c r="Z200" s="210"/>
      <c r="AA200" s="210"/>
      <c r="AB200" s="210"/>
      <c r="AC200" s="210"/>
      <c r="AD200" s="210"/>
      <c r="AE200" s="210"/>
      <c r="AF200" s="210"/>
      <c r="AG200" s="210"/>
      <c r="AH200" s="210"/>
      <c r="AI200" s="210"/>
      <c r="AJ200" s="210"/>
      <c r="AK200" s="210"/>
      <c r="AL200" s="210"/>
      <c r="AM200" s="210"/>
      <c r="AN200" s="210"/>
      <c r="AO200" s="210"/>
      <c r="AP200" s="210"/>
      <c r="AQ200" s="210"/>
      <c r="AR200" s="210"/>
      <c r="AS200" s="210"/>
      <c r="AT200" s="210"/>
      <c r="AU200" s="210"/>
      <c r="AV200" s="210"/>
      <c r="AW200" s="210"/>
      <c r="AX200" s="210"/>
      <c r="AY200" s="210"/>
      <c r="AZ200" s="210"/>
      <c r="BA200" s="210"/>
      <c r="BB200" s="210"/>
      <c r="BC200" s="210"/>
      <c r="BD200" s="210"/>
      <c r="BE200" s="210"/>
      <c r="BF200" s="210"/>
      <c r="BG200" s="210"/>
      <c r="BH200" s="210"/>
      <c r="BI200" s="210"/>
      <c r="BJ200" s="210"/>
    </row>
    <row r="201" spans="1:62" ht="15" x14ac:dyDescent="0.2">
      <c r="A201" s="210"/>
      <c r="B201" s="210"/>
      <c r="C201" s="210"/>
      <c r="D201" s="210"/>
      <c r="E201" s="210"/>
      <c r="F201" s="210"/>
      <c r="G201" s="210"/>
      <c r="H201" s="210"/>
      <c r="I201" s="210"/>
      <c r="J201" s="210"/>
      <c r="K201" s="210"/>
      <c r="L201" s="210"/>
      <c r="M201" s="210"/>
      <c r="N201" s="210"/>
      <c r="O201" s="210"/>
      <c r="P201" s="210"/>
      <c r="Q201" s="210"/>
      <c r="R201" s="210"/>
      <c r="S201" s="210"/>
      <c r="T201" s="210"/>
      <c r="U201" s="210"/>
      <c r="V201" s="210"/>
      <c r="W201" s="210"/>
      <c r="X201" s="210"/>
      <c r="Y201" s="210"/>
      <c r="Z201" s="210"/>
      <c r="AA201" s="210"/>
      <c r="AB201" s="210"/>
      <c r="AC201" s="210"/>
      <c r="AD201" s="210"/>
      <c r="AE201" s="210"/>
      <c r="AF201" s="210"/>
      <c r="AG201" s="210"/>
      <c r="AH201" s="210"/>
      <c r="AI201" s="210"/>
      <c r="AJ201" s="210"/>
      <c r="AK201" s="210"/>
      <c r="AL201" s="210"/>
      <c r="AM201" s="210"/>
      <c r="AN201" s="210"/>
      <c r="AO201" s="210"/>
      <c r="AP201" s="210"/>
      <c r="AQ201" s="210"/>
      <c r="AR201" s="210"/>
      <c r="AS201" s="210"/>
      <c r="AT201" s="210"/>
      <c r="AU201" s="210"/>
      <c r="AV201" s="210"/>
      <c r="AW201" s="210"/>
      <c r="AX201" s="210"/>
      <c r="AY201" s="210"/>
      <c r="AZ201" s="210"/>
      <c r="BA201" s="210"/>
      <c r="BB201" s="210"/>
      <c r="BC201" s="210"/>
      <c r="BD201" s="210"/>
      <c r="BE201" s="210"/>
      <c r="BF201" s="210"/>
      <c r="BG201" s="210"/>
      <c r="BH201" s="210"/>
      <c r="BI201" s="210"/>
      <c r="BJ201" s="210"/>
    </row>
    <row r="202" spans="1:62" ht="15" x14ac:dyDescent="0.2">
      <c r="A202" s="210"/>
      <c r="B202" s="210"/>
      <c r="C202" s="210"/>
      <c r="D202" s="210"/>
      <c r="E202" s="210"/>
      <c r="F202" s="210"/>
      <c r="G202" s="210"/>
      <c r="H202" s="210"/>
      <c r="I202" s="210"/>
      <c r="J202" s="210"/>
      <c r="K202" s="210"/>
      <c r="L202" s="210"/>
      <c r="M202" s="210"/>
      <c r="N202" s="210"/>
      <c r="O202" s="210"/>
      <c r="P202" s="210"/>
      <c r="Q202" s="210"/>
      <c r="R202" s="210"/>
      <c r="S202" s="210"/>
      <c r="T202" s="210"/>
      <c r="U202" s="210"/>
      <c r="V202" s="210"/>
      <c r="W202" s="210"/>
      <c r="X202" s="210"/>
      <c r="Y202" s="210"/>
      <c r="Z202" s="210"/>
      <c r="AA202" s="210"/>
      <c r="AB202" s="210"/>
      <c r="AC202" s="210"/>
      <c r="AD202" s="210"/>
      <c r="AE202" s="210"/>
      <c r="AF202" s="210"/>
      <c r="AG202" s="210"/>
      <c r="AH202" s="210"/>
      <c r="AI202" s="210"/>
      <c r="AJ202" s="210"/>
      <c r="AK202" s="210"/>
      <c r="AL202" s="210"/>
      <c r="AM202" s="210"/>
      <c r="AN202" s="210"/>
      <c r="AO202" s="210"/>
      <c r="AP202" s="210"/>
      <c r="AQ202" s="210"/>
      <c r="AR202" s="210"/>
      <c r="AS202" s="210"/>
      <c r="AT202" s="210"/>
      <c r="AU202" s="210"/>
      <c r="AV202" s="210"/>
      <c r="AW202" s="210"/>
      <c r="AX202" s="210"/>
      <c r="AY202" s="210"/>
      <c r="AZ202" s="210"/>
      <c r="BA202" s="210"/>
      <c r="BB202" s="210"/>
      <c r="BC202" s="210"/>
      <c r="BD202" s="210"/>
      <c r="BE202" s="210"/>
      <c r="BF202" s="210"/>
      <c r="BG202" s="210"/>
      <c r="BH202" s="210"/>
      <c r="BI202" s="210"/>
      <c r="BJ202" s="210"/>
    </row>
    <row r="203" spans="1:62" ht="15" x14ac:dyDescent="0.2">
      <c r="A203" s="210"/>
      <c r="B203" s="210"/>
      <c r="C203" s="210"/>
      <c r="D203" s="210"/>
      <c r="E203" s="210"/>
      <c r="F203" s="210"/>
      <c r="G203" s="210"/>
      <c r="H203" s="210"/>
      <c r="I203" s="210"/>
      <c r="J203" s="210"/>
      <c r="K203" s="210"/>
      <c r="L203" s="210"/>
      <c r="M203" s="210"/>
      <c r="N203" s="210"/>
      <c r="O203" s="210"/>
      <c r="P203" s="210"/>
      <c r="Q203" s="210"/>
      <c r="R203" s="210"/>
      <c r="S203" s="210"/>
      <c r="T203" s="210"/>
      <c r="U203" s="210"/>
      <c r="V203" s="210"/>
      <c r="W203" s="210"/>
      <c r="X203" s="210"/>
      <c r="Y203" s="210"/>
      <c r="Z203" s="210"/>
      <c r="AA203" s="210"/>
      <c r="AB203" s="210"/>
      <c r="AC203" s="210"/>
      <c r="AD203" s="210"/>
      <c r="AE203" s="210"/>
      <c r="AF203" s="210"/>
      <c r="AG203" s="210"/>
      <c r="AH203" s="210"/>
      <c r="AI203" s="210"/>
      <c r="AJ203" s="210"/>
      <c r="AK203" s="210"/>
      <c r="AL203" s="210"/>
      <c r="AM203" s="210"/>
      <c r="AN203" s="210"/>
      <c r="AO203" s="210"/>
      <c r="AP203" s="210"/>
      <c r="AQ203" s="210"/>
      <c r="AR203" s="210"/>
      <c r="AS203" s="210"/>
      <c r="AT203" s="210"/>
      <c r="AU203" s="210"/>
      <c r="AV203" s="210"/>
      <c r="AW203" s="210"/>
      <c r="AX203" s="210"/>
      <c r="AY203" s="210"/>
      <c r="AZ203" s="210"/>
      <c r="BA203" s="210"/>
      <c r="BB203" s="210"/>
      <c r="BC203" s="210"/>
      <c r="BD203" s="210"/>
      <c r="BE203" s="210"/>
      <c r="BF203" s="210"/>
      <c r="BG203" s="210"/>
      <c r="BH203" s="210"/>
      <c r="BI203" s="210"/>
      <c r="BJ203" s="210"/>
    </row>
    <row r="204" spans="1:62" ht="15" x14ac:dyDescent="0.2">
      <c r="A204" s="210"/>
      <c r="B204" s="210"/>
      <c r="C204" s="210"/>
      <c r="D204" s="210"/>
      <c r="E204" s="210"/>
      <c r="F204" s="210"/>
      <c r="G204" s="210"/>
      <c r="H204" s="210"/>
      <c r="I204" s="210"/>
      <c r="J204" s="210"/>
      <c r="K204" s="210"/>
      <c r="L204" s="210"/>
      <c r="M204" s="210"/>
      <c r="N204" s="210"/>
      <c r="O204" s="210"/>
      <c r="P204" s="210"/>
      <c r="Q204" s="210"/>
      <c r="R204" s="210"/>
      <c r="S204" s="210"/>
      <c r="T204" s="210"/>
      <c r="U204" s="210"/>
      <c r="V204" s="210"/>
      <c r="W204" s="210"/>
      <c r="X204" s="210"/>
      <c r="Y204" s="210"/>
      <c r="Z204" s="210"/>
      <c r="AA204" s="210"/>
      <c r="AB204" s="210"/>
      <c r="AC204" s="210"/>
      <c r="AD204" s="210"/>
      <c r="AE204" s="210"/>
      <c r="AF204" s="210"/>
      <c r="AG204" s="210"/>
      <c r="AH204" s="210"/>
      <c r="AI204" s="210"/>
      <c r="AJ204" s="210"/>
      <c r="AK204" s="210"/>
      <c r="AL204" s="210"/>
      <c r="AM204" s="210"/>
      <c r="AN204" s="210"/>
      <c r="AO204" s="210"/>
      <c r="AP204" s="210"/>
      <c r="AQ204" s="210"/>
      <c r="AR204" s="210"/>
      <c r="AS204" s="210"/>
      <c r="AT204" s="210"/>
      <c r="AU204" s="210"/>
      <c r="AV204" s="210"/>
      <c r="AW204" s="210"/>
      <c r="AX204" s="210"/>
      <c r="AY204" s="210"/>
      <c r="AZ204" s="210"/>
      <c r="BA204" s="210"/>
      <c r="BB204" s="210"/>
      <c r="BC204" s="210"/>
      <c r="BD204" s="210"/>
      <c r="BE204" s="210"/>
      <c r="BF204" s="210"/>
      <c r="BG204" s="210"/>
      <c r="BH204" s="210"/>
      <c r="BI204" s="210"/>
      <c r="BJ204" s="210"/>
    </row>
    <row r="205" spans="1:62" ht="15" x14ac:dyDescent="0.2">
      <c r="A205" s="210"/>
      <c r="B205" s="210"/>
      <c r="C205" s="210"/>
      <c r="D205" s="210"/>
      <c r="E205" s="210"/>
      <c r="F205" s="210"/>
      <c r="G205" s="210"/>
      <c r="H205" s="210"/>
      <c r="I205" s="210"/>
      <c r="J205" s="210"/>
      <c r="K205" s="210"/>
      <c r="L205" s="210"/>
      <c r="M205" s="210"/>
      <c r="N205" s="210"/>
      <c r="O205" s="210"/>
      <c r="P205" s="210"/>
      <c r="Q205" s="210"/>
      <c r="R205" s="210"/>
      <c r="S205" s="210"/>
      <c r="T205" s="210"/>
      <c r="U205" s="210"/>
      <c r="V205" s="210"/>
      <c r="W205" s="210"/>
      <c r="X205" s="210"/>
      <c r="Y205" s="210"/>
      <c r="Z205" s="210"/>
      <c r="AA205" s="210"/>
      <c r="AB205" s="210"/>
      <c r="AC205" s="210"/>
      <c r="AD205" s="210"/>
      <c r="AE205" s="210"/>
      <c r="AF205" s="210"/>
      <c r="AG205" s="210"/>
      <c r="AH205" s="210"/>
      <c r="AI205" s="210"/>
      <c r="AJ205" s="210"/>
      <c r="AK205" s="210"/>
      <c r="AL205" s="210"/>
      <c r="AM205" s="210"/>
      <c r="AN205" s="210"/>
      <c r="AO205" s="210"/>
      <c r="AP205" s="210"/>
      <c r="AQ205" s="210"/>
      <c r="AR205" s="210"/>
      <c r="AS205" s="210"/>
      <c r="AT205" s="210"/>
      <c r="AU205" s="210"/>
      <c r="AV205" s="210"/>
      <c r="AW205" s="210"/>
      <c r="AX205" s="210"/>
      <c r="AY205" s="210"/>
      <c r="AZ205" s="210"/>
      <c r="BA205" s="210"/>
      <c r="BB205" s="210"/>
      <c r="BC205" s="210"/>
      <c r="BD205" s="210"/>
      <c r="BE205" s="210"/>
      <c r="BF205" s="210"/>
      <c r="BG205" s="210"/>
      <c r="BH205" s="210"/>
      <c r="BI205" s="210"/>
      <c r="BJ205" s="210"/>
    </row>
    <row r="206" spans="1:62" ht="15" x14ac:dyDescent="0.2">
      <c r="A206" s="210"/>
      <c r="B206" s="210"/>
      <c r="C206" s="210"/>
      <c r="D206" s="210"/>
      <c r="E206" s="210"/>
      <c r="F206" s="210"/>
      <c r="G206" s="210"/>
      <c r="H206" s="210"/>
      <c r="I206" s="210"/>
      <c r="J206" s="210"/>
      <c r="K206" s="210"/>
      <c r="L206" s="210"/>
      <c r="M206" s="210"/>
      <c r="N206" s="210"/>
      <c r="O206" s="210"/>
      <c r="P206" s="210"/>
      <c r="Q206" s="210"/>
      <c r="R206" s="210"/>
      <c r="S206" s="210"/>
      <c r="T206" s="210"/>
      <c r="U206" s="210"/>
      <c r="V206" s="210"/>
      <c r="W206" s="210"/>
      <c r="X206" s="210"/>
      <c r="Y206" s="210"/>
      <c r="Z206" s="210"/>
      <c r="AA206" s="210"/>
      <c r="AB206" s="210"/>
      <c r="AC206" s="210"/>
      <c r="AD206" s="210"/>
      <c r="AE206" s="210"/>
      <c r="AF206" s="210"/>
      <c r="AG206" s="210"/>
      <c r="AH206" s="210"/>
      <c r="AI206" s="210"/>
      <c r="AJ206" s="210"/>
      <c r="AK206" s="210"/>
      <c r="AL206" s="210"/>
      <c r="AM206" s="210"/>
      <c r="AN206" s="210"/>
      <c r="AO206" s="210"/>
      <c r="AP206" s="210"/>
      <c r="AQ206" s="210"/>
      <c r="AR206" s="210"/>
      <c r="AS206" s="210"/>
      <c r="AT206" s="210"/>
      <c r="AU206" s="210"/>
      <c r="AV206" s="210"/>
      <c r="AW206" s="210"/>
      <c r="AX206" s="210"/>
      <c r="AY206" s="210"/>
      <c r="AZ206" s="210"/>
      <c r="BA206" s="210"/>
      <c r="BB206" s="210"/>
      <c r="BC206" s="210"/>
      <c r="BD206" s="210"/>
      <c r="BE206" s="210"/>
      <c r="BF206" s="210"/>
      <c r="BG206" s="210"/>
      <c r="BH206" s="210"/>
      <c r="BI206" s="210"/>
      <c r="BJ206" s="210"/>
    </row>
    <row r="207" spans="1:62" ht="15" x14ac:dyDescent="0.2">
      <c r="A207" s="210"/>
      <c r="B207" s="210"/>
      <c r="C207" s="210"/>
      <c r="D207" s="210"/>
      <c r="E207" s="210"/>
      <c r="F207" s="210"/>
      <c r="G207" s="210"/>
      <c r="H207" s="210"/>
      <c r="I207" s="210"/>
      <c r="J207" s="210"/>
      <c r="K207" s="210"/>
      <c r="L207" s="210"/>
      <c r="M207" s="210"/>
      <c r="N207" s="210"/>
      <c r="O207" s="210"/>
      <c r="P207" s="210"/>
      <c r="Q207" s="210"/>
      <c r="R207" s="210"/>
      <c r="S207" s="210"/>
      <c r="T207" s="210"/>
      <c r="U207" s="210"/>
      <c r="V207" s="210"/>
      <c r="W207" s="210"/>
      <c r="X207" s="210"/>
      <c r="Y207" s="210"/>
      <c r="Z207" s="210"/>
      <c r="AA207" s="210"/>
      <c r="AB207" s="210"/>
      <c r="AC207" s="210"/>
      <c r="AD207" s="210"/>
      <c r="AE207" s="210"/>
      <c r="AF207" s="210"/>
      <c r="AG207" s="210"/>
      <c r="AH207" s="210"/>
      <c r="AI207" s="210"/>
      <c r="AJ207" s="210"/>
      <c r="AK207" s="210"/>
      <c r="AL207" s="210"/>
      <c r="AM207" s="210"/>
      <c r="AN207" s="210"/>
      <c r="AO207" s="210"/>
      <c r="AP207" s="210"/>
      <c r="AQ207" s="210"/>
      <c r="AR207" s="210"/>
      <c r="AS207" s="210"/>
      <c r="AT207" s="210"/>
      <c r="AU207" s="210"/>
      <c r="AV207" s="210"/>
      <c r="AW207" s="210"/>
      <c r="AX207" s="210"/>
      <c r="AY207" s="210"/>
      <c r="AZ207" s="210"/>
      <c r="BA207" s="210"/>
      <c r="BB207" s="210"/>
      <c r="BC207" s="210"/>
      <c r="BD207" s="210"/>
      <c r="BE207" s="210"/>
      <c r="BF207" s="210"/>
      <c r="BG207" s="210"/>
      <c r="BH207" s="210"/>
      <c r="BI207" s="210"/>
      <c r="BJ207" s="210"/>
    </row>
    <row r="208" spans="1:62" ht="15" x14ac:dyDescent="0.2">
      <c r="A208" s="210"/>
      <c r="B208" s="210"/>
      <c r="C208" s="210"/>
      <c r="D208" s="210"/>
      <c r="E208" s="210"/>
      <c r="F208" s="210"/>
      <c r="G208" s="210"/>
      <c r="H208" s="210"/>
      <c r="I208" s="210"/>
      <c r="J208" s="210"/>
      <c r="K208" s="210"/>
      <c r="L208" s="210"/>
      <c r="M208" s="210"/>
      <c r="N208" s="210"/>
      <c r="O208" s="210"/>
      <c r="P208" s="210"/>
      <c r="Q208" s="210"/>
      <c r="R208" s="210"/>
      <c r="S208" s="210"/>
      <c r="T208" s="210"/>
      <c r="U208" s="210"/>
      <c r="V208" s="210"/>
      <c r="W208" s="210"/>
      <c r="X208" s="210"/>
      <c r="Y208" s="210"/>
      <c r="Z208" s="210"/>
      <c r="AA208" s="210"/>
      <c r="AB208" s="210"/>
      <c r="AC208" s="210"/>
      <c r="AD208" s="210"/>
      <c r="AE208" s="210"/>
      <c r="AF208" s="210"/>
      <c r="AG208" s="210"/>
      <c r="AH208" s="210"/>
      <c r="AI208" s="210"/>
      <c r="AJ208" s="210"/>
      <c r="AK208" s="210"/>
      <c r="AL208" s="210"/>
      <c r="AM208" s="210"/>
      <c r="AN208" s="210"/>
      <c r="AO208" s="210"/>
      <c r="AP208" s="210"/>
      <c r="AQ208" s="210"/>
      <c r="AR208" s="210"/>
      <c r="AS208" s="210"/>
      <c r="AT208" s="210"/>
      <c r="AU208" s="210"/>
      <c r="AV208" s="210"/>
      <c r="AW208" s="210"/>
      <c r="AX208" s="210"/>
      <c r="AY208" s="210"/>
      <c r="AZ208" s="210"/>
      <c r="BA208" s="210"/>
      <c r="BB208" s="210"/>
      <c r="BC208" s="210"/>
      <c r="BD208" s="210"/>
      <c r="BE208" s="210"/>
      <c r="BF208" s="210"/>
      <c r="BG208" s="210"/>
      <c r="BH208" s="210"/>
      <c r="BI208" s="210"/>
      <c r="BJ208" s="210"/>
    </row>
    <row r="209" spans="1:62" ht="15" x14ac:dyDescent="0.2">
      <c r="A209" s="210"/>
      <c r="B209" s="210"/>
      <c r="C209" s="210"/>
      <c r="D209" s="210"/>
      <c r="E209" s="210"/>
      <c r="F209" s="210"/>
      <c r="G209" s="210"/>
      <c r="H209" s="210"/>
      <c r="I209" s="210"/>
      <c r="J209" s="210"/>
      <c r="K209" s="210"/>
      <c r="L209" s="210"/>
      <c r="M209" s="210"/>
      <c r="N209" s="210"/>
      <c r="O209" s="210"/>
      <c r="P209" s="210"/>
      <c r="Q209" s="210"/>
      <c r="R209" s="210"/>
      <c r="S209" s="210"/>
      <c r="T209" s="210"/>
      <c r="U209" s="210"/>
      <c r="V209" s="210"/>
      <c r="W209" s="210"/>
      <c r="X209" s="210"/>
      <c r="Y209" s="210"/>
      <c r="Z209" s="210"/>
      <c r="AA209" s="210"/>
      <c r="AB209" s="210"/>
      <c r="AC209" s="210"/>
      <c r="AD209" s="210"/>
      <c r="AE209" s="210"/>
      <c r="AF209" s="210"/>
      <c r="AG209" s="210"/>
      <c r="AH209" s="210"/>
      <c r="AI209" s="210"/>
      <c r="AJ209" s="210"/>
      <c r="AK209" s="210"/>
      <c r="AL209" s="210"/>
      <c r="AM209" s="210"/>
      <c r="AN209" s="210"/>
      <c r="AO209" s="210"/>
      <c r="AP209" s="210"/>
      <c r="AQ209" s="210"/>
      <c r="AR209" s="210"/>
      <c r="AS209" s="210"/>
      <c r="AT209" s="210"/>
      <c r="AU209" s="210"/>
      <c r="AV209" s="210"/>
      <c r="AW209" s="210"/>
      <c r="AX209" s="210"/>
      <c r="AY209" s="210"/>
      <c r="AZ209" s="210"/>
      <c r="BA209" s="210"/>
      <c r="BB209" s="210"/>
      <c r="BC209" s="210"/>
      <c r="BD209" s="210"/>
      <c r="BE209" s="210"/>
      <c r="BF209" s="210"/>
      <c r="BG209" s="210"/>
      <c r="BH209" s="210"/>
      <c r="BI209" s="210"/>
      <c r="BJ209" s="210"/>
    </row>
    <row r="210" spans="1:62" ht="15" x14ac:dyDescent="0.2">
      <c r="A210" s="210"/>
      <c r="B210" s="210"/>
      <c r="C210" s="210"/>
      <c r="D210" s="210"/>
      <c r="E210" s="210"/>
      <c r="F210" s="210"/>
      <c r="G210" s="210"/>
      <c r="H210" s="210"/>
      <c r="I210" s="210"/>
      <c r="J210" s="210"/>
      <c r="K210" s="210"/>
      <c r="L210" s="210"/>
      <c r="M210" s="210"/>
      <c r="N210" s="210"/>
      <c r="O210" s="210"/>
      <c r="P210" s="210"/>
      <c r="Q210" s="210"/>
      <c r="R210" s="210"/>
      <c r="S210" s="210"/>
      <c r="T210" s="210"/>
      <c r="U210" s="210"/>
      <c r="V210" s="210"/>
      <c r="W210" s="210"/>
      <c r="X210" s="210"/>
      <c r="Y210" s="210"/>
      <c r="Z210" s="210"/>
      <c r="AA210" s="210"/>
      <c r="AB210" s="210"/>
      <c r="AC210" s="210"/>
      <c r="AD210" s="210"/>
      <c r="AE210" s="210"/>
      <c r="AF210" s="210"/>
      <c r="AG210" s="210"/>
      <c r="AH210" s="210"/>
      <c r="AI210" s="210"/>
      <c r="AJ210" s="210"/>
      <c r="AK210" s="210"/>
      <c r="AL210" s="210"/>
      <c r="AM210" s="210"/>
      <c r="AN210" s="210"/>
      <c r="AO210" s="210"/>
      <c r="AP210" s="210"/>
      <c r="AQ210" s="210"/>
      <c r="AR210" s="210"/>
      <c r="AS210" s="210"/>
      <c r="AT210" s="210"/>
      <c r="AU210" s="210"/>
      <c r="AV210" s="210"/>
      <c r="AW210" s="210"/>
      <c r="AX210" s="210"/>
      <c r="AY210" s="210"/>
      <c r="AZ210" s="210"/>
      <c r="BA210" s="210"/>
      <c r="BB210" s="210"/>
      <c r="BC210" s="210"/>
      <c r="BD210" s="210"/>
      <c r="BE210" s="210"/>
      <c r="BF210" s="210"/>
      <c r="BG210" s="210"/>
      <c r="BH210" s="210"/>
      <c r="BI210" s="210"/>
      <c r="BJ210" s="210"/>
    </row>
    <row r="211" spans="1:62" ht="15" x14ac:dyDescent="0.2">
      <c r="A211" s="210"/>
      <c r="B211" s="210"/>
      <c r="C211" s="210"/>
      <c r="D211" s="210"/>
      <c r="E211" s="210"/>
      <c r="F211" s="210"/>
      <c r="G211" s="210"/>
      <c r="H211" s="210"/>
      <c r="I211" s="210"/>
      <c r="J211" s="210"/>
      <c r="K211" s="210"/>
      <c r="L211" s="210"/>
      <c r="M211" s="210"/>
      <c r="N211" s="210"/>
      <c r="O211" s="210"/>
      <c r="P211" s="210"/>
      <c r="Q211" s="210"/>
      <c r="R211" s="210"/>
      <c r="S211" s="210"/>
      <c r="T211" s="210"/>
      <c r="U211" s="210"/>
      <c r="V211" s="210"/>
      <c r="W211" s="210"/>
      <c r="X211" s="210"/>
      <c r="Y211" s="210"/>
      <c r="Z211" s="210"/>
      <c r="AA211" s="210"/>
      <c r="AB211" s="210"/>
      <c r="AC211" s="210"/>
      <c r="AD211" s="210"/>
      <c r="AE211" s="210"/>
      <c r="AF211" s="210"/>
      <c r="AG211" s="210"/>
      <c r="AH211" s="210"/>
      <c r="AI211" s="210"/>
      <c r="AJ211" s="210"/>
      <c r="AK211" s="210"/>
      <c r="AL211" s="210"/>
      <c r="AM211" s="210"/>
      <c r="AN211" s="210"/>
      <c r="AO211" s="210"/>
      <c r="AP211" s="210"/>
      <c r="AQ211" s="210"/>
      <c r="AR211" s="210"/>
      <c r="AS211" s="210"/>
      <c r="AT211" s="210"/>
      <c r="AU211" s="210"/>
      <c r="AV211" s="210"/>
      <c r="AW211" s="210"/>
      <c r="AX211" s="210"/>
      <c r="AY211" s="210"/>
      <c r="AZ211" s="210"/>
      <c r="BA211" s="210"/>
      <c r="BB211" s="210"/>
      <c r="BC211" s="210"/>
      <c r="BD211" s="210"/>
      <c r="BE211" s="210"/>
      <c r="BF211" s="210"/>
      <c r="BG211" s="210"/>
      <c r="BH211" s="210"/>
      <c r="BI211" s="210"/>
      <c r="BJ211" s="210"/>
    </row>
    <row r="212" spans="1:62" ht="15" x14ac:dyDescent="0.2">
      <c r="A212" s="210"/>
      <c r="B212" s="210"/>
      <c r="C212" s="210"/>
      <c r="D212" s="210"/>
      <c r="E212" s="210"/>
      <c r="F212" s="210"/>
      <c r="G212" s="210"/>
      <c r="H212" s="210"/>
      <c r="I212" s="210"/>
      <c r="J212" s="210"/>
      <c r="K212" s="210"/>
      <c r="L212" s="210"/>
      <c r="M212" s="210"/>
      <c r="N212" s="210"/>
      <c r="O212" s="210"/>
      <c r="P212" s="210"/>
      <c r="Q212" s="210"/>
      <c r="R212" s="210"/>
      <c r="S212" s="210"/>
      <c r="T212" s="210"/>
      <c r="U212" s="210"/>
      <c r="V212" s="210"/>
      <c r="W212" s="210"/>
      <c r="X212" s="210"/>
      <c r="Y212" s="210"/>
      <c r="Z212" s="210"/>
      <c r="AA212" s="210"/>
      <c r="AB212" s="210"/>
      <c r="AC212" s="210"/>
      <c r="AD212" s="210"/>
      <c r="AE212" s="210"/>
      <c r="AF212" s="210"/>
      <c r="AG212" s="210"/>
      <c r="AH212" s="210"/>
      <c r="AI212" s="210"/>
      <c r="AJ212" s="210"/>
      <c r="AK212" s="210"/>
      <c r="AL212" s="210"/>
      <c r="AM212" s="210"/>
      <c r="AN212" s="210"/>
      <c r="AO212" s="210"/>
      <c r="AP212" s="210"/>
      <c r="AQ212" s="210"/>
      <c r="AR212" s="210"/>
      <c r="AS212" s="210"/>
      <c r="AT212" s="210"/>
      <c r="AU212" s="210"/>
      <c r="AV212" s="210"/>
      <c r="AW212" s="210"/>
      <c r="AX212" s="210"/>
      <c r="AY212" s="210"/>
      <c r="AZ212" s="210"/>
      <c r="BA212" s="210"/>
      <c r="BB212" s="210"/>
      <c r="BC212" s="210"/>
      <c r="BD212" s="210"/>
      <c r="BE212" s="210"/>
      <c r="BF212" s="210"/>
      <c r="BG212" s="210"/>
      <c r="BH212" s="210"/>
      <c r="BI212" s="210"/>
      <c r="BJ212" s="210"/>
    </row>
    <row r="213" spans="1:62" ht="15" x14ac:dyDescent="0.2">
      <c r="A213" s="210"/>
      <c r="B213" s="210"/>
      <c r="C213" s="210"/>
      <c r="D213" s="210"/>
      <c r="E213" s="210"/>
      <c r="F213" s="210"/>
      <c r="G213" s="210"/>
      <c r="H213" s="210"/>
      <c r="I213" s="210"/>
      <c r="J213" s="210"/>
      <c r="K213" s="210"/>
      <c r="L213" s="210"/>
      <c r="M213" s="210"/>
      <c r="N213" s="210"/>
      <c r="O213" s="210"/>
      <c r="P213" s="210"/>
      <c r="Q213" s="210"/>
      <c r="R213" s="210"/>
      <c r="S213" s="210"/>
      <c r="T213" s="210"/>
      <c r="U213" s="210"/>
      <c r="V213" s="210"/>
      <c r="W213" s="210"/>
      <c r="X213" s="210"/>
      <c r="Y213" s="210"/>
      <c r="Z213" s="210"/>
      <c r="AA213" s="210"/>
      <c r="AB213" s="210"/>
      <c r="AC213" s="210"/>
      <c r="AD213" s="210"/>
      <c r="AE213" s="210"/>
      <c r="AF213" s="210"/>
      <c r="AG213" s="210"/>
      <c r="AH213" s="210"/>
      <c r="AI213" s="210"/>
      <c r="AJ213" s="210"/>
      <c r="AK213" s="210"/>
      <c r="AL213" s="210"/>
      <c r="AM213" s="210"/>
      <c r="AN213" s="210"/>
      <c r="AO213" s="210"/>
      <c r="AP213" s="210"/>
      <c r="AQ213" s="210"/>
      <c r="AR213" s="210"/>
      <c r="AS213" s="210"/>
      <c r="AT213" s="210"/>
      <c r="AU213" s="210"/>
      <c r="AV213" s="210"/>
      <c r="AW213" s="210"/>
      <c r="AX213" s="210"/>
      <c r="AY213" s="210"/>
      <c r="AZ213" s="210"/>
      <c r="BA213" s="210"/>
      <c r="BB213" s="210"/>
      <c r="BC213" s="210"/>
      <c r="BD213" s="210"/>
      <c r="BE213" s="210"/>
      <c r="BF213" s="210"/>
      <c r="BG213" s="210"/>
      <c r="BH213" s="210"/>
      <c r="BI213" s="210"/>
      <c r="BJ213" s="210"/>
    </row>
    <row r="214" spans="1:62" ht="15" x14ac:dyDescent="0.2">
      <c r="A214" s="210"/>
      <c r="B214" s="210"/>
      <c r="C214" s="210"/>
      <c r="D214" s="210"/>
      <c r="E214" s="210"/>
      <c r="F214" s="210"/>
      <c r="G214" s="210"/>
      <c r="H214" s="210"/>
      <c r="I214" s="210"/>
      <c r="J214" s="210"/>
      <c r="K214" s="210"/>
      <c r="L214" s="210"/>
      <c r="M214" s="210"/>
      <c r="N214" s="210"/>
      <c r="O214" s="210"/>
      <c r="P214" s="210"/>
      <c r="Q214" s="210"/>
      <c r="R214" s="210"/>
      <c r="S214" s="210"/>
      <c r="T214" s="210"/>
      <c r="U214" s="210"/>
      <c r="V214" s="210"/>
      <c r="W214" s="210"/>
      <c r="X214" s="210"/>
      <c r="Y214" s="210"/>
      <c r="Z214" s="210"/>
      <c r="AA214" s="210"/>
      <c r="AB214" s="210"/>
      <c r="AC214" s="210"/>
      <c r="AD214" s="210"/>
      <c r="AE214" s="210"/>
      <c r="AF214" s="210"/>
      <c r="AG214" s="210"/>
      <c r="AH214" s="210"/>
      <c r="AI214" s="210"/>
      <c r="AJ214" s="210"/>
      <c r="AK214" s="210"/>
      <c r="AL214" s="210"/>
      <c r="AM214" s="210"/>
      <c r="AN214" s="210"/>
      <c r="AO214" s="210"/>
      <c r="AP214" s="210"/>
      <c r="AQ214" s="210"/>
      <c r="AR214" s="210"/>
      <c r="AS214" s="210"/>
      <c r="AT214" s="210"/>
      <c r="AU214" s="210"/>
      <c r="AV214" s="210"/>
      <c r="AW214" s="210"/>
      <c r="AX214" s="210"/>
      <c r="AY214" s="210"/>
      <c r="AZ214" s="210"/>
      <c r="BA214" s="210"/>
      <c r="BB214" s="210"/>
      <c r="BC214" s="210"/>
      <c r="BD214" s="210"/>
      <c r="BE214" s="210"/>
      <c r="BF214" s="210"/>
      <c r="BG214" s="210"/>
      <c r="BH214" s="210"/>
      <c r="BI214" s="210"/>
      <c r="BJ214" s="210"/>
    </row>
    <row r="215" spans="1:62" ht="15" x14ac:dyDescent="0.2">
      <c r="A215" s="210"/>
      <c r="B215" s="210"/>
      <c r="C215" s="210"/>
      <c r="D215" s="210"/>
      <c r="E215" s="210"/>
      <c r="F215" s="210"/>
      <c r="G215" s="210"/>
      <c r="H215" s="210"/>
      <c r="I215" s="210"/>
      <c r="J215" s="210"/>
      <c r="K215" s="210"/>
      <c r="L215" s="210"/>
      <c r="M215" s="210"/>
      <c r="N215" s="210"/>
      <c r="O215" s="210"/>
      <c r="P215" s="210"/>
      <c r="Q215" s="210"/>
      <c r="R215" s="210"/>
      <c r="S215" s="210"/>
      <c r="T215" s="210"/>
      <c r="U215" s="210"/>
      <c r="V215" s="210"/>
      <c r="W215" s="210"/>
      <c r="X215" s="210"/>
      <c r="Y215" s="210"/>
      <c r="Z215" s="210"/>
      <c r="AA215" s="210"/>
      <c r="AB215" s="210"/>
      <c r="AC215" s="210"/>
      <c r="AD215" s="210"/>
      <c r="AE215" s="210"/>
      <c r="AF215" s="210"/>
      <c r="AG215" s="210"/>
      <c r="AH215" s="210"/>
      <c r="AI215" s="210"/>
      <c r="AJ215" s="210"/>
      <c r="AK215" s="210"/>
      <c r="AL215" s="210"/>
      <c r="AM215" s="210"/>
      <c r="AN215" s="210"/>
      <c r="AO215" s="210"/>
      <c r="AP215" s="210"/>
      <c r="AQ215" s="210"/>
      <c r="AR215" s="210"/>
      <c r="AS215" s="210"/>
      <c r="AT215" s="210"/>
      <c r="AU215" s="210"/>
      <c r="AV215" s="210"/>
      <c r="AW215" s="210"/>
      <c r="AX215" s="210"/>
      <c r="AY215" s="210"/>
      <c r="AZ215" s="210"/>
      <c r="BA215" s="210"/>
      <c r="BB215" s="210"/>
      <c r="BC215" s="210"/>
      <c r="BD215" s="210"/>
      <c r="BE215" s="210"/>
      <c r="BF215" s="210"/>
      <c r="BG215" s="210"/>
      <c r="BH215" s="210"/>
      <c r="BI215" s="210"/>
      <c r="BJ215" s="210"/>
    </row>
    <row r="216" spans="1:62" ht="15" x14ac:dyDescent="0.2">
      <c r="A216" s="210"/>
      <c r="B216" s="210"/>
      <c r="C216" s="210"/>
      <c r="D216" s="210"/>
      <c r="E216" s="210"/>
      <c r="F216" s="210"/>
      <c r="G216" s="210"/>
      <c r="H216" s="210"/>
      <c r="I216" s="210"/>
      <c r="J216" s="210"/>
      <c r="K216" s="210"/>
      <c r="L216" s="210"/>
      <c r="M216" s="210"/>
      <c r="N216" s="210"/>
      <c r="O216" s="210"/>
      <c r="P216" s="210"/>
      <c r="Q216" s="210"/>
      <c r="R216" s="210"/>
      <c r="S216" s="210"/>
      <c r="T216" s="210"/>
      <c r="U216" s="210"/>
      <c r="V216" s="210"/>
      <c r="W216" s="210"/>
      <c r="X216" s="210"/>
      <c r="Y216" s="210"/>
      <c r="Z216" s="210"/>
      <c r="AA216" s="210"/>
      <c r="AB216" s="210"/>
      <c r="AC216" s="210"/>
      <c r="AD216" s="210"/>
      <c r="AE216" s="210"/>
      <c r="AF216" s="210"/>
      <c r="AG216" s="210"/>
      <c r="AH216" s="210"/>
      <c r="AI216" s="210"/>
      <c r="AJ216" s="210"/>
      <c r="AK216" s="210"/>
      <c r="AL216" s="210"/>
      <c r="AM216" s="210"/>
      <c r="AN216" s="210"/>
      <c r="AO216" s="210"/>
      <c r="AP216" s="210"/>
      <c r="AQ216" s="210"/>
      <c r="AR216" s="210"/>
      <c r="AS216" s="210"/>
      <c r="AT216" s="210"/>
      <c r="AU216" s="210"/>
      <c r="AV216" s="210"/>
      <c r="AW216" s="210"/>
      <c r="AX216" s="210"/>
      <c r="AY216" s="210"/>
      <c r="AZ216" s="210"/>
      <c r="BA216" s="210"/>
      <c r="BB216" s="210"/>
      <c r="BC216" s="210"/>
      <c r="BD216" s="210"/>
      <c r="BE216" s="210"/>
      <c r="BF216" s="210"/>
      <c r="BG216" s="210"/>
      <c r="BH216" s="210"/>
      <c r="BI216" s="210"/>
      <c r="BJ216" s="210"/>
    </row>
    <row r="217" spans="1:62" ht="15" x14ac:dyDescent="0.2">
      <c r="A217" s="210"/>
      <c r="B217" s="210"/>
      <c r="C217" s="210"/>
      <c r="D217" s="210"/>
      <c r="E217" s="210"/>
      <c r="F217" s="210"/>
      <c r="G217" s="210"/>
      <c r="H217" s="210"/>
      <c r="I217" s="210"/>
      <c r="J217" s="210"/>
      <c r="K217" s="210"/>
      <c r="L217" s="210"/>
      <c r="M217" s="210"/>
      <c r="N217" s="210"/>
      <c r="O217" s="210"/>
      <c r="P217" s="210"/>
      <c r="Q217" s="210"/>
      <c r="R217" s="210"/>
      <c r="S217" s="210"/>
      <c r="T217" s="210"/>
      <c r="U217" s="210"/>
      <c r="V217" s="210"/>
      <c r="W217" s="210"/>
      <c r="X217" s="210"/>
      <c r="Y217" s="210"/>
      <c r="Z217" s="210"/>
      <c r="AA217" s="210"/>
      <c r="AB217" s="210"/>
      <c r="AC217" s="210"/>
      <c r="AD217" s="210"/>
      <c r="AE217" s="210"/>
      <c r="AF217" s="210"/>
      <c r="AG217" s="210"/>
      <c r="AH217" s="210"/>
      <c r="AI217" s="210"/>
      <c r="AJ217" s="210"/>
      <c r="AK217" s="210"/>
      <c r="AL217" s="210"/>
      <c r="AM217" s="210"/>
      <c r="AN217" s="210"/>
      <c r="AO217" s="210"/>
      <c r="AP217" s="210"/>
      <c r="AQ217" s="210"/>
      <c r="AR217" s="210"/>
      <c r="AS217" s="210"/>
      <c r="AT217" s="210"/>
      <c r="AU217" s="210"/>
      <c r="AV217" s="210"/>
      <c r="AW217" s="210"/>
      <c r="AX217" s="210"/>
      <c r="AY217" s="210"/>
      <c r="AZ217" s="210"/>
      <c r="BA217" s="210"/>
      <c r="BB217" s="210"/>
      <c r="BC217" s="210"/>
      <c r="BD217" s="210"/>
      <c r="BE217" s="210"/>
      <c r="BF217" s="210"/>
      <c r="BG217" s="210"/>
      <c r="BH217" s="210"/>
      <c r="BI217" s="210"/>
      <c r="BJ217" s="210"/>
    </row>
    <row r="218" spans="1:62" ht="15" x14ac:dyDescent="0.2">
      <c r="A218" s="210"/>
      <c r="B218" s="210"/>
      <c r="C218" s="210"/>
      <c r="D218" s="210"/>
      <c r="E218" s="210"/>
      <c r="F218" s="210"/>
      <c r="G218" s="210"/>
      <c r="H218" s="210"/>
      <c r="I218" s="210"/>
      <c r="J218" s="210"/>
      <c r="K218" s="210"/>
      <c r="L218" s="210"/>
      <c r="M218" s="210"/>
      <c r="N218" s="210"/>
      <c r="O218" s="210"/>
      <c r="P218" s="210"/>
      <c r="Q218" s="210"/>
      <c r="R218" s="210"/>
      <c r="S218" s="210"/>
      <c r="T218" s="210"/>
      <c r="U218" s="210"/>
      <c r="V218" s="210"/>
      <c r="W218" s="210"/>
      <c r="X218" s="210"/>
      <c r="Y218" s="210"/>
      <c r="Z218" s="210"/>
      <c r="AA218" s="210"/>
      <c r="AB218" s="210"/>
      <c r="AC218" s="210"/>
      <c r="AD218" s="210"/>
      <c r="AE218" s="210"/>
      <c r="AF218" s="210"/>
      <c r="AG218" s="210"/>
      <c r="AH218" s="210"/>
      <c r="AI218" s="210"/>
      <c r="AJ218" s="210"/>
      <c r="AK218" s="210"/>
      <c r="AL218" s="210"/>
      <c r="AM218" s="210"/>
      <c r="AN218" s="210"/>
      <c r="AO218" s="210"/>
      <c r="AP218" s="210"/>
      <c r="AQ218" s="210"/>
      <c r="AR218" s="210"/>
      <c r="AS218" s="210"/>
      <c r="AT218" s="210"/>
      <c r="AU218" s="210"/>
      <c r="AV218" s="210"/>
      <c r="AW218" s="210"/>
      <c r="AX218" s="210"/>
      <c r="AY218" s="210"/>
      <c r="AZ218" s="210"/>
      <c r="BA218" s="210"/>
      <c r="BB218" s="210"/>
      <c r="BC218" s="210"/>
      <c r="BD218" s="210"/>
      <c r="BE218" s="210"/>
      <c r="BF218" s="210"/>
      <c r="BG218" s="210"/>
      <c r="BH218" s="210"/>
      <c r="BI218" s="210"/>
      <c r="BJ218" s="210"/>
    </row>
    <row r="219" spans="1:62" ht="15" x14ac:dyDescent="0.2">
      <c r="A219" s="210"/>
      <c r="B219" s="210"/>
      <c r="C219" s="210"/>
      <c r="D219" s="210"/>
      <c r="E219" s="210"/>
      <c r="F219" s="210"/>
      <c r="G219" s="210"/>
      <c r="H219" s="210"/>
      <c r="I219" s="210"/>
      <c r="J219" s="210"/>
      <c r="K219" s="210"/>
      <c r="L219" s="210"/>
      <c r="M219" s="210"/>
      <c r="N219" s="210"/>
      <c r="O219" s="210"/>
      <c r="P219" s="210"/>
      <c r="Q219" s="210"/>
      <c r="R219" s="210"/>
      <c r="S219" s="210"/>
      <c r="T219" s="210"/>
      <c r="U219" s="210"/>
      <c r="V219" s="210"/>
      <c r="W219" s="210"/>
      <c r="X219" s="210"/>
      <c r="Y219" s="210"/>
      <c r="Z219" s="210"/>
      <c r="AA219" s="210"/>
      <c r="AB219" s="210"/>
      <c r="AC219" s="210"/>
      <c r="AD219" s="210"/>
      <c r="AE219" s="210"/>
      <c r="AF219" s="210"/>
      <c r="AG219" s="210"/>
      <c r="AH219" s="210"/>
      <c r="AI219" s="210"/>
      <c r="AJ219" s="210"/>
      <c r="AK219" s="210"/>
      <c r="AL219" s="210"/>
      <c r="AM219" s="210"/>
      <c r="AN219" s="210"/>
      <c r="AO219" s="210"/>
      <c r="AP219" s="210"/>
      <c r="AQ219" s="210"/>
      <c r="AR219" s="210"/>
      <c r="AS219" s="210"/>
      <c r="AT219" s="210"/>
      <c r="AU219" s="210"/>
      <c r="AV219" s="210"/>
      <c r="AW219" s="210"/>
      <c r="AX219" s="210"/>
      <c r="AY219" s="210"/>
      <c r="AZ219" s="210"/>
      <c r="BA219" s="210"/>
      <c r="BB219" s="210"/>
      <c r="BC219" s="210"/>
      <c r="BD219" s="210"/>
      <c r="BE219" s="210"/>
      <c r="BF219" s="210"/>
      <c r="BG219" s="210"/>
      <c r="BH219" s="210"/>
      <c r="BI219" s="210"/>
      <c r="BJ219" s="210"/>
    </row>
    <row r="220" spans="1:62" ht="15" x14ac:dyDescent="0.2">
      <c r="A220" s="210"/>
      <c r="B220" s="210"/>
      <c r="C220" s="210"/>
      <c r="D220" s="210"/>
      <c r="E220" s="210"/>
      <c r="F220" s="210"/>
      <c r="G220" s="210"/>
      <c r="H220" s="210"/>
      <c r="I220" s="210"/>
      <c r="J220" s="210"/>
      <c r="K220" s="210"/>
      <c r="L220" s="210"/>
      <c r="M220" s="210"/>
      <c r="N220" s="210"/>
      <c r="O220" s="210"/>
      <c r="P220" s="210"/>
      <c r="Q220" s="210"/>
      <c r="R220" s="210"/>
      <c r="S220" s="210"/>
      <c r="T220" s="210"/>
      <c r="U220" s="210"/>
      <c r="V220" s="210"/>
      <c r="W220" s="210"/>
      <c r="X220" s="210"/>
      <c r="Y220" s="210"/>
      <c r="Z220" s="210"/>
      <c r="AA220" s="210"/>
      <c r="AB220" s="210"/>
      <c r="AC220" s="210"/>
      <c r="AD220" s="210"/>
      <c r="AE220" s="210"/>
      <c r="AF220" s="210"/>
      <c r="AG220" s="210"/>
      <c r="AH220" s="210"/>
      <c r="AI220" s="210"/>
      <c r="AJ220" s="210"/>
      <c r="AK220" s="210"/>
      <c r="AL220" s="210"/>
      <c r="AM220" s="210"/>
      <c r="AN220" s="210"/>
      <c r="AO220" s="210"/>
      <c r="AP220" s="210"/>
      <c r="AQ220" s="210"/>
      <c r="AR220" s="210"/>
      <c r="AS220" s="210"/>
      <c r="AT220" s="210"/>
      <c r="AU220" s="210"/>
      <c r="AV220" s="210"/>
      <c r="AW220" s="210"/>
      <c r="AX220" s="210"/>
      <c r="AY220" s="210"/>
      <c r="AZ220" s="210"/>
      <c r="BA220" s="210"/>
      <c r="BB220" s="210"/>
      <c r="BC220" s="210"/>
      <c r="BD220" s="210"/>
      <c r="BE220" s="210"/>
      <c r="BF220" s="210"/>
      <c r="BG220" s="210"/>
      <c r="BH220" s="210"/>
      <c r="BI220" s="210"/>
      <c r="BJ220" s="210"/>
    </row>
    <row r="221" spans="1:62" ht="15" x14ac:dyDescent="0.2">
      <c r="A221" s="210"/>
      <c r="B221" s="210"/>
      <c r="C221" s="210"/>
      <c r="D221" s="210"/>
      <c r="E221" s="210"/>
      <c r="F221" s="210"/>
      <c r="G221" s="210"/>
      <c r="H221" s="210"/>
      <c r="I221" s="210"/>
      <c r="J221" s="210"/>
      <c r="K221" s="210"/>
      <c r="L221" s="210"/>
      <c r="M221" s="210"/>
      <c r="N221" s="210"/>
      <c r="O221" s="210"/>
      <c r="P221" s="210"/>
      <c r="Q221" s="210"/>
      <c r="R221" s="210"/>
      <c r="S221" s="210"/>
      <c r="T221" s="210"/>
      <c r="U221" s="210"/>
      <c r="V221" s="210"/>
      <c r="W221" s="210"/>
      <c r="X221" s="210"/>
      <c r="Y221" s="210"/>
      <c r="Z221" s="210"/>
      <c r="AA221" s="210"/>
      <c r="AB221" s="210"/>
      <c r="AC221" s="210"/>
      <c r="AD221" s="210"/>
      <c r="AE221" s="210"/>
      <c r="AF221" s="210"/>
      <c r="AG221" s="210"/>
      <c r="AH221" s="210"/>
      <c r="AI221" s="210"/>
      <c r="AJ221" s="210"/>
      <c r="AK221" s="210"/>
      <c r="AL221" s="210"/>
      <c r="AM221" s="210"/>
      <c r="AN221" s="210"/>
      <c r="AO221" s="210"/>
      <c r="AP221" s="210"/>
      <c r="AQ221" s="210"/>
      <c r="AR221" s="210"/>
      <c r="AS221" s="210"/>
      <c r="AT221" s="210"/>
      <c r="AU221" s="210"/>
      <c r="AV221" s="210"/>
      <c r="AW221" s="210"/>
      <c r="AX221" s="210"/>
      <c r="AY221" s="210"/>
      <c r="AZ221" s="210"/>
      <c r="BA221" s="210"/>
      <c r="BB221" s="210"/>
      <c r="BC221" s="210"/>
      <c r="BD221" s="210"/>
      <c r="BE221" s="210"/>
      <c r="BF221" s="210"/>
      <c r="BG221" s="210"/>
      <c r="BH221" s="210"/>
      <c r="BI221" s="210"/>
      <c r="BJ221" s="210"/>
    </row>
    <row r="222" spans="1:62" ht="15" x14ac:dyDescent="0.2">
      <c r="A222" s="210"/>
      <c r="B222" s="210"/>
      <c r="C222" s="210"/>
      <c r="D222" s="210"/>
      <c r="E222" s="210"/>
      <c r="F222" s="210"/>
      <c r="G222" s="210"/>
      <c r="H222" s="210"/>
      <c r="I222" s="210"/>
      <c r="J222" s="210"/>
      <c r="K222" s="210"/>
      <c r="L222" s="210"/>
      <c r="M222" s="210"/>
      <c r="N222" s="210"/>
      <c r="O222" s="210"/>
      <c r="P222" s="210"/>
      <c r="Q222" s="210"/>
      <c r="R222" s="210"/>
      <c r="S222" s="210"/>
      <c r="T222" s="210"/>
      <c r="U222" s="210"/>
      <c r="V222" s="210"/>
      <c r="W222" s="210"/>
      <c r="X222" s="210"/>
      <c r="Y222" s="210"/>
      <c r="Z222" s="210"/>
      <c r="AA222" s="210"/>
      <c r="AB222" s="210"/>
      <c r="AC222" s="210"/>
      <c r="AD222" s="210"/>
      <c r="AE222" s="210"/>
      <c r="AF222" s="210"/>
      <c r="AG222" s="210"/>
      <c r="AH222" s="210"/>
      <c r="AI222" s="210"/>
      <c r="AJ222" s="210"/>
      <c r="AK222" s="210"/>
      <c r="AL222" s="210"/>
      <c r="AM222" s="210"/>
      <c r="AN222" s="210"/>
      <c r="AO222" s="210"/>
      <c r="AP222" s="210"/>
      <c r="AQ222" s="210"/>
      <c r="AR222" s="210"/>
      <c r="AS222" s="210"/>
      <c r="AT222" s="210"/>
      <c r="AU222" s="210"/>
      <c r="AV222" s="210"/>
      <c r="AW222" s="210"/>
      <c r="AX222" s="210"/>
      <c r="AY222" s="210"/>
      <c r="AZ222" s="210"/>
      <c r="BA222" s="210"/>
      <c r="BB222" s="210"/>
      <c r="BC222" s="210"/>
      <c r="BD222" s="210"/>
      <c r="BE222" s="210"/>
      <c r="BF222" s="210"/>
      <c r="BG222" s="210"/>
      <c r="BH222" s="210"/>
      <c r="BI222" s="210"/>
      <c r="BJ222" s="210"/>
    </row>
    <row r="223" spans="1:62" ht="15" x14ac:dyDescent="0.2">
      <c r="A223" s="210"/>
      <c r="B223" s="210"/>
      <c r="C223" s="210"/>
      <c r="D223" s="210"/>
      <c r="E223" s="210"/>
      <c r="F223" s="210"/>
      <c r="G223" s="210"/>
      <c r="H223" s="210"/>
      <c r="I223" s="210"/>
      <c r="J223" s="210"/>
      <c r="K223" s="210"/>
      <c r="L223" s="210"/>
      <c r="M223" s="210"/>
      <c r="N223" s="210"/>
      <c r="O223" s="210"/>
      <c r="P223" s="210"/>
      <c r="Q223" s="210"/>
      <c r="R223" s="210"/>
      <c r="S223" s="210"/>
      <c r="T223" s="210"/>
      <c r="U223" s="210"/>
      <c r="V223" s="210"/>
      <c r="W223" s="210"/>
      <c r="X223" s="210"/>
      <c r="Y223" s="210"/>
      <c r="Z223" s="210"/>
      <c r="AA223" s="210"/>
      <c r="AB223" s="210"/>
      <c r="AC223" s="210"/>
      <c r="AD223" s="210"/>
      <c r="AE223" s="210"/>
      <c r="AF223" s="210"/>
      <c r="AG223" s="210"/>
      <c r="AH223" s="210"/>
      <c r="AI223" s="210"/>
      <c r="AJ223" s="210"/>
      <c r="AK223" s="210"/>
      <c r="AL223" s="210"/>
      <c r="AM223" s="210"/>
      <c r="AN223" s="210"/>
      <c r="AO223" s="210"/>
      <c r="AP223" s="210"/>
      <c r="AQ223" s="210"/>
      <c r="AR223" s="210"/>
      <c r="AS223" s="210"/>
      <c r="AT223" s="210"/>
      <c r="AU223" s="210"/>
      <c r="AV223" s="210"/>
      <c r="AW223" s="210"/>
      <c r="AX223" s="210"/>
      <c r="AY223" s="210"/>
      <c r="AZ223" s="210"/>
      <c r="BA223" s="210"/>
      <c r="BB223" s="210"/>
      <c r="BC223" s="210"/>
      <c r="BD223" s="210"/>
      <c r="BE223" s="210"/>
      <c r="BF223" s="210"/>
      <c r="BG223" s="210"/>
      <c r="BH223" s="210"/>
      <c r="BI223" s="210"/>
      <c r="BJ223" s="210"/>
    </row>
    <row r="224" spans="1:62" ht="15" x14ac:dyDescent="0.2">
      <c r="A224" s="210"/>
      <c r="B224" s="210"/>
      <c r="C224" s="210"/>
      <c r="D224" s="210"/>
      <c r="E224" s="210"/>
      <c r="F224" s="210"/>
      <c r="G224" s="210"/>
      <c r="H224" s="210"/>
      <c r="I224" s="210"/>
      <c r="J224" s="210"/>
      <c r="K224" s="210"/>
      <c r="L224" s="210"/>
      <c r="M224" s="210"/>
      <c r="N224" s="210"/>
      <c r="O224" s="210"/>
      <c r="P224" s="210"/>
      <c r="Q224" s="210"/>
      <c r="R224" s="210"/>
      <c r="S224" s="210"/>
      <c r="T224" s="210"/>
      <c r="U224" s="210"/>
      <c r="V224" s="210"/>
      <c r="W224" s="210"/>
      <c r="X224" s="210"/>
      <c r="Y224" s="210"/>
      <c r="Z224" s="210"/>
      <c r="AA224" s="210"/>
      <c r="AB224" s="210"/>
      <c r="AC224" s="210"/>
      <c r="AD224" s="210"/>
      <c r="AE224" s="210"/>
      <c r="AF224" s="210"/>
      <c r="AG224" s="210"/>
      <c r="AH224" s="210"/>
      <c r="AI224" s="210"/>
      <c r="AJ224" s="210"/>
      <c r="AK224" s="210"/>
      <c r="AL224" s="210"/>
      <c r="AM224" s="210"/>
      <c r="AN224" s="210"/>
      <c r="AO224" s="210"/>
      <c r="AP224" s="210"/>
      <c r="AQ224" s="210"/>
      <c r="AR224" s="210"/>
      <c r="AS224" s="210"/>
      <c r="AT224" s="210"/>
      <c r="AU224" s="210"/>
      <c r="AV224" s="210"/>
      <c r="AW224" s="210"/>
      <c r="AX224" s="210"/>
      <c r="AY224" s="210"/>
      <c r="AZ224" s="210"/>
      <c r="BA224" s="210"/>
      <c r="BB224" s="210"/>
      <c r="BC224" s="210"/>
      <c r="BD224" s="210"/>
      <c r="BE224" s="210"/>
      <c r="BF224" s="210"/>
      <c r="BG224" s="210"/>
      <c r="BH224" s="210"/>
      <c r="BI224" s="210"/>
      <c r="BJ224" s="210"/>
    </row>
    <row r="225" spans="1:62" ht="15" x14ac:dyDescent="0.2">
      <c r="A225" s="210"/>
      <c r="B225" s="210"/>
      <c r="C225" s="210"/>
      <c r="D225" s="210"/>
      <c r="E225" s="210"/>
      <c r="F225" s="210"/>
      <c r="G225" s="210"/>
      <c r="H225" s="210"/>
      <c r="I225" s="210"/>
      <c r="J225" s="210"/>
      <c r="K225" s="210"/>
      <c r="L225" s="210"/>
      <c r="M225" s="210"/>
      <c r="N225" s="210"/>
      <c r="O225" s="210"/>
      <c r="P225" s="210"/>
      <c r="Q225" s="210"/>
      <c r="R225" s="210"/>
      <c r="S225" s="210"/>
      <c r="T225" s="210"/>
      <c r="U225" s="210"/>
      <c r="V225" s="210"/>
      <c r="W225" s="210"/>
      <c r="X225" s="210"/>
      <c r="Y225" s="210"/>
      <c r="Z225" s="210"/>
      <c r="AA225" s="210"/>
      <c r="AB225" s="210"/>
      <c r="AC225" s="210"/>
      <c r="AD225" s="210"/>
      <c r="AE225" s="210"/>
      <c r="AF225" s="210"/>
      <c r="AG225" s="210"/>
      <c r="AH225" s="210"/>
      <c r="AI225" s="210"/>
      <c r="AJ225" s="210"/>
      <c r="AK225" s="210"/>
      <c r="AL225" s="210"/>
      <c r="AM225" s="210"/>
      <c r="AN225" s="210"/>
      <c r="AO225" s="210"/>
      <c r="AP225" s="210"/>
      <c r="AQ225" s="210"/>
      <c r="AR225" s="210"/>
      <c r="AS225" s="210"/>
      <c r="AT225" s="210"/>
      <c r="AU225" s="210"/>
      <c r="AV225" s="210"/>
      <c r="AW225" s="210"/>
      <c r="AX225" s="210"/>
      <c r="AY225" s="210"/>
      <c r="AZ225" s="210"/>
      <c r="BA225" s="210"/>
      <c r="BB225" s="210"/>
      <c r="BC225" s="210"/>
      <c r="BD225" s="210"/>
      <c r="BE225" s="210"/>
      <c r="BF225" s="210"/>
      <c r="BG225" s="210"/>
      <c r="BH225" s="210"/>
      <c r="BI225" s="210"/>
      <c r="BJ225" s="210"/>
    </row>
    <row r="226" spans="1:62" ht="15" x14ac:dyDescent="0.2">
      <c r="A226" s="210"/>
      <c r="B226" s="210"/>
      <c r="C226" s="210"/>
      <c r="D226" s="210"/>
      <c r="E226" s="210"/>
      <c r="F226" s="210"/>
      <c r="G226" s="210"/>
      <c r="H226" s="210"/>
      <c r="I226" s="210"/>
      <c r="J226" s="210"/>
      <c r="K226" s="210"/>
      <c r="L226" s="210"/>
      <c r="M226" s="210"/>
      <c r="N226" s="210"/>
      <c r="O226" s="210"/>
      <c r="P226" s="210"/>
      <c r="Q226" s="210"/>
      <c r="R226" s="210"/>
      <c r="S226" s="210"/>
      <c r="T226" s="210"/>
      <c r="U226" s="210"/>
      <c r="V226" s="210"/>
      <c r="W226" s="210"/>
      <c r="X226" s="210"/>
      <c r="Y226" s="210"/>
      <c r="Z226" s="210"/>
      <c r="AA226" s="210"/>
      <c r="AB226" s="210"/>
      <c r="AC226" s="210"/>
      <c r="AD226" s="210"/>
      <c r="AE226" s="210"/>
      <c r="AF226" s="210"/>
      <c r="AG226" s="210"/>
      <c r="AH226" s="210"/>
      <c r="AI226" s="210"/>
      <c r="AJ226" s="210"/>
      <c r="AK226" s="210"/>
      <c r="AL226" s="210"/>
      <c r="AM226" s="210"/>
      <c r="AN226" s="210"/>
      <c r="AO226" s="210"/>
      <c r="AP226" s="210"/>
      <c r="AQ226" s="210"/>
      <c r="AR226" s="210"/>
      <c r="AS226" s="210"/>
      <c r="AT226" s="210"/>
      <c r="AU226" s="210"/>
      <c r="AV226" s="210"/>
      <c r="AW226" s="210"/>
      <c r="AX226" s="210"/>
      <c r="AY226" s="210"/>
      <c r="AZ226" s="210"/>
      <c r="BA226" s="210"/>
      <c r="BB226" s="210"/>
      <c r="BC226" s="210"/>
      <c r="BD226" s="210"/>
      <c r="BE226" s="210"/>
      <c r="BF226" s="210"/>
      <c r="BG226" s="210"/>
      <c r="BH226" s="210"/>
      <c r="BI226" s="210"/>
      <c r="BJ226" s="210"/>
    </row>
    <row r="227" spans="1:62" ht="15" x14ac:dyDescent="0.2">
      <c r="A227" s="210"/>
      <c r="B227" s="210"/>
      <c r="C227" s="210"/>
      <c r="D227" s="210"/>
      <c r="E227" s="210"/>
      <c r="F227" s="210"/>
      <c r="G227" s="210"/>
      <c r="H227" s="210"/>
      <c r="I227" s="210"/>
      <c r="J227" s="210"/>
      <c r="K227" s="210"/>
      <c r="L227" s="210"/>
      <c r="M227" s="210"/>
      <c r="N227" s="210"/>
      <c r="O227" s="210"/>
      <c r="P227" s="210"/>
      <c r="Q227" s="210"/>
      <c r="R227" s="210"/>
      <c r="S227" s="210"/>
      <c r="T227" s="210"/>
      <c r="U227" s="210"/>
      <c r="V227" s="210"/>
      <c r="W227" s="210"/>
      <c r="X227" s="210"/>
      <c r="Y227" s="210"/>
      <c r="Z227" s="210"/>
      <c r="AA227" s="210"/>
      <c r="AB227" s="210"/>
      <c r="AC227" s="210"/>
      <c r="AD227" s="210"/>
      <c r="AE227" s="210"/>
      <c r="AF227" s="210"/>
      <c r="AG227" s="210"/>
      <c r="AH227" s="210"/>
      <c r="AI227" s="210"/>
      <c r="AJ227" s="210"/>
      <c r="AK227" s="210"/>
      <c r="AL227" s="210"/>
      <c r="AM227" s="210"/>
      <c r="AN227" s="210"/>
      <c r="AO227" s="210"/>
      <c r="AP227" s="210"/>
      <c r="AQ227" s="210"/>
      <c r="AR227" s="210"/>
      <c r="AS227" s="210"/>
      <c r="AT227" s="210"/>
      <c r="AU227" s="210"/>
      <c r="AV227" s="210"/>
      <c r="AW227" s="210"/>
      <c r="AX227" s="210"/>
      <c r="AY227" s="210"/>
      <c r="AZ227" s="210"/>
      <c r="BA227" s="210"/>
      <c r="BB227" s="210"/>
      <c r="BC227" s="210"/>
      <c r="BD227" s="210"/>
      <c r="BE227" s="210"/>
      <c r="BF227" s="210"/>
      <c r="BG227" s="210"/>
      <c r="BH227" s="210"/>
      <c r="BI227" s="210"/>
      <c r="BJ227" s="210"/>
    </row>
    <row r="228" spans="1:62" ht="15" x14ac:dyDescent="0.2">
      <c r="A228" s="210"/>
      <c r="B228" s="210"/>
      <c r="C228" s="210"/>
      <c r="D228" s="210"/>
      <c r="E228" s="210"/>
      <c r="F228" s="210"/>
      <c r="G228" s="210"/>
      <c r="H228" s="210"/>
      <c r="I228" s="210"/>
      <c r="J228" s="210"/>
      <c r="K228" s="210"/>
      <c r="L228" s="210"/>
      <c r="M228" s="210"/>
      <c r="N228" s="210"/>
      <c r="O228" s="210"/>
      <c r="P228" s="210"/>
      <c r="Q228" s="210"/>
      <c r="R228" s="210"/>
      <c r="S228" s="210"/>
      <c r="T228" s="210"/>
      <c r="U228" s="210"/>
      <c r="V228" s="210"/>
      <c r="W228" s="210"/>
      <c r="X228" s="210"/>
      <c r="Y228" s="210"/>
      <c r="Z228" s="210"/>
      <c r="AA228" s="210"/>
      <c r="AB228" s="210"/>
      <c r="AC228" s="210"/>
      <c r="AD228" s="210"/>
      <c r="AE228" s="210"/>
      <c r="AF228" s="210"/>
      <c r="AG228" s="210"/>
      <c r="AH228" s="210"/>
      <c r="AI228" s="210"/>
      <c r="AJ228" s="210"/>
      <c r="AK228" s="210"/>
      <c r="AL228" s="210"/>
      <c r="AM228" s="210"/>
      <c r="AN228" s="210"/>
      <c r="AO228" s="210"/>
      <c r="AP228" s="210"/>
      <c r="AQ228" s="210"/>
      <c r="AR228" s="210"/>
      <c r="AS228" s="210"/>
      <c r="AT228" s="210"/>
      <c r="AU228" s="210"/>
      <c r="AV228" s="210"/>
      <c r="AW228" s="210"/>
      <c r="AX228" s="210"/>
      <c r="AY228" s="210"/>
      <c r="AZ228" s="210"/>
      <c r="BA228" s="210"/>
      <c r="BB228" s="210"/>
      <c r="BC228" s="210"/>
      <c r="BD228" s="210"/>
      <c r="BE228" s="210"/>
      <c r="BF228" s="210"/>
      <c r="BG228" s="210"/>
      <c r="BH228" s="210"/>
      <c r="BI228" s="210"/>
      <c r="BJ228" s="210"/>
    </row>
    <row r="229" spans="1:62" ht="15" x14ac:dyDescent="0.2">
      <c r="A229" s="210"/>
      <c r="B229" s="210"/>
      <c r="C229" s="210"/>
      <c r="D229" s="210"/>
      <c r="E229" s="210"/>
      <c r="F229" s="210"/>
      <c r="G229" s="210"/>
      <c r="H229" s="210"/>
      <c r="I229" s="210"/>
      <c r="J229" s="210"/>
      <c r="K229" s="210"/>
      <c r="L229" s="210"/>
      <c r="M229" s="210"/>
      <c r="N229" s="210"/>
      <c r="O229" s="210"/>
      <c r="P229" s="210"/>
      <c r="Q229" s="210"/>
      <c r="R229" s="210"/>
      <c r="S229" s="210"/>
      <c r="T229" s="210"/>
      <c r="U229" s="210"/>
      <c r="V229" s="210"/>
      <c r="W229" s="210"/>
      <c r="X229" s="210"/>
      <c r="Y229" s="210"/>
      <c r="Z229" s="210"/>
      <c r="AA229" s="210"/>
      <c r="AB229" s="210"/>
      <c r="AC229" s="210"/>
      <c r="AD229" s="210"/>
      <c r="AE229" s="210"/>
      <c r="AF229" s="210"/>
      <c r="AG229" s="210"/>
      <c r="AH229" s="210"/>
      <c r="AI229" s="210"/>
      <c r="AJ229" s="210"/>
      <c r="AK229" s="210"/>
      <c r="AL229" s="210"/>
      <c r="AM229" s="210"/>
      <c r="AN229" s="210"/>
      <c r="AO229" s="210"/>
      <c r="AP229" s="210"/>
      <c r="AQ229" s="210"/>
      <c r="AR229" s="210"/>
      <c r="AS229" s="210"/>
      <c r="AT229" s="210"/>
      <c r="AU229" s="210"/>
      <c r="AV229" s="210"/>
      <c r="AW229" s="210"/>
      <c r="AX229" s="210"/>
      <c r="AY229" s="210"/>
      <c r="AZ229" s="210"/>
      <c r="BA229" s="210"/>
      <c r="BB229" s="210"/>
      <c r="BC229" s="210"/>
      <c r="BD229" s="210"/>
      <c r="BE229" s="210"/>
      <c r="BF229" s="210"/>
      <c r="BG229" s="210"/>
      <c r="BH229" s="210"/>
      <c r="BI229" s="210"/>
      <c r="BJ229" s="210"/>
    </row>
    <row r="230" spans="1:62" ht="15" x14ac:dyDescent="0.2">
      <c r="A230" s="210"/>
      <c r="B230" s="210"/>
      <c r="C230" s="210"/>
      <c r="D230" s="210"/>
      <c r="E230" s="210"/>
      <c r="F230" s="210"/>
      <c r="G230" s="210"/>
      <c r="H230" s="210"/>
      <c r="I230" s="210"/>
      <c r="J230" s="210"/>
      <c r="K230" s="210"/>
      <c r="L230" s="210"/>
      <c r="M230" s="210"/>
      <c r="N230" s="210"/>
      <c r="O230" s="210"/>
      <c r="P230" s="210"/>
      <c r="Q230" s="210"/>
      <c r="R230" s="210"/>
      <c r="S230" s="210"/>
      <c r="T230" s="210"/>
      <c r="U230" s="210"/>
      <c r="V230" s="210"/>
      <c r="W230" s="210"/>
      <c r="X230" s="210"/>
      <c r="Y230" s="210"/>
      <c r="Z230" s="210"/>
      <c r="AA230" s="210"/>
      <c r="AB230" s="210"/>
      <c r="AC230" s="210"/>
      <c r="AD230" s="210"/>
      <c r="AE230" s="210"/>
      <c r="AF230" s="210"/>
      <c r="AG230" s="210"/>
      <c r="AH230" s="210"/>
      <c r="AI230" s="210"/>
      <c r="AJ230" s="210"/>
      <c r="AK230" s="210"/>
      <c r="AL230" s="210"/>
      <c r="AM230" s="210"/>
      <c r="AN230" s="210"/>
      <c r="AO230" s="210"/>
      <c r="AP230" s="210"/>
      <c r="AQ230" s="210"/>
      <c r="AR230" s="210"/>
      <c r="AS230" s="210"/>
      <c r="AT230" s="210"/>
      <c r="AU230" s="210"/>
      <c r="AV230" s="210"/>
      <c r="AW230" s="210"/>
      <c r="AX230" s="210"/>
      <c r="AY230" s="210"/>
      <c r="AZ230" s="210"/>
      <c r="BA230" s="210"/>
      <c r="BB230" s="210"/>
      <c r="BC230" s="210"/>
      <c r="BD230" s="210"/>
      <c r="BE230" s="210"/>
      <c r="BF230" s="210"/>
      <c r="BG230" s="210"/>
      <c r="BH230" s="210"/>
      <c r="BI230" s="210"/>
      <c r="BJ230" s="210"/>
    </row>
    <row r="231" spans="1:62" ht="15" x14ac:dyDescent="0.2">
      <c r="A231" s="210"/>
      <c r="B231" s="210"/>
      <c r="C231" s="210"/>
      <c r="D231" s="210"/>
      <c r="E231" s="210"/>
      <c r="F231" s="210"/>
      <c r="G231" s="210"/>
      <c r="H231" s="210"/>
      <c r="I231" s="210"/>
      <c r="J231" s="210"/>
      <c r="K231" s="210"/>
      <c r="L231" s="210"/>
      <c r="M231" s="210"/>
      <c r="N231" s="210"/>
      <c r="O231" s="210"/>
      <c r="P231" s="210"/>
      <c r="Q231" s="210"/>
      <c r="R231" s="210"/>
      <c r="S231" s="210"/>
      <c r="T231" s="210"/>
      <c r="U231" s="210"/>
      <c r="V231" s="210"/>
      <c r="W231" s="210"/>
      <c r="X231" s="210"/>
      <c r="Y231" s="210"/>
      <c r="Z231" s="210"/>
      <c r="AA231" s="210"/>
      <c r="AB231" s="210"/>
      <c r="AC231" s="210"/>
      <c r="AD231" s="210"/>
      <c r="AE231" s="210"/>
      <c r="AF231" s="210"/>
      <c r="AG231" s="210"/>
      <c r="AH231" s="210"/>
      <c r="AI231" s="210"/>
      <c r="AJ231" s="210"/>
      <c r="AK231" s="210"/>
      <c r="AL231" s="210"/>
      <c r="AM231" s="210"/>
      <c r="AN231" s="210"/>
      <c r="AO231" s="210"/>
      <c r="AP231" s="210"/>
      <c r="AQ231" s="210"/>
      <c r="AR231" s="210"/>
      <c r="AS231" s="210"/>
      <c r="AT231" s="210"/>
      <c r="AU231" s="210"/>
      <c r="AV231" s="210"/>
      <c r="AW231" s="210"/>
      <c r="AX231" s="210"/>
      <c r="AY231" s="210"/>
      <c r="AZ231" s="210"/>
      <c r="BA231" s="210"/>
      <c r="BB231" s="210"/>
      <c r="BC231" s="210"/>
      <c r="BD231" s="210"/>
      <c r="BE231" s="210"/>
      <c r="BF231" s="210"/>
      <c r="BG231" s="210"/>
      <c r="BH231" s="210"/>
      <c r="BI231" s="210"/>
      <c r="BJ231" s="210"/>
    </row>
    <row r="232" spans="1:62" ht="15" x14ac:dyDescent="0.2">
      <c r="A232" s="210"/>
      <c r="B232" s="210"/>
      <c r="C232" s="210"/>
      <c r="D232" s="210"/>
      <c r="E232" s="210"/>
      <c r="F232" s="210"/>
      <c r="G232" s="210"/>
      <c r="H232" s="210"/>
      <c r="I232" s="210"/>
      <c r="J232" s="210"/>
      <c r="K232" s="210"/>
      <c r="L232" s="210"/>
      <c r="M232" s="210"/>
      <c r="N232" s="210"/>
      <c r="O232" s="210"/>
      <c r="P232" s="210"/>
      <c r="Q232" s="210"/>
      <c r="R232" s="210"/>
      <c r="S232" s="210"/>
      <c r="T232" s="210"/>
      <c r="U232" s="210"/>
      <c r="V232" s="210"/>
      <c r="W232" s="210"/>
      <c r="X232" s="210"/>
      <c r="Y232" s="210"/>
      <c r="Z232" s="210"/>
      <c r="AA232" s="210"/>
      <c r="AB232" s="210"/>
      <c r="AC232" s="210"/>
      <c r="AD232" s="210"/>
      <c r="AE232" s="210"/>
      <c r="AF232" s="210"/>
      <c r="AG232" s="210"/>
      <c r="AH232" s="210"/>
      <c r="AI232" s="210"/>
      <c r="AJ232" s="210"/>
      <c r="AK232" s="210"/>
      <c r="AL232" s="210"/>
      <c r="AM232" s="210"/>
      <c r="AN232" s="210"/>
      <c r="AO232" s="210"/>
      <c r="AP232" s="210"/>
      <c r="AQ232" s="210"/>
      <c r="AR232" s="210"/>
      <c r="AS232" s="210"/>
      <c r="AT232" s="210"/>
      <c r="AU232" s="210"/>
      <c r="AV232" s="210"/>
      <c r="AW232" s="210"/>
      <c r="AX232" s="210"/>
      <c r="AY232" s="210"/>
      <c r="AZ232" s="210"/>
      <c r="BA232" s="210"/>
      <c r="BB232" s="210"/>
      <c r="BC232" s="210"/>
      <c r="BD232" s="210"/>
      <c r="BE232" s="210"/>
      <c r="BF232" s="210"/>
      <c r="BG232" s="210"/>
      <c r="BH232" s="210"/>
      <c r="BI232" s="210"/>
      <c r="BJ232" s="210"/>
    </row>
    <row r="233" spans="1:62" ht="15" x14ac:dyDescent="0.2">
      <c r="A233" s="210"/>
      <c r="B233" s="210"/>
      <c r="C233" s="210"/>
      <c r="D233" s="210"/>
      <c r="E233" s="210"/>
      <c r="F233" s="210"/>
      <c r="G233" s="210"/>
      <c r="H233" s="210"/>
      <c r="I233" s="210"/>
      <c r="J233" s="210"/>
      <c r="K233" s="210"/>
      <c r="L233" s="210"/>
      <c r="M233" s="210"/>
      <c r="N233" s="210"/>
      <c r="O233" s="210"/>
      <c r="P233" s="210"/>
      <c r="Q233" s="210"/>
      <c r="R233" s="210"/>
      <c r="S233" s="210"/>
      <c r="T233" s="210"/>
      <c r="U233" s="210"/>
      <c r="V233" s="210"/>
      <c r="W233" s="210"/>
      <c r="X233" s="210"/>
      <c r="Y233" s="210"/>
      <c r="Z233" s="210"/>
      <c r="AA233" s="210"/>
      <c r="AB233" s="210"/>
      <c r="AC233" s="210"/>
      <c r="AD233" s="210"/>
      <c r="AE233" s="210"/>
      <c r="AF233" s="210"/>
      <c r="AG233" s="210"/>
      <c r="AH233" s="210"/>
      <c r="AI233" s="210"/>
      <c r="AJ233" s="210"/>
      <c r="AK233" s="210"/>
      <c r="AL233" s="210"/>
      <c r="AM233" s="210"/>
      <c r="AN233" s="210"/>
      <c r="AO233" s="210"/>
      <c r="AP233" s="210"/>
      <c r="AQ233" s="210"/>
      <c r="AR233" s="210"/>
      <c r="AS233" s="210"/>
      <c r="AT233" s="210"/>
      <c r="AU233" s="210"/>
      <c r="AV233" s="210"/>
      <c r="AW233" s="210"/>
      <c r="AX233" s="210"/>
      <c r="AY233" s="210"/>
      <c r="AZ233" s="210"/>
      <c r="BA233" s="210"/>
      <c r="BB233" s="210"/>
      <c r="BC233" s="210"/>
      <c r="BD233" s="210"/>
      <c r="BE233" s="210"/>
      <c r="BF233" s="210"/>
      <c r="BG233" s="210"/>
      <c r="BH233" s="210"/>
      <c r="BI233" s="210"/>
      <c r="BJ233" s="210"/>
    </row>
    <row r="234" spans="1:62" ht="15" x14ac:dyDescent="0.2">
      <c r="A234" s="210"/>
      <c r="B234" s="210"/>
      <c r="C234" s="210"/>
      <c r="D234" s="210"/>
      <c r="E234" s="210"/>
      <c r="F234" s="210"/>
      <c r="G234" s="210"/>
      <c r="H234" s="210"/>
      <c r="I234" s="210"/>
      <c r="J234" s="210"/>
      <c r="K234" s="210"/>
      <c r="L234" s="210"/>
      <c r="M234" s="210"/>
      <c r="N234" s="210"/>
      <c r="O234" s="210"/>
      <c r="P234" s="210"/>
      <c r="Q234" s="210"/>
      <c r="R234" s="210"/>
      <c r="S234" s="210"/>
      <c r="T234" s="210"/>
      <c r="U234" s="210"/>
      <c r="V234" s="210"/>
      <c r="W234" s="210"/>
      <c r="X234" s="210"/>
      <c r="Y234" s="210"/>
      <c r="Z234" s="210"/>
      <c r="AA234" s="210"/>
      <c r="AB234" s="210"/>
      <c r="AC234" s="210"/>
      <c r="AD234" s="210"/>
      <c r="AE234" s="210"/>
      <c r="AF234" s="210"/>
      <c r="AG234" s="210"/>
      <c r="AH234" s="210"/>
      <c r="AI234" s="210"/>
      <c r="AJ234" s="210"/>
      <c r="AK234" s="210"/>
      <c r="AL234" s="210"/>
      <c r="AM234" s="210"/>
      <c r="AN234" s="210"/>
      <c r="AO234" s="210"/>
      <c r="AP234" s="210"/>
      <c r="AQ234" s="210"/>
      <c r="AR234" s="210"/>
      <c r="AS234" s="210"/>
      <c r="AT234" s="210"/>
      <c r="AU234" s="210"/>
      <c r="AV234" s="210"/>
      <c r="AW234" s="210"/>
      <c r="AX234" s="210"/>
      <c r="AY234" s="210"/>
      <c r="AZ234" s="210"/>
      <c r="BA234" s="210"/>
      <c r="BB234" s="210"/>
      <c r="BC234" s="210"/>
      <c r="BD234" s="210"/>
      <c r="BE234" s="210"/>
      <c r="BF234" s="210"/>
      <c r="BG234" s="210"/>
      <c r="BH234" s="210"/>
      <c r="BI234" s="210"/>
      <c r="BJ234" s="210"/>
    </row>
    <row r="235" spans="1:62" ht="15" x14ac:dyDescent="0.2">
      <c r="A235" s="210"/>
      <c r="B235" s="210"/>
      <c r="C235" s="210"/>
      <c r="D235" s="210"/>
      <c r="E235" s="210"/>
      <c r="F235" s="210"/>
      <c r="G235" s="210"/>
      <c r="H235" s="210"/>
      <c r="I235" s="210"/>
      <c r="J235" s="210"/>
      <c r="K235" s="210"/>
      <c r="L235" s="210"/>
      <c r="M235" s="210"/>
      <c r="N235" s="210"/>
      <c r="O235" s="210"/>
      <c r="P235" s="210"/>
      <c r="Q235" s="210"/>
      <c r="R235" s="210"/>
      <c r="S235" s="210"/>
      <c r="T235" s="210"/>
      <c r="U235" s="210"/>
      <c r="V235" s="210"/>
      <c r="W235" s="210"/>
      <c r="X235" s="210"/>
      <c r="Y235" s="210"/>
      <c r="Z235" s="210"/>
      <c r="AA235" s="210"/>
      <c r="AB235" s="210"/>
      <c r="AC235" s="210"/>
      <c r="AD235" s="210"/>
      <c r="AE235" s="210"/>
      <c r="AF235" s="210"/>
      <c r="AG235" s="210"/>
      <c r="AH235" s="210"/>
      <c r="AI235" s="210"/>
      <c r="AJ235" s="210"/>
      <c r="AK235" s="210"/>
      <c r="AL235" s="210"/>
      <c r="AM235" s="210"/>
      <c r="AN235" s="210"/>
      <c r="AO235" s="210"/>
      <c r="AP235" s="210"/>
      <c r="AQ235" s="210"/>
      <c r="AR235" s="210"/>
      <c r="AS235" s="210"/>
      <c r="AT235" s="210"/>
      <c r="AU235" s="210"/>
      <c r="AV235" s="210"/>
      <c r="AW235" s="210"/>
      <c r="AX235" s="210"/>
      <c r="AY235" s="210"/>
      <c r="AZ235" s="210"/>
      <c r="BA235" s="210"/>
      <c r="BB235" s="210"/>
      <c r="BC235" s="210"/>
      <c r="BD235" s="210"/>
      <c r="BE235" s="210"/>
      <c r="BF235" s="210"/>
      <c r="BG235" s="210"/>
      <c r="BH235" s="210"/>
      <c r="BI235" s="210"/>
      <c r="BJ235" s="210"/>
    </row>
    <row r="236" spans="1:62" ht="15" x14ac:dyDescent="0.2">
      <c r="A236" s="210"/>
      <c r="B236" s="210"/>
      <c r="C236" s="210"/>
      <c r="D236" s="210"/>
      <c r="E236" s="210"/>
      <c r="F236" s="210"/>
      <c r="G236" s="210"/>
      <c r="H236" s="210"/>
      <c r="I236" s="210"/>
      <c r="J236" s="210"/>
      <c r="K236" s="210"/>
      <c r="L236" s="210"/>
      <c r="M236" s="210"/>
      <c r="N236" s="210"/>
      <c r="O236" s="210"/>
      <c r="P236" s="210"/>
      <c r="Q236" s="210"/>
      <c r="R236" s="210"/>
      <c r="S236" s="210"/>
      <c r="T236" s="210"/>
      <c r="U236" s="210"/>
      <c r="V236" s="210"/>
      <c r="W236" s="210"/>
      <c r="X236" s="210"/>
      <c r="Y236" s="210"/>
      <c r="Z236" s="210"/>
      <c r="AA236" s="210"/>
      <c r="AB236" s="210"/>
      <c r="AC236" s="210"/>
      <c r="AD236" s="210"/>
      <c r="AE236" s="210"/>
      <c r="AF236" s="210"/>
      <c r="AG236" s="210"/>
      <c r="AH236" s="210"/>
      <c r="AI236" s="210"/>
      <c r="AJ236" s="210"/>
      <c r="AK236" s="210"/>
      <c r="AL236" s="210"/>
      <c r="AM236" s="210"/>
      <c r="AN236" s="210"/>
      <c r="AO236" s="210"/>
      <c r="AP236" s="210"/>
      <c r="AQ236" s="210"/>
      <c r="AR236" s="210"/>
      <c r="AS236" s="210"/>
      <c r="AT236" s="210"/>
      <c r="AU236" s="210"/>
      <c r="AV236" s="210"/>
      <c r="AW236" s="210"/>
      <c r="AX236" s="210"/>
      <c r="AY236" s="210"/>
      <c r="AZ236" s="210"/>
      <c r="BA236" s="210"/>
      <c r="BB236" s="210"/>
      <c r="BC236" s="210"/>
      <c r="BD236" s="210"/>
      <c r="BE236" s="210"/>
      <c r="BF236" s="210"/>
      <c r="BG236" s="210"/>
      <c r="BH236" s="210"/>
      <c r="BI236" s="210"/>
      <c r="BJ236" s="210"/>
    </row>
    <row r="237" spans="1:62" ht="15" x14ac:dyDescent="0.2">
      <c r="A237" s="210"/>
      <c r="B237" s="210"/>
      <c r="C237" s="210"/>
      <c r="D237" s="210"/>
      <c r="E237" s="210"/>
      <c r="F237" s="210"/>
      <c r="G237" s="210"/>
      <c r="H237" s="210"/>
      <c r="I237" s="210"/>
      <c r="J237" s="210"/>
      <c r="K237" s="210"/>
      <c r="L237" s="210"/>
      <c r="M237" s="210"/>
      <c r="N237" s="210"/>
      <c r="O237" s="210"/>
      <c r="P237" s="210"/>
      <c r="Q237" s="210"/>
      <c r="R237" s="210"/>
      <c r="S237" s="210"/>
      <c r="T237" s="210"/>
      <c r="U237" s="210"/>
      <c r="V237" s="210"/>
      <c r="W237" s="210"/>
      <c r="X237" s="210"/>
      <c r="Y237" s="210"/>
      <c r="Z237" s="210"/>
      <c r="AA237" s="210"/>
      <c r="AB237" s="210"/>
      <c r="AC237" s="210"/>
      <c r="AD237" s="210"/>
      <c r="AE237" s="210"/>
      <c r="AF237" s="210"/>
      <c r="AG237" s="210"/>
      <c r="AH237" s="210"/>
      <c r="AI237" s="210"/>
      <c r="AJ237" s="210"/>
      <c r="AK237" s="210"/>
      <c r="AL237" s="210"/>
      <c r="AM237" s="210"/>
      <c r="AN237" s="210"/>
      <c r="AO237" s="210"/>
      <c r="AP237" s="210"/>
      <c r="AQ237" s="210"/>
      <c r="AR237" s="210"/>
      <c r="AS237" s="210"/>
      <c r="AT237" s="210"/>
      <c r="AU237" s="210"/>
      <c r="AV237" s="210"/>
      <c r="AW237" s="210"/>
      <c r="AX237" s="210"/>
      <c r="AY237" s="210"/>
      <c r="AZ237" s="210"/>
      <c r="BA237" s="210"/>
      <c r="BB237" s="210"/>
      <c r="BC237" s="210"/>
      <c r="BD237" s="210"/>
      <c r="BE237" s="210"/>
      <c r="BF237" s="210"/>
      <c r="BG237" s="210"/>
      <c r="BH237" s="210"/>
      <c r="BI237" s="210"/>
      <c r="BJ237" s="210"/>
    </row>
    <row r="238" spans="1:62" ht="15" x14ac:dyDescent="0.2">
      <c r="A238" s="210"/>
      <c r="B238" s="210"/>
      <c r="C238" s="210"/>
      <c r="D238" s="210"/>
      <c r="E238" s="210"/>
      <c r="F238" s="210"/>
      <c r="G238" s="210"/>
      <c r="H238" s="210"/>
      <c r="I238" s="210"/>
      <c r="J238" s="210"/>
      <c r="K238" s="210"/>
      <c r="L238" s="210"/>
      <c r="M238" s="210"/>
      <c r="N238" s="210"/>
      <c r="O238" s="210"/>
      <c r="P238" s="210"/>
      <c r="Q238" s="210"/>
      <c r="R238" s="210"/>
      <c r="S238" s="210"/>
      <c r="T238" s="210"/>
      <c r="U238" s="210"/>
      <c r="V238" s="210"/>
      <c r="W238" s="210"/>
      <c r="X238" s="210"/>
      <c r="Y238" s="210"/>
      <c r="Z238" s="210"/>
      <c r="AA238" s="210"/>
      <c r="AB238" s="210"/>
      <c r="AC238" s="210"/>
      <c r="AD238" s="210"/>
      <c r="AE238" s="210"/>
      <c r="AF238" s="210"/>
      <c r="AG238" s="210"/>
      <c r="AH238" s="210"/>
      <c r="AI238" s="210"/>
      <c r="AJ238" s="210"/>
      <c r="AK238" s="210"/>
      <c r="AL238" s="210"/>
      <c r="AM238" s="210"/>
      <c r="AN238" s="210"/>
      <c r="AO238" s="210"/>
      <c r="AP238" s="210"/>
      <c r="AQ238" s="210"/>
      <c r="AR238" s="210"/>
      <c r="AS238" s="210"/>
      <c r="AT238" s="210"/>
      <c r="AU238" s="210"/>
      <c r="AV238" s="210"/>
      <c r="AW238" s="210"/>
      <c r="AX238" s="210"/>
      <c r="AY238" s="210"/>
      <c r="AZ238" s="210"/>
      <c r="BA238" s="210"/>
      <c r="BB238" s="210"/>
      <c r="BC238" s="210"/>
      <c r="BD238" s="210"/>
      <c r="BE238" s="210"/>
      <c r="BF238" s="210"/>
      <c r="BG238" s="210"/>
      <c r="BH238" s="210"/>
      <c r="BI238" s="210"/>
      <c r="BJ238" s="210"/>
    </row>
    <row r="239" spans="1:62" ht="15" x14ac:dyDescent="0.2">
      <c r="A239" s="210"/>
      <c r="B239" s="210"/>
      <c r="C239" s="210"/>
      <c r="D239" s="210"/>
      <c r="E239" s="210"/>
      <c r="F239" s="210"/>
      <c r="G239" s="210"/>
      <c r="H239" s="210"/>
      <c r="I239" s="210"/>
      <c r="J239" s="210"/>
      <c r="K239" s="210"/>
      <c r="L239" s="210"/>
      <c r="M239" s="210"/>
      <c r="N239" s="210"/>
      <c r="O239" s="210"/>
      <c r="P239" s="210"/>
      <c r="Q239" s="210"/>
      <c r="R239" s="210"/>
      <c r="S239" s="210"/>
      <c r="T239" s="210"/>
      <c r="U239" s="210"/>
      <c r="V239" s="210"/>
      <c r="W239" s="210"/>
      <c r="X239" s="210"/>
      <c r="Y239" s="210"/>
      <c r="Z239" s="210"/>
      <c r="AA239" s="210"/>
      <c r="AB239" s="210"/>
      <c r="AC239" s="210"/>
      <c r="AD239" s="210"/>
      <c r="AE239" s="210"/>
      <c r="AF239" s="210"/>
      <c r="AG239" s="210"/>
      <c r="AH239" s="210"/>
      <c r="AI239" s="210"/>
      <c r="AJ239" s="210"/>
      <c r="AK239" s="210"/>
      <c r="AL239" s="210"/>
      <c r="AM239" s="210"/>
      <c r="AN239" s="210"/>
      <c r="AO239" s="210"/>
      <c r="AP239" s="210"/>
      <c r="AQ239" s="210"/>
      <c r="AR239" s="210"/>
      <c r="AS239" s="210"/>
      <c r="AT239" s="210"/>
      <c r="AU239" s="210"/>
      <c r="AV239" s="210"/>
      <c r="AW239" s="210"/>
      <c r="AX239" s="210"/>
      <c r="AY239" s="210"/>
      <c r="AZ239" s="210"/>
      <c r="BA239" s="210"/>
      <c r="BB239" s="210"/>
      <c r="BC239" s="210"/>
      <c r="BD239" s="210"/>
      <c r="BE239" s="210"/>
      <c r="BF239" s="210"/>
      <c r="BG239" s="210"/>
      <c r="BH239" s="210"/>
      <c r="BI239" s="210"/>
      <c r="BJ239" s="210"/>
    </row>
    <row r="240" spans="1:62" ht="15" x14ac:dyDescent="0.2">
      <c r="A240" s="210"/>
      <c r="B240" s="210"/>
      <c r="C240" s="210"/>
      <c r="D240" s="210"/>
      <c r="E240" s="210"/>
      <c r="F240" s="210"/>
      <c r="G240" s="210"/>
      <c r="H240" s="210"/>
      <c r="I240" s="210"/>
      <c r="J240" s="210"/>
      <c r="K240" s="210"/>
      <c r="L240" s="210"/>
      <c r="M240" s="210"/>
      <c r="N240" s="210"/>
      <c r="O240" s="210"/>
      <c r="P240" s="210"/>
      <c r="Q240" s="210"/>
      <c r="R240" s="210"/>
      <c r="S240" s="210"/>
      <c r="T240" s="210"/>
      <c r="U240" s="210"/>
      <c r="V240" s="210"/>
      <c r="W240" s="210"/>
      <c r="X240" s="210"/>
      <c r="Y240" s="210"/>
      <c r="Z240" s="210"/>
      <c r="AA240" s="210"/>
      <c r="AB240" s="210"/>
      <c r="AC240" s="210"/>
      <c r="AD240" s="210"/>
      <c r="AE240" s="210"/>
      <c r="AF240" s="210"/>
      <c r="AG240" s="210"/>
      <c r="AH240" s="210"/>
      <c r="AI240" s="210"/>
      <c r="AJ240" s="210"/>
      <c r="AK240" s="210"/>
      <c r="AL240" s="210"/>
      <c r="AM240" s="210"/>
      <c r="AN240" s="210"/>
      <c r="AO240" s="210"/>
      <c r="AP240" s="210"/>
      <c r="AQ240" s="210"/>
      <c r="AR240" s="210"/>
      <c r="AS240" s="210"/>
      <c r="AT240" s="210"/>
      <c r="AU240" s="210"/>
      <c r="AV240" s="210"/>
      <c r="AW240" s="210"/>
      <c r="AX240" s="210"/>
      <c r="AY240" s="210"/>
      <c r="AZ240" s="210"/>
      <c r="BA240" s="210"/>
      <c r="BB240" s="210"/>
      <c r="BC240" s="210"/>
      <c r="BD240" s="210"/>
      <c r="BE240" s="210"/>
      <c r="BF240" s="210"/>
      <c r="BG240" s="210"/>
      <c r="BH240" s="210"/>
      <c r="BI240" s="210"/>
      <c r="BJ240" s="210"/>
    </row>
    <row r="241" spans="1:62" ht="15" x14ac:dyDescent="0.2">
      <c r="A241" s="210"/>
      <c r="B241" s="210"/>
      <c r="C241" s="210"/>
      <c r="D241" s="210"/>
      <c r="E241" s="210"/>
      <c r="F241" s="210"/>
      <c r="G241" s="210"/>
      <c r="H241" s="210"/>
      <c r="I241" s="210"/>
      <c r="J241" s="210"/>
      <c r="K241" s="210"/>
      <c r="L241" s="210"/>
      <c r="M241" s="210"/>
      <c r="N241" s="210"/>
      <c r="O241" s="210"/>
      <c r="P241" s="210"/>
      <c r="Q241" s="210"/>
      <c r="R241" s="210"/>
      <c r="S241" s="210"/>
      <c r="T241" s="210"/>
      <c r="U241" s="210"/>
      <c r="V241" s="210"/>
      <c r="W241" s="210"/>
      <c r="X241" s="210"/>
      <c r="Y241" s="210"/>
      <c r="Z241" s="210"/>
      <c r="AA241" s="210"/>
      <c r="AB241" s="210"/>
      <c r="AC241" s="210"/>
      <c r="AD241" s="210"/>
      <c r="AE241" s="210"/>
      <c r="AF241" s="210"/>
      <c r="AG241" s="210"/>
      <c r="AH241" s="210"/>
      <c r="AI241" s="210"/>
      <c r="AJ241" s="210"/>
      <c r="AK241" s="210"/>
      <c r="AL241" s="210"/>
      <c r="AM241" s="210"/>
      <c r="AN241" s="210"/>
      <c r="AO241" s="210"/>
      <c r="AP241" s="210"/>
      <c r="AQ241" s="210"/>
      <c r="AR241" s="210"/>
      <c r="AS241" s="210"/>
      <c r="AT241" s="210"/>
      <c r="AU241" s="210"/>
      <c r="AV241" s="210"/>
      <c r="AW241" s="210"/>
      <c r="AX241" s="210"/>
      <c r="AY241" s="210"/>
      <c r="AZ241" s="210"/>
      <c r="BA241" s="210"/>
      <c r="BB241" s="210"/>
      <c r="BC241" s="210"/>
      <c r="BD241" s="210"/>
      <c r="BE241" s="210"/>
      <c r="BF241" s="210"/>
      <c r="BG241" s="210"/>
      <c r="BH241" s="210"/>
      <c r="BI241" s="210"/>
      <c r="BJ241" s="210"/>
    </row>
    <row r="242" spans="1:62" ht="15" x14ac:dyDescent="0.2">
      <c r="A242" s="210"/>
      <c r="B242" s="210"/>
      <c r="C242" s="210"/>
      <c r="D242" s="210"/>
      <c r="E242" s="210"/>
      <c r="F242" s="210"/>
      <c r="G242" s="210"/>
      <c r="H242" s="210"/>
      <c r="I242" s="210"/>
      <c r="J242" s="210"/>
      <c r="K242" s="210"/>
      <c r="L242" s="210"/>
      <c r="M242" s="210"/>
      <c r="N242" s="210"/>
      <c r="O242" s="210"/>
      <c r="P242" s="210"/>
      <c r="Q242" s="210"/>
      <c r="R242" s="210"/>
      <c r="S242" s="210"/>
      <c r="T242" s="210"/>
      <c r="U242" s="210"/>
      <c r="V242" s="210"/>
      <c r="W242" s="210"/>
      <c r="X242" s="210"/>
      <c r="Y242" s="210"/>
      <c r="Z242" s="210"/>
      <c r="AA242" s="210"/>
      <c r="AB242" s="210"/>
      <c r="AC242" s="210"/>
      <c r="AD242" s="210"/>
      <c r="AE242" s="210"/>
      <c r="AF242" s="210"/>
      <c r="AG242" s="210"/>
      <c r="AH242" s="210"/>
      <c r="AI242" s="210"/>
      <c r="AJ242" s="210"/>
      <c r="AK242" s="210"/>
      <c r="AL242" s="210"/>
      <c r="AM242" s="210"/>
      <c r="AN242" s="210"/>
      <c r="AO242" s="210"/>
      <c r="AP242" s="210"/>
      <c r="AQ242" s="210"/>
      <c r="AR242" s="210"/>
      <c r="AS242" s="210"/>
      <c r="AT242" s="210"/>
      <c r="AU242" s="210"/>
      <c r="AV242" s="210"/>
      <c r="AW242" s="210"/>
      <c r="AX242" s="210"/>
      <c r="AY242" s="210"/>
      <c r="AZ242" s="210"/>
      <c r="BA242" s="210"/>
      <c r="BB242" s="210"/>
      <c r="BC242" s="210"/>
      <c r="BD242" s="210"/>
      <c r="BE242" s="210"/>
      <c r="BF242" s="210"/>
      <c r="BG242" s="210"/>
      <c r="BH242" s="210"/>
      <c r="BI242" s="210"/>
      <c r="BJ242" s="210"/>
    </row>
    <row r="243" spans="1:62" ht="15" x14ac:dyDescent="0.2">
      <c r="A243" s="210"/>
      <c r="B243" s="210"/>
      <c r="C243" s="210"/>
      <c r="D243" s="210"/>
      <c r="E243" s="210"/>
      <c r="F243" s="210"/>
      <c r="G243" s="210"/>
      <c r="H243" s="210"/>
      <c r="I243" s="210"/>
      <c r="J243" s="210"/>
      <c r="K243" s="210"/>
      <c r="L243" s="210"/>
      <c r="M243" s="210"/>
      <c r="N243" s="210"/>
      <c r="O243" s="210"/>
      <c r="P243" s="210"/>
      <c r="Q243" s="210"/>
      <c r="R243" s="210"/>
      <c r="S243" s="210"/>
      <c r="T243" s="210"/>
      <c r="U243" s="210"/>
      <c r="V243" s="210"/>
      <c r="W243" s="210"/>
      <c r="X243" s="210"/>
      <c r="Y243" s="210"/>
      <c r="Z243" s="210"/>
      <c r="AA243" s="210"/>
      <c r="AB243" s="210"/>
      <c r="AC243" s="210"/>
      <c r="AD243" s="210"/>
      <c r="AE243" s="210"/>
      <c r="AF243" s="210"/>
      <c r="AG243" s="210"/>
      <c r="AH243" s="210"/>
      <c r="AI243" s="210"/>
      <c r="AJ243" s="210"/>
      <c r="AK243" s="210"/>
      <c r="AL243" s="210"/>
      <c r="AM243" s="210"/>
      <c r="AN243" s="210"/>
      <c r="AO243" s="210"/>
      <c r="AP243" s="210"/>
      <c r="AQ243" s="210"/>
      <c r="AR243" s="210"/>
      <c r="AS243" s="210"/>
      <c r="AT243" s="210"/>
      <c r="AU243" s="210"/>
      <c r="AV243" s="210"/>
      <c r="AW243" s="210"/>
      <c r="AX243" s="210"/>
      <c r="AY243" s="210"/>
      <c r="AZ243" s="210"/>
      <c r="BA243" s="210"/>
      <c r="BB243" s="210"/>
      <c r="BC243" s="210"/>
      <c r="BD243" s="210"/>
      <c r="BE243" s="210"/>
      <c r="BF243" s="210"/>
      <c r="BG243" s="210"/>
      <c r="BH243" s="210"/>
      <c r="BI243" s="210"/>
      <c r="BJ243" s="210"/>
    </row>
    <row r="244" spans="1:62" ht="15" x14ac:dyDescent="0.2">
      <c r="A244" s="210"/>
      <c r="B244" s="210"/>
      <c r="C244" s="210"/>
      <c r="D244" s="210"/>
      <c r="E244" s="210"/>
      <c r="F244" s="210"/>
      <c r="G244" s="210"/>
      <c r="H244" s="210"/>
      <c r="I244" s="210"/>
      <c r="J244" s="210"/>
      <c r="K244" s="210"/>
      <c r="L244" s="210"/>
      <c r="M244" s="210"/>
      <c r="N244" s="210"/>
      <c r="O244" s="210"/>
      <c r="P244" s="210"/>
      <c r="Q244" s="210"/>
      <c r="R244" s="210"/>
      <c r="S244" s="210"/>
      <c r="T244" s="210"/>
      <c r="U244" s="210"/>
      <c r="V244" s="210"/>
      <c r="W244" s="210"/>
      <c r="X244" s="210"/>
      <c r="Y244" s="210"/>
      <c r="Z244" s="210"/>
      <c r="AA244" s="210"/>
      <c r="AB244" s="210"/>
      <c r="AC244" s="210"/>
      <c r="AD244" s="210"/>
      <c r="AE244" s="210"/>
      <c r="AF244" s="210"/>
      <c r="AG244" s="210"/>
      <c r="AH244" s="210"/>
      <c r="AI244" s="210"/>
      <c r="AJ244" s="210"/>
      <c r="AK244" s="210"/>
      <c r="AL244" s="210"/>
      <c r="AM244" s="210"/>
      <c r="AN244" s="210"/>
      <c r="AO244" s="210"/>
      <c r="AP244" s="210"/>
      <c r="AQ244" s="210"/>
      <c r="AR244" s="210"/>
      <c r="AS244" s="210"/>
      <c r="AT244" s="210"/>
      <c r="AU244" s="210"/>
      <c r="AV244" s="210"/>
      <c r="AW244" s="210"/>
      <c r="AX244" s="210"/>
      <c r="AY244" s="210"/>
      <c r="AZ244" s="210"/>
      <c r="BA244" s="210"/>
      <c r="BB244" s="210"/>
      <c r="BC244" s="210"/>
      <c r="BD244" s="210"/>
      <c r="BE244" s="210"/>
      <c r="BF244" s="210"/>
      <c r="BG244" s="210"/>
      <c r="BH244" s="210"/>
      <c r="BI244" s="210"/>
      <c r="BJ244" s="210"/>
    </row>
    <row r="245" spans="1:62" ht="15" x14ac:dyDescent="0.2">
      <c r="A245" s="210"/>
      <c r="B245" s="210"/>
      <c r="C245" s="210"/>
      <c r="D245" s="210"/>
      <c r="E245" s="210"/>
      <c r="F245" s="210"/>
      <c r="G245" s="210"/>
      <c r="H245" s="210"/>
      <c r="I245" s="210"/>
      <c r="J245" s="210"/>
      <c r="K245" s="210"/>
      <c r="L245" s="210"/>
      <c r="M245" s="210"/>
      <c r="N245" s="210"/>
      <c r="O245" s="210"/>
      <c r="P245" s="210"/>
      <c r="Q245" s="210"/>
      <c r="R245" s="210"/>
      <c r="S245" s="210"/>
      <c r="T245" s="210"/>
      <c r="U245" s="210"/>
      <c r="V245" s="210"/>
      <c r="W245" s="210"/>
      <c r="X245" s="210"/>
      <c r="Y245" s="210"/>
      <c r="Z245" s="210"/>
      <c r="AA245" s="210"/>
      <c r="AB245" s="210"/>
      <c r="AC245" s="210"/>
      <c r="AD245" s="210"/>
      <c r="AE245" s="210"/>
      <c r="AF245" s="210"/>
      <c r="AG245" s="210"/>
      <c r="AH245" s="210"/>
      <c r="AI245" s="210"/>
      <c r="AJ245" s="210"/>
      <c r="AK245" s="210"/>
      <c r="AL245" s="210"/>
      <c r="AM245" s="210"/>
      <c r="AN245" s="210"/>
      <c r="AO245" s="210"/>
      <c r="AP245" s="210"/>
      <c r="AQ245" s="210"/>
      <c r="AR245" s="210"/>
      <c r="AS245" s="210"/>
      <c r="AT245" s="210"/>
      <c r="AU245" s="210"/>
      <c r="AV245" s="210"/>
      <c r="AW245" s="210"/>
      <c r="AX245" s="210"/>
      <c r="AY245" s="210"/>
      <c r="AZ245" s="210"/>
      <c r="BA245" s="210"/>
      <c r="BB245" s="210"/>
      <c r="BC245" s="210"/>
      <c r="BD245" s="210"/>
      <c r="BE245" s="210"/>
      <c r="BF245" s="210"/>
      <c r="BG245" s="210"/>
      <c r="BH245" s="210"/>
      <c r="BI245" s="210"/>
      <c r="BJ245" s="210"/>
    </row>
    <row r="246" spans="1:62" ht="15" x14ac:dyDescent="0.2">
      <c r="A246" s="210"/>
      <c r="B246" s="210"/>
      <c r="C246" s="210"/>
      <c r="D246" s="210"/>
      <c r="E246" s="210"/>
      <c r="F246" s="210"/>
      <c r="G246" s="210"/>
      <c r="H246" s="210"/>
      <c r="I246" s="210"/>
      <c r="J246" s="210"/>
      <c r="K246" s="210"/>
      <c r="L246" s="210"/>
      <c r="M246" s="210"/>
      <c r="N246" s="210"/>
      <c r="O246" s="210"/>
      <c r="P246" s="210"/>
      <c r="Q246" s="210"/>
      <c r="R246" s="210"/>
      <c r="S246" s="210"/>
      <c r="T246" s="210"/>
      <c r="U246" s="210"/>
      <c r="V246" s="210"/>
      <c r="W246" s="210"/>
      <c r="X246" s="210"/>
      <c r="Y246" s="210"/>
      <c r="Z246" s="210"/>
      <c r="AA246" s="210"/>
      <c r="AB246" s="210"/>
      <c r="AC246" s="210"/>
      <c r="AD246" s="210"/>
      <c r="AE246" s="210"/>
      <c r="AF246" s="210"/>
      <c r="AG246" s="210"/>
      <c r="AH246" s="210"/>
      <c r="AI246" s="210"/>
      <c r="AJ246" s="210"/>
      <c r="AK246" s="210"/>
      <c r="AL246" s="210"/>
      <c r="AM246" s="210"/>
      <c r="AN246" s="210"/>
      <c r="AO246" s="210"/>
      <c r="AP246" s="210"/>
      <c r="AQ246" s="210"/>
      <c r="AR246" s="210"/>
      <c r="AS246" s="210"/>
      <c r="AT246" s="210"/>
      <c r="AU246" s="210"/>
      <c r="AV246" s="210"/>
      <c r="AW246" s="210"/>
      <c r="AX246" s="210"/>
      <c r="AY246" s="210"/>
      <c r="AZ246" s="210"/>
      <c r="BA246" s="210"/>
      <c r="BB246" s="210"/>
      <c r="BC246" s="210"/>
      <c r="BD246" s="210"/>
      <c r="BE246" s="210"/>
      <c r="BF246" s="210"/>
      <c r="BG246" s="210"/>
      <c r="BH246" s="210"/>
      <c r="BI246" s="210"/>
      <c r="BJ246" s="210"/>
    </row>
    <row r="247" spans="1:62" ht="15" x14ac:dyDescent="0.2">
      <c r="A247" s="210"/>
      <c r="B247" s="210"/>
      <c r="C247" s="210"/>
      <c r="D247" s="210"/>
      <c r="E247" s="210"/>
      <c r="F247" s="210"/>
      <c r="G247" s="210"/>
      <c r="H247" s="210"/>
      <c r="I247" s="210"/>
      <c r="J247" s="210"/>
      <c r="K247" s="210"/>
      <c r="L247" s="210"/>
      <c r="M247" s="210"/>
      <c r="N247" s="210"/>
      <c r="O247" s="210"/>
      <c r="P247" s="210"/>
      <c r="Q247" s="210"/>
      <c r="R247" s="210"/>
      <c r="S247" s="210"/>
      <c r="T247" s="210"/>
      <c r="U247" s="210"/>
      <c r="V247" s="210"/>
      <c r="W247" s="210"/>
      <c r="X247" s="210"/>
      <c r="Y247" s="210"/>
      <c r="Z247" s="210"/>
      <c r="AA247" s="210"/>
      <c r="AB247" s="210"/>
      <c r="AC247" s="210"/>
      <c r="AD247" s="210"/>
      <c r="AE247" s="210"/>
      <c r="AF247" s="210"/>
      <c r="AG247" s="210"/>
      <c r="AH247" s="210"/>
      <c r="AI247" s="210"/>
      <c r="AJ247" s="210"/>
      <c r="AK247" s="210"/>
      <c r="AL247" s="210"/>
      <c r="AM247" s="210"/>
      <c r="AN247" s="210"/>
      <c r="AO247" s="210"/>
      <c r="AP247" s="210"/>
      <c r="AQ247" s="210"/>
      <c r="AR247" s="210"/>
      <c r="AS247" s="210"/>
      <c r="AT247" s="210"/>
      <c r="AU247" s="210"/>
      <c r="AV247" s="210"/>
      <c r="AW247" s="210"/>
      <c r="AX247" s="210"/>
      <c r="AY247" s="210"/>
      <c r="AZ247" s="210"/>
      <c r="BA247" s="210"/>
      <c r="BB247" s="210"/>
      <c r="BC247" s="210"/>
      <c r="BD247" s="210"/>
      <c r="BE247" s="210"/>
      <c r="BF247" s="210"/>
      <c r="BG247" s="210"/>
      <c r="BH247" s="210"/>
      <c r="BI247" s="210"/>
      <c r="BJ247" s="210"/>
    </row>
    <row r="248" spans="1:62" ht="15" x14ac:dyDescent="0.2">
      <c r="A248" s="210"/>
      <c r="B248" s="210"/>
      <c r="C248" s="210"/>
      <c r="D248" s="210"/>
      <c r="E248" s="210"/>
      <c r="F248" s="210"/>
      <c r="G248" s="210"/>
      <c r="H248" s="210"/>
      <c r="I248" s="210"/>
      <c r="J248" s="210"/>
      <c r="K248" s="210"/>
      <c r="L248" s="210"/>
      <c r="M248" s="210"/>
      <c r="N248" s="210"/>
      <c r="O248" s="210"/>
      <c r="P248" s="210"/>
      <c r="Q248" s="210"/>
      <c r="R248" s="210"/>
      <c r="S248" s="210"/>
      <c r="T248" s="210"/>
      <c r="U248" s="210"/>
      <c r="V248" s="210"/>
      <c r="W248" s="210"/>
      <c r="X248" s="210"/>
      <c r="Y248" s="210"/>
      <c r="Z248" s="210"/>
      <c r="AA248" s="210"/>
      <c r="AB248" s="210"/>
      <c r="AC248" s="210"/>
      <c r="AD248" s="210"/>
      <c r="AE248" s="210"/>
      <c r="AF248" s="210"/>
      <c r="AG248" s="210"/>
      <c r="AH248" s="210"/>
      <c r="AI248" s="210"/>
      <c r="AJ248" s="210"/>
      <c r="AK248" s="210"/>
      <c r="AL248" s="210"/>
      <c r="AM248" s="210"/>
      <c r="AN248" s="210"/>
      <c r="AO248" s="210"/>
      <c r="AP248" s="210"/>
      <c r="AQ248" s="210"/>
      <c r="AR248" s="210"/>
      <c r="AS248" s="210"/>
      <c r="AT248" s="210"/>
      <c r="AU248" s="210"/>
      <c r="AV248" s="210"/>
      <c r="AW248" s="210"/>
      <c r="AX248" s="210"/>
      <c r="AY248" s="210"/>
      <c r="AZ248" s="210"/>
      <c r="BA248" s="210"/>
      <c r="BB248" s="210"/>
      <c r="BC248" s="210"/>
      <c r="BD248" s="210"/>
      <c r="BE248" s="210"/>
      <c r="BF248" s="210"/>
      <c r="BG248" s="210"/>
      <c r="BH248" s="210"/>
      <c r="BI248" s="210"/>
      <c r="BJ248" s="210"/>
    </row>
    <row r="249" spans="1:62" ht="15" x14ac:dyDescent="0.2">
      <c r="A249" s="210"/>
      <c r="B249" s="210"/>
      <c r="C249" s="210"/>
      <c r="D249" s="210"/>
      <c r="E249" s="210"/>
      <c r="F249" s="210"/>
      <c r="G249" s="210"/>
      <c r="H249" s="210"/>
      <c r="I249" s="210"/>
      <c r="J249" s="210"/>
      <c r="K249" s="210"/>
      <c r="L249" s="210"/>
      <c r="M249" s="210"/>
      <c r="N249" s="210"/>
      <c r="O249" s="210"/>
      <c r="P249" s="210"/>
      <c r="Q249" s="210"/>
      <c r="R249" s="210"/>
      <c r="S249" s="210"/>
      <c r="T249" s="210"/>
      <c r="U249" s="210"/>
      <c r="V249" s="210"/>
      <c r="W249" s="210"/>
      <c r="X249" s="210"/>
      <c r="Y249" s="210"/>
      <c r="Z249" s="210"/>
      <c r="AA249" s="210"/>
      <c r="AB249" s="210"/>
      <c r="AC249" s="210"/>
      <c r="AD249" s="210"/>
      <c r="AE249" s="210"/>
      <c r="AF249" s="210"/>
      <c r="AG249" s="210"/>
      <c r="AH249" s="210"/>
      <c r="AI249" s="210"/>
      <c r="AJ249" s="210"/>
      <c r="AK249" s="210"/>
      <c r="AL249" s="210"/>
      <c r="AM249" s="210"/>
      <c r="AN249" s="210"/>
      <c r="AO249" s="210"/>
      <c r="AP249" s="210"/>
      <c r="AQ249" s="210"/>
      <c r="AR249" s="210"/>
      <c r="AS249" s="210"/>
      <c r="AT249" s="210"/>
      <c r="AU249" s="210"/>
      <c r="AV249" s="210"/>
      <c r="AW249" s="210"/>
      <c r="AX249" s="210"/>
      <c r="AY249" s="210"/>
      <c r="AZ249" s="210"/>
      <c r="BA249" s="210"/>
      <c r="BB249" s="210"/>
      <c r="BC249" s="210"/>
      <c r="BD249" s="210"/>
      <c r="BE249" s="210"/>
      <c r="BF249" s="210"/>
      <c r="BG249" s="210"/>
      <c r="BH249" s="210"/>
      <c r="BI249" s="210"/>
      <c r="BJ249" s="210"/>
    </row>
    <row r="250" spans="1:62" ht="15" x14ac:dyDescent="0.2">
      <c r="A250" s="210"/>
      <c r="B250" s="210"/>
      <c r="C250" s="210"/>
      <c r="D250" s="210"/>
      <c r="E250" s="210"/>
      <c r="F250" s="210"/>
      <c r="G250" s="210"/>
      <c r="H250" s="210"/>
      <c r="I250" s="210"/>
      <c r="J250" s="210"/>
      <c r="K250" s="210"/>
      <c r="L250" s="210"/>
      <c r="M250" s="210"/>
      <c r="N250" s="210"/>
      <c r="O250" s="210"/>
      <c r="P250" s="210"/>
      <c r="Q250" s="210"/>
      <c r="R250" s="210"/>
      <c r="S250" s="210"/>
      <c r="T250" s="210"/>
      <c r="U250" s="210"/>
      <c r="V250" s="210"/>
      <c r="W250" s="210"/>
      <c r="X250" s="210"/>
      <c r="Y250" s="210"/>
      <c r="Z250" s="210"/>
      <c r="AA250" s="210"/>
      <c r="AB250" s="210"/>
      <c r="AC250" s="210"/>
      <c r="AD250" s="210"/>
      <c r="AE250" s="210"/>
      <c r="AF250" s="210"/>
      <c r="AG250" s="210"/>
      <c r="AH250" s="210"/>
      <c r="AI250" s="210"/>
      <c r="AJ250" s="210"/>
      <c r="AK250" s="210"/>
      <c r="AL250" s="210"/>
      <c r="AM250" s="210"/>
      <c r="AN250" s="210"/>
      <c r="AO250" s="210"/>
      <c r="AP250" s="210"/>
      <c r="AQ250" s="210"/>
      <c r="AR250" s="210"/>
      <c r="AS250" s="210"/>
      <c r="AT250" s="210"/>
      <c r="AU250" s="210"/>
      <c r="AV250" s="210"/>
      <c r="AW250" s="210"/>
      <c r="AX250" s="210"/>
      <c r="AY250" s="210"/>
      <c r="AZ250" s="210"/>
      <c r="BA250" s="210"/>
      <c r="BB250" s="210"/>
      <c r="BC250" s="210"/>
      <c r="BD250" s="210"/>
      <c r="BE250" s="210"/>
      <c r="BF250" s="210"/>
      <c r="BG250" s="210"/>
      <c r="BH250" s="210"/>
      <c r="BI250" s="210"/>
      <c r="BJ250" s="210"/>
    </row>
    <row r="251" spans="1:62" ht="15" x14ac:dyDescent="0.2">
      <c r="A251" s="210"/>
      <c r="B251" s="210"/>
      <c r="C251" s="210"/>
      <c r="D251" s="210"/>
      <c r="E251" s="210"/>
      <c r="F251" s="210"/>
      <c r="G251" s="210"/>
      <c r="H251" s="210"/>
      <c r="I251" s="210"/>
      <c r="J251" s="210"/>
      <c r="K251" s="210"/>
      <c r="L251" s="210"/>
      <c r="M251" s="210"/>
      <c r="N251" s="210"/>
      <c r="O251" s="210"/>
      <c r="P251" s="210"/>
      <c r="Q251" s="210"/>
      <c r="R251" s="210"/>
      <c r="S251" s="210"/>
      <c r="T251" s="210"/>
      <c r="U251" s="210"/>
      <c r="V251" s="210"/>
      <c r="W251" s="210"/>
      <c r="X251" s="210"/>
      <c r="Y251" s="210"/>
      <c r="Z251" s="210"/>
      <c r="AA251" s="210"/>
      <c r="AB251" s="210"/>
      <c r="AC251" s="210"/>
      <c r="AD251" s="210"/>
      <c r="AE251" s="210"/>
      <c r="AF251" s="210"/>
      <c r="AG251" s="210"/>
      <c r="AH251" s="210"/>
      <c r="AI251" s="210"/>
      <c r="AJ251" s="210"/>
      <c r="AK251" s="210"/>
      <c r="AL251" s="210"/>
      <c r="AM251" s="210"/>
      <c r="AN251" s="210"/>
      <c r="AO251" s="210"/>
      <c r="AP251" s="210"/>
      <c r="AQ251" s="210"/>
      <c r="AR251" s="210"/>
      <c r="AS251" s="210"/>
      <c r="AT251" s="210"/>
      <c r="AU251" s="210"/>
      <c r="AV251" s="210"/>
      <c r="AW251" s="210"/>
      <c r="AX251" s="210"/>
      <c r="AY251" s="210"/>
      <c r="AZ251" s="210"/>
      <c r="BA251" s="210"/>
      <c r="BB251" s="210"/>
      <c r="BC251" s="210"/>
      <c r="BD251" s="210"/>
      <c r="BE251" s="210"/>
      <c r="BF251" s="210"/>
      <c r="BG251" s="210"/>
      <c r="BH251" s="210"/>
      <c r="BI251" s="210"/>
      <c r="BJ251" s="210"/>
    </row>
    <row r="252" spans="1:62" ht="15" x14ac:dyDescent="0.2">
      <c r="A252" s="210"/>
      <c r="B252" s="210"/>
      <c r="C252" s="210"/>
      <c r="D252" s="210"/>
      <c r="E252" s="210"/>
      <c r="F252" s="210"/>
      <c r="G252" s="210"/>
      <c r="H252" s="210"/>
      <c r="I252" s="210"/>
      <c r="J252" s="210"/>
      <c r="K252" s="210"/>
      <c r="L252" s="210"/>
      <c r="M252" s="210"/>
      <c r="N252" s="210"/>
      <c r="O252" s="210"/>
      <c r="P252" s="210"/>
      <c r="Q252" s="210"/>
      <c r="R252" s="210"/>
      <c r="S252" s="210"/>
      <c r="T252" s="210"/>
      <c r="U252" s="210"/>
      <c r="V252" s="210"/>
      <c r="W252" s="210"/>
      <c r="X252" s="210"/>
      <c r="Y252" s="210"/>
      <c r="Z252" s="210"/>
      <c r="AA252" s="210"/>
      <c r="AB252" s="210"/>
      <c r="AC252" s="210"/>
      <c r="AD252" s="210"/>
      <c r="AE252" s="210"/>
      <c r="AF252" s="210"/>
      <c r="AG252" s="210"/>
      <c r="AH252" s="210"/>
      <c r="AI252" s="210"/>
      <c r="AJ252" s="210"/>
      <c r="AK252" s="210"/>
      <c r="AL252" s="210"/>
      <c r="AM252" s="210"/>
      <c r="AN252" s="210"/>
      <c r="AO252" s="210"/>
      <c r="AP252" s="210"/>
      <c r="AQ252" s="210"/>
      <c r="AR252" s="210"/>
      <c r="AS252" s="210"/>
      <c r="AT252" s="210"/>
      <c r="AU252" s="210"/>
      <c r="AV252" s="210"/>
      <c r="AW252" s="210"/>
      <c r="AX252" s="210"/>
      <c r="AY252" s="210"/>
      <c r="AZ252" s="210"/>
      <c r="BA252" s="210"/>
      <c r="BB252" s="210"/>
      <c r="BC252" s="210"/>
      <c r="BD252" s="210"/>
      <c r="BE252" s="210"/>
      <c r="BF252" s="210"/>
      <c r="BG252" s="210"/>
      <c r="BH252" s="210"/>
      <c r="BI252" s="210"/>
      <c r="BJ252" s="210"/>
    </row>
    <row r="253" spans="1:62" ht="15" x14ac:dyDescent="0.2">
      <c r="A253" s="210"/>
      <c r="B253" s="210"/>
      <c r="C253" s="210"/>
      <c r="D253" s="210"/>
      <c r="E253" s="210"/>
      <c r="F253" s="210"/>
      <c r="G253" s="210"/>
      <c r="H253" s="210"/>
      <c r="I253" s="210"/>
      <c r="J253" s="210"/>
      <c r="K253" s="210"/>
      <c r="L253" s="210"/>
      <c r="M253" s="210"/>
      <c r="N253" s="210"/>
      <c r="O253" s="210"/>
      <c r="P253" s="210"/>
      <c r="Q253" s="210"/>
      <c r="R253" s="210"/>
      <c r="S253" s="210"/>
      <c r="T253" s="210"/>
      <c r="U253" s="210"/>
      <c r="V253" s="210"/>
      <c r="W253" s="210"/>
      <c r="X253" s="210"/>
      <c r="Y253" s="210"/>
      <c r="Z253" s="210"/>
      <c r="AA253" s="210"/>
      <c r="AB253" s="210"/>
      <c r="AC253" s="210"/>
      <c r="AD253" s="210"/>
      <c r="AE253" s="210"/>
      <c r="AF253" s="210"/>
      <c r="AG253" s="210"/>
      <c r="AH253" s="210"/>
      <c r="AI253" s="210"/>
      <c r="AJ253" s="210"/>
      <c r="AK253" s="210"/>
      <c r="AL253" s="210"/>
      <c r="AM253" s="210"/>
      <c r="AN253" s="210"/>
      <c r="AO253" s="210"/>
      <c r="AP253" s="210"/>
      <c r="AQ253" s="210"/>
      <c r="AR253" s="210"/>
      <c r="AS253" s="210"/>
      <c r="AT253" s="210"/>
      <c r="AU253" s="210"/>
      <c r="AV253" s="210"/>
      <c r="AW253" s="210"/>
      <c r="AX253" s="210"/>
      <c r="AY253" s="210"/>
      <c r="AZ253" s="210"/>
      <c r="BA253" s="210"/>
      <c r="BB253" s="210"/>
      <c r="BC253" s="210"/>
      <c r="BD253" s="210"/>
      <c r="BE253" s="210"/>
      <c r="BF253" s="210"/>
      <c r="BG253" s="210"/>
      <c r="BH253" s="210"/>
      <c r="BI253" s="210"/>
      <c r="BJ253" s="210"/>
    </row>
    <row r="254" spans="1:62" ht="15" x14ac:dyDescent="0.2">
      <c r="A254" s="210"/>
      <c r="B254" s="210"/>
      <c r="C254" s="210"/>
      <c r="D254" s="210"/>
      <c r="E254" s="210"/>
      <c r="F254" s="210"/>
      <c r="G254" s="210"/>
      <c r="H254" s="210"/>
      <c r="I254" s="210"/>
      <c r="J254" s="210"/>
      <c r="K254" s="210"/>
      <c r="L254" s="210"/>
      <c r="M254" s="210"/>
      <c r="N254" s="210"/>
      <c r="O254" s="210"/>
      <c r="P254" s="210"/>
      <c r="Q254" s="210"/>
      <c r="R254" s="210"/>
      <c r="S254" s="210"/>
      <c r="T254" s="210"/>
      <c r="U254" s="210"/>
      <c r="V254" s="210"/>
      <c r="W254" s="210"/>
      <c r="X254" s="210"/>
      <c r="Y254" s="210"/>
      <c r="Z254" s="210"/>
      <c r="AA254" s="210"/>
      <c r="AB254" s="210"/>
      <c r="AC254" s="210"/>
      <c r="AD254" s="210"/>
      <c r="AE254" s="210"/>
      <c r="AF254" s="210"/>
      <c r="AG254" s="210"/>
      <c r="AH254" s="210"/>
      <c r="AI254" s="210"/>
      <c r="AJ254" s="210"/>
      <c r="AK254" s="210"/>
      <c r="AL254" s="210"/>
      <c r="AM254" s="210"/>
      <c r="AN254" s="210"/>
      <c r="AO254" s="210"/>
      <c r="AP254" s="210"/>
      <c r="AQ254" s="210"/>
      <c r="AR254" s="210"/>
      <c r="AS254" s="210"/>
      <c r="AT254" s="210"/>
      <c r="AU254" s="210"/>
      <c r="AV254" s="210"/>
      <c r="AW254" s="210"/>
      <c r="AX254" s="210"/>
      <c r="AY254" s="210"/>
      <c r="AZ254" s="210"/>
      <c r="BA254" s="210"/>
      <c r="BB254" s="210"/>
      <c r="BC254" s="210"/>
      <c r="BD254" s="210"/>
      <c r="BE254" s="210"/>
      <c r="BF254" s="210"/>
      <c r="BG254" s="210"/>
      <c r="BH254" s="210"/>
      <c r="BI254" s="210"/>
      <c r="BJ254" s="210"/>
    </row>
    <row r="255" spans="1:62" ht="15" x14ac:dyDescent="0.2">
      <c r="A255" s="210"/>
      <c r="B255" s="210"/>
      <c r="C255" s="210"/>
      <c r="D255" s="210"/>
      <c r="E255" s="210"/>
      <c r="F255" s="210"/>
      <c r="G255" s="210"/>
      <c r="H255" s="210"/>
      <c r="I255" s="210"/>
      <c r="J255" s="210"/>
      <c r="K255" s="210"/>
      <c r="L255" s="210"/>
      <c r="M255" s="210"/>
      <c r="N255" s="210"/>
      <c r="O255" s="210"/>
      <c r="P255" s="210"/>
      <c r="Q255" s="210"/>
      <c r="R255" s="210"/>
      <c r="S255" s="210"/>
      <c r="T255" s="210"/>
      <c r="U255" s="210"/>
      <c r="V255" s="210"/>
      <c r="W255" s="210"/>
      <c r="X255" s="210"/>
      <c r="Y255" s="210"/>
      <c r="Z255" s="210"/>
      <c r="AA255" s="210"/>
      <c r="AB255" s="210"/>
      <c r="AC255" s="210"/>
      <c r="AD255" s="210"/>
      <c r="AE255" s="210"/>
      <c r="AF255" s="210"/>
      <c r="AG255" s="210"/>
      <c r="AH255" s="210"/>
      <c r="AI255" s="210"/>
      <c r="AJ255" s="210"/>
      <c r="AK255" s="210"/>
      <c r="AL255" s="210"/>
      <c r="AM255" s="210"/>
      <c r="AN255" s="210"/>
      <c r="AO255" s="210"/>
      <c r="AP255" s="210"/>
      <c r="AQ255" s="210"/>
      <c r="AR255" s="210"/>
      <c r="AS255" s="210"/>
      <c r="AT255" s="210"/>
      <c r="AU255" s="210"/>
      <c r="AV255" s="210"/>
      <c r="AW255" s="210"/>
      <c r="AX255" s="210"/>
      <c r="AY255" s="210"/>
      <c r="AZ255" s="210"/>
      <c r="BA255" s="210"/>
      <c r="BB255" s="210"/>
      <c r="BC255" s="210"/>
      <c r="BD255" s="210"/>
      <c r="BE255" s="210"/>
      <c r="BF255" s="210"/>
      <c r="BG255" s="210"/>
      <c r="BH255" s="210"/>
      <c r="BI255" s="210"/>
      <c r="BJ255" s="210"/>
    </row>
    <row r="256" spans="1:62" ht="15" x14ac:dyDescent="0.2">
      <c r="A256" s="210"/>
      <c r="B256" s="210"/>
      <c r="C256" s="210"/>
      <c r="D256" s="210"/>
      <c r="E256" s="210"/>
      <c r="F256" s="210"/>
      <c r="G256" s="210"/>
      <c r="H256" s="210"/>
      <c r="I256" s="210"/>
      <c r="J256" s="210"/>
      <c r="K256" s="210"/>
      <c r="L256" s="210"/>
      <c r="M256" s="210"/>
      <c r="N256" s="210"/>
      <c r="O256" s="210"/>
      <c r="P256" s="210"/>
      <c r="Q256" s="210"/>
      <c r="R256" s="210"/>
      <c r="S256" s="210"/>
      <c r="T256" s="210"/>
      <c r="U256" s="210"/>
      <c r="V256" s="210"/>
      <c r="W256" s="210"/>
      <c r="X256" s="210"/>
      <c r="Y256" s="210"/>
      <c r="Z256" s="210"/>
      <c r="AA256" s="210"/>
      <c r="AB256" s="210"/>
      <c r="AC256" s="210"/>
      <c r="AD256" s="210"/>
      <c r="AE256" s="210"/>
      <c r="AF256" s="210"/>
      <c r="AG256" s="210"/>
      <c r="AH256" s="210"/>
      <c r="AI256" s="210"/>
      <c r="AJ256" s="210"/>
      <c r="AK256" s="210"/>
      <c r="AL256" s="210"/>
      <c r="AM256" s="210"/>
      <c r="AN256" s="210"/>
      <c r="AO256" s="210"/>
      <c r="AP256" s="210"/>
      <c r="AQ256" s="210"/>
      <c r="AR256" s="210"/>
      <c r="AS256" s="210"/>
      <c r="AT256" s="210"/>
      <c r="AU256" s="210"/>
      <c r="AV256" s="210"/>
      <c r="AW256" s="210"/>
      <c r="AX256" s="210"/>
      <c r="AY256" s="210"/>
      <c r="AZ256" s="210"/>
      <c r="BA256" s="210"/>
      <c r="BB256" s="210"/>
      <c r="BC256" s="210"/>
      <c r="BD256" s="210"/>
      <c r="BE256" s="210"/>
      <c r="BF256" s="210"/>
      <c r="BG256" s="210"/>
      <c r="BH256" s="210"/>
      <c r="BI256" s="210"/>
      <c r="BJ256" s="210"/>
    </row>
    <row r="257" spans="1:62" ht="15" x14ac:dyDescent="0.2">
      <c r="A257" s="210"/>
      <c r="B257" s="210"/>
      <c r="C257" s="210"/>
      <c r="D257" s="210"/>
      <c r="E257" s="210"/>
      <c r="F257" s="210"/>
      <c r="G257" s="210"/>
      <c r="H257" s="210"/>
      <c r="I257" s="210"/>
      <c r="J257" s="210"/>
      <c r="K257" s="210"/>
      <c r="L257" s="210"/>
      <c r="M257" s="210"/>
      <c r="N257" s="210"/>
      <c r="O257" s="210"/>
      <c r="P257" s="210"/>
      <c r="Q257" s="210"/>
      <c r="R257" s="210"/>
      <c r="S257" s="210"/>
      <c r="T257" s="210"/>
      <c r="U257" s="210"/>
      <c r="V257" s="210"/>
      <c r="W257" s="210"/>
      <c r="X257" s="210"/>
      <c r="Y257" s="210"/>
      <c r="Z257" s="210"/>
      <c r="AA257" s="210"/>
      <c r="AB257" s="210"/>
      <c r="AC257" s="210"/>
      <c r="AD257" s="210"/>
      <c r="AE257" s="210"/>
      <c r="AF257" s="210"/>
      <c r="AG257" s="210"/>
      <c r="AH257" s="210"/>
      <c r="AI257" s="210"/>
      <c r="AJ257" s="210"/>
      <c r="AK257" s="210"/>
      <c r="AL257" s="210"/>
      <c r="AM257" s="210"/>
      <c r="AN257" s="210"/>
      <c r="AO257" s="210"/>
      <c r="AP257" s="210"/>
      <c r="AQ257" s="210"/>
      <c r="AR257" s="210"/>
      <c r="AS257" s="210"/>
      <c r="AT257" s="210"/>
      <c r="AU257" s="210"/>
      <c r="AV257" s="210"/>
      <c r="AW257" s="210"/>
      <c r="AX257" s="210"/>
      <c r="AY257" s="210"/>
      <c r="AZ257" s="210"/>
      <c r="BA257" s="210"/>
      <c r="BB257" s="210"/>
      <c r="BC257" s="210"/>
      <c r="BD257" s="210"/>
      <c r="BE257" s="210"/>
      <c r="BF257" s="210"/>
      <c r="BG257" s="210"/>
      <c r="BH257" s="210"/>
      <c r="BI257" s="210"/>
      <c r="BJ257" s="210"/>
    </row>
    <row r="258" spans="1:62" ht="15" x14ac:dyDescent="0.2">
      <c r="A258" s="210"/>
      <c r="B258" s="210"/>
      <c r="C258" s="210"/>
      <c r="D258" s="210"/>
      <c r="E258" s="210"/>
      <c r="F258" s="210"/>
      <c r="G258" s="210"/>
      <c r="H258" s="210"/>
      <c r="I258" s="210"/>
      <c r="J258" s="210"/>
      <c r="K258" s="210"/>
      <c r="L258" s="210"/>
      <c r="M258" s="210"/>
      <c r="N258" s="210"/>
      <c r="O258" s="210"/>
      <c r="P258" s="210"/>
      <c r="Q258" s="210"/>
      <c r="R258" s="210"/>
      <c r="S258" s="210"/>
      <c r="T258" s="210"/>
      <c r="U258" s="210"/>
      <c r="V258" s="210"/>
      <c r="W258" s="210"/>
      <c r="X258" s="210"/>
      <c r="Y258" s="210"/>
      <c r="Z258" s="210"/>
      <c r="AA258" s="210"/>
      <c r="AB258" s="210"/>
      <c r="AC258" s="210"/>
      <c r="AD258" s="210"/>
      <c r="AE258" s="210"/>
      <c r="AF258" s="210"/>
      <c r="AG258" s="210"/>
      <c r="AH258" s="210"/>
      <c r="AI258" s="210"/>
      <c r="AJ258" s="210"/>
      <c r="AK258" s="210"/>
      <c r="AL258" s="210"/>
      <c r="AM258" s="210"/>
      <c r="AN258" s="210"/>
      <c r="AO258" s="210"/>
      <c r="AP258" s="210"/>
      <c r="AQ258" s="210"/>
      <c r="AR258" s="210"/>
      <c r="AS258" s="210"/>
      <c r="AT258" s="210"/>
      <c r="AU258" s="210"/>
      <c r="AV258" s="210"/>
      <c r="AW258" s="210"/>
      <c r="AX258" s="210"/>
      <c r="AY258" s="210"/>
      <c r="AZ258" s="210"/>
      <c r="BA258" s="210"/>
      <c r="BB258" s="210"/>
      <c r="BC258" s="210"/>
      <c r="BD258" s="210"/>
      <c r="BE258" s="210"/>
      <c r="BF258" s="210"/>
      <c r="BG258" s="210"/>
      <c r="BH258" s="210"/>
      <c r="BI258" s="210"/>
      <c r="BJ258" s="210"/>
    </row>
    <row r="259" spans="1:62" ht="15" x14ac:dyDescent="0.2">
      <c r="A259" s="210"/>
      <c r="B259" s="210"/>
      <c r="C259" s="210"/>
      <c r="D259" s="210"/>
      <c r="E259" s="210"/>
      <c r="F259" s="210"/>
      <c r="G259" s="210"/>
      <c r="H259" s="210"/>
      <c r="I259" s="210"/>
      <c r="J259" s="210"/>
      <c r="K259" s="210"/>
      <c r="L259" s="210"/>
      <c r="M259" s="210"/>
      <c r="N259" s="210"/>
      <c r="O259" s="210"/>
      <c r="P259" s="210"/>
      <c r="Q259" s="210"/>
      <c r="R259" s="210"/>
      <c r="S259" s="210"/>
      <c r="T259" s="210"/>
      <c r="U259" s="210"/>
      <c r="V259" s="210"/>
      <c r="W259" s="210"/>
      <c r="X259" s="210"/>
      <c r="Y259" s="210"/>
      <c r="Z259" s="210"/>
      <c r="AA259" s="210"/>
      <c r="AB259" s="210"/>
      <c r="AC259" s="210"/>
      <c r="AD259" s="210"/>
      <c r="AE259" s="210"/>
      <c r="AF259" s="210"/>
      <c r="AG259" s="210"/>
      <c r="AH259" s="210"/>
      <c r="AI259" s="210"/>
      <c r="AJ259" s="210"/>
      <c r="AK259" s="210"/>
      <c r="AL259" s="210"/>
      <c r="AM259" s="210"/>
      <c r="AN259" s="210"/>
      <c r="AO259" s="210"/>
      <c r="AP259" s="210"/>
      <c r="AQ259" s="210"/>
      <c r="AR259" s="210"/>
      <c r="AS259" s="210"/>
      <c r="AT259" s="210"/>
      <c r="AU259" s="210"/>
      <c r="AV259" s="210"/>
      <c r="AW259" s="210"/>
      <c r="AX259" s="210"/>
      <c r="AY259" s="210"/>
      <c r="AZ259" s="210"/>
      <c r="BA259" s="210"/>
      <c r="BB259" s="210"/>
      <c r="BC259" s="210"/>
      <c r="BD259" s="210"/>
      <c r="BE259" s="210"/>
      <c r="BF259" s="210"/>
      <c r="BG259" s="210"/>
      <c r="BH259" s="210"/>
      <c r="BI259" s="210"/>
      <c r="BJ259" s="210"/>
    </row>
    <row r="260" spans="1:62" ht="15" x14ac:dyDescent="0.2">
      <c r="A260" s="210"/>
      <c r="B260" s="210"/>
      <c r="C260" s="210"/>
      <c r="D260" s="210"/>
      <c r="E260" s="210"/>
      <c r="F260" s="210"/>
      <c r="G260" s="210"/>
      <c r="H260" s="210"/>
      <c r="I260" s="210"/>
      <c r="J260" s="210"/>
      <c r="K260" s="210"/>
      <c r="L260" s="210"/>
      <c r="M260" s="210"/>
      <c r="N260" s="210"/>
      <c r="O260" s="210"/>
      <c r="P260" s="210"/>
      <c r="Q260" s="210"/>
      <c r="R260" s="210"/>
      <c r="S260" s="210"/>
      <c r="T260" s="210"/>
      <c r="U260" s="210"/>
      <c r="V260" s="210"/>
      <c r="W260" s="210"/>
      <c r="X260" s="210"/>
      <c r="Y260" s="210"/>
      <c r="Z260" s="210"/>
      <c r="AA260" s="210"/>
      <c r="AB260" s="210"/>
      <c r="AC260" s="210"/>
      <c r="AD260" s="210"/>
      <c r="AE260" s="210"/>
      <c r="AF260" s="210"/>
      <c r="AG260" s="210"/>
      <c r="AH260" s="210"/>
      <c r="AI260" s="210"/>
      <c r="AJ260" s="210"/>
      <c r="AK260" s="210"/>
      <c r="AL260" s="210"/>
      <c r="AM260" s="210"/>
      <c r="AN260" s="210"/>
      <c r="AO260" s="210"/>
      <c r="AP260" s="210"/>
      <c r="AQ260" s="210"/>
      <c r="AR260" s="210"/>
      <c r="AS260" s="210"/>
      <c r="AT260" s="210"/>
      <c r="AU260" s="210"/>
      <c r="AV260" s="210"/>
      <c r="AW260" s="210"/>
      <c r="AX260" s="210"/>
      <c r="AY260" s="210"/>
      <c r="AZ260" s="210"/>
      <c r="BA260" s="210"/>
      <c r="BB260" s="210"/>
      <c r="BC260" s="210"/>
      <c r="BD260" s="210"/>
      <c r="BE260" s="210"/>
      <c r="BF260" s="210"/>
      <c r="BG260" s="210"/>
      <c r="BH260" s="210"/>
      <c r="BI260" s="210"/>
      <c r="BJ260" s="210"/>
    </row>
    <row r="261" spans="1:62" ht="15" x14ac:dyDescent="0.2">
      <c r="A261" s="210"/>
      <c r="B261" s="210"/>
      <c r="C261" s="210"/>
      <c r="D261" s="210"/>
      <c r="E261" s="210"/>
      <c r="F261" s="210"/>
      <c r="G261" s="210"/>
      <c r="H261" s="210"/>
      <c r="I261" s="210"/>
      <c r="J261" s="210"/>
      <c r="K261" s="210"/>
      <c r="L261" s="210"/>
      <c r="M261" s="210"/>
      <c r="N261" s="210"/>
      <c r="O261" s="210"/>
      <c r="P261" s="210"/>
      <c r="Q261" s="210"/>
      <c r="R261" s="210"/>
      <c r="S261" s="210"/>
      <c r="T261" s="210"/>
      <c r="U261" s="210"/>
      <c r="V261" s="210"/>
      <c r="W261" s="210"/>
      <c r="X261" s="210"/>
      <c r="Y261" s="210"/>
      <c r="Z261" s="210"/>
      <c r="AA261" s="210"/>
      <c r="AB261" s="210"/>
      <c r="AC261" s="210"/>
      <c r="AD261" s="210"/>
      <c r="AE261" s="210"/>
      <c r="AF261" s="210"/>
      <c r="AG261" s="210"/>
      <c r="AH261" s="210"/>
      <c r="AI261" s="210"/>
      <c r="AJ261" s="210"/>
      <c r="AK261" s="210"/>
      <c r="AL261" s="210"/>
      <c r="AM261" s="210"/>
      <c r="AN261" s="210"/>
      <c r="AO261" s="210"/>
      <c r="AP261" s="210"/>
      <c r="AQ261" s="210"/>
      <c r="AR261" s="210"/>
      <c r="AS261" s="210"/>
      <c r="AT261" s="210"/>
      <c r="AU261" s="210"/>
      <c r="AV261" s="210"/>
      <c r="AW261" s="210"/>
      <c r="AX261" s="210"/>
      <c r="AY261" s="210"/>
      <c r="AZ261" s="210"/>
      <c r="BA261" s="210"/>
      <c r="BB261" s="210"/>
      <c r="BC261" s="210"/>
      <c r="BD261" s="210"/>
      <c r="BE261" s="210"/>
      <c r="BF261" s="210"/>
      <c r="BG261" s="210"/>
      <c r="BH261" s="210"/>
      <c r="BI261" s="210"/>
      <c r="BJ261" s="210"/>
    </row>
    <row r="262" spans="1:62" ht="15" x14ac:dyDescent="0.2">
      <c r="A262" s="210"/>
      <c r="B262" s="210"/>
      <c r="C262" s="210"/>
      <c r="D262" s="210"/>
      <c r="E262" s="210"/>
      <c r="F262" s="210"/>
      <c r="G262" s="210"/>
      <c r="H262" s="210"/>
      <c r="I262" s="210"/>
      <c r="J262" s="210"/>
      <c r="K262" s="210"/>
      <c r="L262" s="210"/>
      <c r="M262" s="210"/>
      <c r="N262" s="210"/>
      <c r="O262" s="210"/>
      <c r="P262" s="210"/>
      <c r="Q262" s="210"/>
      <c r="R262" s="210"/>
      <c r="S262" s="210"/>
      <c r="T262" s="210"/>
      <c r="U262" s="210"/>
      <c r="V262" s="210"/>
      <c r="W262" s="210"/>
      <c r="X262" s="210"/>
      <c r="Y262" s="210"/>
      <c r="Z262" s="210"/>
      <c r="AA262" s="210"/>
      <c r="AB262" s="210"/>
      <c r="AC262" s="210"/>
      <c r="AD262" s="210"/>
      <c r="AE262" s="210"/>
      <c r="AF262" s="210"/>
      <c r="AG262" s="210"/>
      <c r="AH262" s="210"/>
      <c r="AI262" s="210"/>
      <c r="AJ262" s="210"/>
      <c r="AK262" s="210"/>
      <c r="AL262" s="210"/>
      <c r="AM262" s="210"/>
      <c r="AN262" s="210"/>
      <c r="AO262" s="210"/>
      <c r="AP262" s="210"/>
      <c r="AQ262" s="210"/>
      <c r="AR262" s="210"/>
      <c r="AS262" s="210"/>
      <c r="AT262" s="210"/>
      <c r="AU262" s="210"/>
      <c r="AV262" s="210"/>
      <c r="AW262" s="210"/>
      <c r="AX262" s="210"/>
      <c r="AY262" s="210"/>
      <c r="AZ262" s="210"/>
      <c r="BA262" s="210"/>
      <c r="BB262" s="210"/>
      <c r="BC262" s="210"/>
      <c r="BD262" s="210"/>
      <c r="BE262" s="210"/>
      <c r="BF262" s="210"/>
      <c r="BG262" s="210"/>
      <c r="BH262" s="210"/>
      <c r="BI262" s="210"/>
      <c r="BJ262" s="210"/>
    </row>
    <row r="263" spans="1:62" ht="15" x14ac:dyDescent="0.2">
      <c r="A263" s="210"/>
      <c r="B263" s="210"/>
      <c r="C263" s="210"/>
      <c r="D263" s="210"/>
      <c r="E263" s="210"/>
      <c r="F263" s="210"/>
      <c r="G263" s="210"/>
      <c r="H263" s="210"/>
      <c r="I263" s="210"/>
      <c r="J263" s="210"/>
      <c r="K263" s="210"/>
      <c r="L263" s="210"/>
      <c r="M263" s="210"/>
      <c r="N263" s="210"/>
      <c r="O263" s="210"/>
      <c r="P263" s="210"/>
      <c r="Q263" s="210"/>
      <c r="R263" s="210"/>
      <c r="S263" s="210"/>
      <c r="T263" s="210"/>
      <c r="U263" s="210"/>
      <c r="V263" s="210"/>
      <c r="W263" s="210"/>
      <c r="X263" s="210"/>
      <c r="Y263" s="210"/>
      <c r="Z263" s="210"/>
      <c r="AA263" s="210"/>
      <c r="AB263" s="210"/>
      <c r="AC263" s="210"/>
      <c r="AD263" s="210"/>
      <c r="AE263" s="210"/>
      <c r="AF263" s="210"/>
      <c r="AG263" s="210"/>
      <c r="AH263" s="210"/>
      <c r="AI263" s="210"/>
      <c r="AJ263" s="210"/>
      <c r="AK263" s="210"/>
      <c r="AL263" s="210"/>
      <c r="AM263" s="210"/>
      <c r="AN263" s="210"/>
      <c r="AO263" s="210"/>
      <c r="AP263" s="210"/>
      <c r="AQ263" s="210"/>
      <c r="AR263" s="210"/>
      <c r="AS263" s="210"/>
      <c r="AT263" s="210"/>
      <c r="AU263" s="210"/>
      <c r="AV263" s="210"/>
      <c r="AW263" s="210"/>
      <c r="AX263" s="210"/>
      <c r="AY263" s="210"/>
      <c r="AZ263" s="210"/>
      <c r="BA263" s="210"/>
      <c r="BB263" s="210"/>
      <c r="BC263" s="210"/>
      <c r="BD263" s="210"/>
      <c r="BE263" s="210"/>
      <c r="BF263" s="210"/>
      <c r="BG263" s="210"/>
      <c r="BH263" s="210"/>
      <c r="BI263" s="210"/>
      <c r="BJ263" s="210"/>
    </row>
    <row r="264" spans="1:62" ht="15" x14ac:dyDescent="0.2">
      <c r="A264" s="210"/>
      <c r="B264" s="210"/>
      <c r="C264" s="210"/>
      <c r="D264" s="210"/>
      <c r="E264" s="210"/>
      <c r="F264" s="210"/>
      <c r="G264" s="210"/>
      <c r="H264" s="210"/>
      <c r="I264" s="210"/>
      <c r="J264" s="210"/>
      <c r="K264" s="210"/>
      <c r="L264" s="210"/>
      <c r="M264" s="210"/>
      <c r="N264" s="210"/>
      <c r="O264" s="210"/>
      <c r="P264" s="210"/>
      <c r="Q264" s="210"/>
      <c r="R264" s="210"/>
      <c r="S264" s="210"/>
      <c r="T264" s="210"/>
      <c r="U264" s="210"/>
      <c r="V264" s="210"/>
      <c r="W264" s="210"/>
      <c r="X264" s="210"/>
      <c r="Y264" s="210"/>
      <c r="Z264" s="210"/>
      <c r="AA264" s="210"/>
      <c r="AB264" s="210"/>
      <c r="AC264" s="210"/>
      <c r="AD264" s="210"/>
      <c r="AE264" s="210"/>
      <c r="AF264" s="210"/>
      <c r="AG264" s="210"/>
      <c r="AH264" s="210"/>
      <c r="AI264" s="210"/>
      <c r="AJ264" s="210"/>
      <c r="AK264" s="210"/>
      <c r="AL264" s="210"/>
      <c r="AM264" s="210"/>
      <c r="AN264" s="210"/>
      <c r="AO264" s="210"/>
      <c r="AP264" s="210"/>
      <c r="AQ264" s="210"/>
      <c r="AR264" s="210"/>
      <c r="AS264" s="210"/>
      <c r="AT264" s="210"/>
      <c r="AU264" s="210"/>
      <c r="AV264" s="210"/>
      <c r="AW264" s="210"/>
      <c r="AX264" s="210"/>
      <c r="AY264" s="210"/>
      <c r="AZ264" s="210"/>
      <c r="BA264" s="210"/>
      <c r="BB264" s="210"/>
      <c r="BC264" s="210"/>
      <c r="BD264" s="210"/>
      <c r="BE264" s="210"/>
      <c r="BF264" s="210"/>
      <c r="BG264" s="210"/>
      <c r="BH264" s="210"/>
      <c r="BI264" s="210"/>
      <c r="BJ264" s="210"/>
    </row>
    <row r="265" spans="1:62" ht="15" x14ac:dyDescent="0.2">
      <c r="A265" s="210"/>
      <c r="B265" s="210"/>
      <c r="C265" s="210"/>
      <c r="D265" s="210"/>
      <c r="E265" s="210"/>
      <c r="F265" s="210"/>
      <c r="G265" s="210"/>
      <c r="H265" s="210"/>
      <c r="I265" s="210"/>
      <c r="J265" s="210"/>
      <c r="K265" s="210"/>
      <c r="L265" s="210"/>
      <c r="M265" s="210"/>
      <c r="N265" s="210"/>
      <c r="O265" s="210"/>
      <c r="P265" s="210"/>
      <c r="Q265" s="210"/>
      <c r="R265" s="210"/>
      <c r="S265" s="210"/>
      <c r="T265" s="210"/>
      <c r="U265" s="210"/>
      <c r="V265" s="210"/>
      <c r="W265" s="210"/>
      <c r="X265" s="210"/>
      <c r="Y265" s="210"/>
      <c r="Z265" s="210"/>
      <c r="AA265" s="210"/>
      <c r="AB265" s="210"/>
      <c r="AC265" s="210"/>
      <c r="AD265" s="210"/>
      <c r="AE265" s="210"/>
      <c r="AF265" s="210"/>
      <c r="AG265" s="210"/>
      <c r="AH265" s="210"/>
      <c r="AI265" s="210"/>
      <c r="AJ265" s="210"/>
      <c r="AK265" s="210"/>
      <c r="AL265" s="210"/>
      <c r="AM265" s="210"/>
      <c r="AN265" s="210"/>
      <c r="AO265" s="210"/>
      <c r="AP265" s="210"/>
      <c r="AQ265" s="210"/>
      <c r="AR265" s="210"/>
      <c r="AS265" s="210"/>
      <c r="AT265" s="210"/>
      <c r="AU265" s="210"/>
      <c r="AV265" s="210"/>
      <c r="AW265" s="210"/>
      <c r="AX265" s="210"/>
      <c r="AY265" s="210"/>
      <c r="AZ265" s="210"/>
      <c r="BA265" s="210"/>
      <c r="BB265" s="210"/>
      <c r="BC265" s="210"/>
      <c r="BD265" s="210"/>
      <c r="BE265" s="210"/>
      <c r="BF265" s="210"/>
      <c r="BG265" s="210"/>
      <c r="BH265" s="210"/>
      <c r="BI265" s="210"/>
      <c r="BJ265" s="210"/>
    </row>
    <row r="266" spans="1:62" ht="15" x14ac:dyDescent="0.2">
      <c r="A266" s="210"/>
      <c r="B266" s="210"/>
      <c r="C266" s="210"/>
      <c r="D266" s="210"/>
      <c r="E266" s="210"/>
      <c r="F266" s="210"/>
      <c r="G266" s="210"/>
      <c r="H266" s="210"/>
      <c r="I266" s="210"/>
      <c r="J266" s="210"/>
      <c r="K266" s="210"/>
      <c r="L266" s="210"/>
      <c r="M266" s="210"/>
      <c r="N266" s="210"/>
      <c r="O266" s="210"/>
      <c r="P266" s="210"/>
      <c r="Q266" s="210"/>
      <c r="R266" s="210"/>
      <c r="S266" s="210"/>
      <c r="T266" s="210"/>
      <c r="U266" s="210"/>
      <c r="V266" s="210"/>
      <c r="W266" s="210"/>
      <c r="X266" s="210"/>
      <c r="Y266" s="210"/>
      <c r="Z266" s="210"/>
      <c r="AA266" s="210"/>
      <c r="AB266" s="210"/>
      <c r="AC266" s="210"/>
      <c r="AD266" s="210"/>
      <c r="AE266" s="210"/>
      <c r="AF266" s="210"/>
      <c r="AG266" s="210"/>
      <c r="AH266" s="210"/>
      <c r="AI266" s="210"/>
      <c r="AJ266" s="210"/>
      <c r="AK266" s="210"/>
      <c r="AL266" s="210"/>
      <c r="AM266" s="210"/>
      <c r="AN266" s="210"/>
      <c r="AO266" s="210"/>
      <c r="AP266" s="210"/>
      <c r="AQ266" s="210"/>
      <c r="AR266" s="210"/>
      <c r="AS266" s="210"/>
      <c r="AT266" s="210"/>
      <c r="AU266" s="210"/>
      <c r="AV266" s="210"/>
      <c r="AW266" s="210"/>
      <c r="AX266" s="210"/>
      <c r="AY266" s="210"/>
      <c r="AZ266" s="210"/>
      <c r="BA266" s="210"/>
      <c r="BB266" s="210"/>
      <c r="BC266" s="210"/>
      <c r="BD266" s="210"/>
      <c r="BE266" s="210"/>
      <c r="BF266" s="210"/>
      <c r="BG266" s="210"/>
      <c r="BH266" s="210"/>
      <c r="BI266" s="210"/>
      <c r="BJ266" s="210"/>
    </row>
    <row r="267" spans="1:62" ht="15" x14ac:dyDescent="0.2">
      <c r="A267" s="210"/>
      <c r="B267" s="210"/>
      <c r="C267" s="210"/>
      <c r="D267" s="210"/>
      <c r="E267" s="210"/>
      <c r="F267" s="210"/>
      <c r="G267" s="210"/>
      <c r="H267" s="210"/>
      <c r="I267" s="210"/>
      <c r="J267" s="210"/>
      <c r="K267" s="210"/>
      <c r="L267" s="210"/>
      <c r="M267" s="210"/>
      <c r="N267" s="210"/>
      <c r="O267" s="210"/>
      <c r="P267" s="210"/>
      <c r="Q267" s="210"/>
      <c r="R267" s="210"/>
      <c r="S267" s="210"/>
      <c r="T267" s="210"/>
      <c r="U267" s="210"/>
      <c r="V267" s="210"/>
      <c r="W267" s="210"/>
      <c r="X267" s="210"/>
      <c r="Y267" s="210"/>
      <c r="Z267" s="210"/>
      <c r="AA267" s="210"/>
      <c r="AB267" s="210"/>
      <c r="AC267" s="210"/>
      <c r="AD267" s="210"/>
      <c r="AE267" s="210"/>
      <c r="AF267" s="210"/>
      <c r="AG267" s="210"/>
      <c r="AH267" s="210"/>
      <c r="AI267" s="210"/>
      <c r="AJ267" s="210"/>
      <c r="AK267" s="210"/>
      <c r="AL267" s="210"/>
      <c r="AM267" s="210"/>
      <c r="AN267" s="210"/>
      <c r="AO267" s="210"/>
      <c r="AP267" s="210"/>
      <c r="AQ267" s="210"/>
      <c r="AR267" s="210"/>
      <c r="AS267" s="210"/>
      <c r="AT267" s="210"/>
      <c r="AU267" s="210"/>
      <c r="AV267" s="210"/>
      <c r="AW267" s="210"/>
      <c r="AX267" s="210"/>
      <c r="AY267" s="210"/>
      <c r="AZ267" s="210"/>
      <c r="BA267" s="210"/>
      <c r="BB267" s="210"/>
      <c r="BC267" s="210"/>
      <c r="BD267" s="210"/>
      <c r="BE267" s="210"/>
      <c r="BF267" s="210"/>
      <c r="BG267" s="210"/>
      <c r="BH267" s="210"/>
      <c r="BI267" s="210"/>
      <c r="BJ267" s="210"/>
    </row>
    <row r="268" spans="1:62" ht="15" x14ac:dyDescent="0.2">
      <c r="A268" s="210"/>
      <c r="B268" s="210"/>
      <c r="C268" s="210"/>
      <c r="D268" s="210"/>
      <c r="E268" s="210"/>
      <c r="F268" s="210"/>
      <c r="G268" s="210"/>
      <c r="H268" s="210"/>
      <c r="I268" s="210"/>
      <c r="J268" s="210"/>
      <c r="K268" s="210"/>
      <c r="L268" s="210"/>
      <c r="M268" s="210"/>
      <c r="N268" s="210"/>
      <c r="O268" s="210"/>
      <c r="P268" s="210"/>
      <c r="Q268" s="210"/>
      <c r="R268" s="210"/>
      <c r="S268" s="210"/>
      <c r="T268" s="210"/>
      <c r="U268" s="210"/>
      <c r="V268" s="210"/>
      <c r="W268" s="210"/>
      <c r="X268" s="210"/>
      <c r="Y268" s="210"/>
      <c r="Z268" s="210"/>
      <c r="AA268" s="210"/>
      <c r="AB268" s="210"/>
      <c r="AC268" s="210"/>
      <c r="AD268" s="210"/>
      <c r="AE268" s="210"/>
      <c r="AF268" s="210"/>
      <c r="AG268" s="210"/>
      <c r="AH268" s="210"/>
      <c r="AI268" s="210"/>
      <c r="AJ268" s="210"/>
      <c r="AK268" s="210"/>
      <c r="AL268" s="210"/>
      <c r="AM268" s="210"/>
      <c r="AN268" s="210"/>
      <c r="AO268" s="210"/>
      <c r="AP268" s="210"/>
      <c r="AQ268" s="210"/>
      <c r="AR268" s="210"/>
      <c r="AS268" s="210"/>
      <c r="AT268" s="210"/>
      <c r="AU268" s="210"/>
      <c r="AV268" s="210"/>
      <c r="AW268" s="210"/>
      <c r="AX268" s="210"/>
      <c r="AY268" s="210"/>
      <c r="AZ268" s="210"/>
      <c r="BA268" s="210"/>
      <c r="BB268" s="210"/>
      <c r="BC268" s="210"/>
      <c r="BD268" s="210"/>
      <c r="BE268" s="210"/>
      <c r="BF268" s="210"/>
      <c r="BG268" s="210"/>
      <c r="BH268" s="210"/>
      <c r="BI268" s="210"/>
      <c r="BJ268" s="210"/>
    </row>
    <row r="269" spans="1:62" ht="15" x14ac:dyDescent="0.2">
      <c r="A269" s="210"/>
      <c r="B269" s="210"/>
      <c r="C269" s="210"/>
      <c r="D269" s="210"/>
      <c r="E269" s="210"/>
      <c r="F269" s="210"/>
      <c r="G269" s="210"/>
      <c r="H269" s="210"/>
      <c r="I269" s="210"/>
      <c r="J269" s="210"/>
      <c r="K269" s="210"/>
      <c r="L269" s="210"/>
      <c r="M269" s="210"/>
      <c r="N269" s="210"/>
      <c r="O269" s="210"/>
      <c r="P269" s="210"/>
      <c r="Q269" s="210"/>
      <c r="R269" s="210"/>
      <c r="S269" s="210"/>
      <c r="T269" s="210"/>
      <c r="U269" s="210"/>
      <c r="V269" s="210"/>
      <c r="W269" s="210"/>
      <c r="X269" s="210"/>
      <c r="Y269" s="210"/>
      <c r="Z269" s="210"/>
      <c r="AA269" s="210"/>
      <c r="AB269" s="210"/>
      <c r="AC269" s="210"/>
      <c r="AD269" s="210"/>
      <c r="AE269" s="210"/>
      <c r="AF269" s="210"/>
      <c r="AG269" s="210"/>
      <c r="AH269" s="210"/>
      <c r="AI269" s="210"/>
      <c r="AJ269" s="210"/>
      <c r="AK269" s="210"/>
      <c r="AL269" s="210"/>
      <c r="AM269" s="210"/>
      <c r="AN269" s="210"/>
      <c r="AO269" s="210"/>
      <c r="AP269" s="210"/>
      <c r="AQ269" s="210"/>
      <c r="AR269" s="210"/>
      <c r="AS269" s="210"/>
      <c r="AT269" s="210"/>
      <c r="AU269" s="210"/>
      <c r="AV269" s="210"/>
      <c r="AW269" s="210"/>
      <c r="AX269" s="210"/>
      <c r="AY269" s="210"/>
      <c r="AZ269" s="210"/>
      <c r="BA269" s="210"/>
      <c r="BB269" s="210"/>
      <c r="BC269" s="210"/>
      <c r="BD269" s="210"/>
      <c r="BE269" s="210"/>
      <c r="BF269" s="210"/>
      <c r="BG269" s="210"/>
      <c r="BH269" s="210"/>
      <c r="BI269" s="210"/>
      <c r="BJ269" s="210"/>
    </row>
    <row r="270" spans="1:62" ht="15" x14ac:dyDescent="0.2">
      <c r="A270" s="210"/>
      <c r="B270" s="210"/>
      <c r="C270" s="210"/>
      <c r="D270" s="210"/>
      <c r="E270" s="210"/>
      <c r="F270" s="210"/>
      <c r="G270" s="210"/>
      <c r="H270" s="210"/>
      <c r="I270" s="210"/>
      <c r="J270" s="210"/>
      <c r="K270" s="210"/>
      <c r="L270" s="210"/>
      <c r="M270" s="210"/>
      <c r="N270" s="210"/>
      <c r="O270" s="210"/>
      <c r="P270" s="210"/>
      <c r="Q270" s="210"/>
      <c r="R270" s="210"/>
      <c r="S270" s="210"/>
      <c r="T270" s="210"/>
      <c r="U270" s="210"/>
      <c r="V270" s="210"/>
      <c r="W270" s="210"/>
      <c r="X270" s="210"/>
      <c r="Y270" s="210"/>
      <c r="Z270" s="210"/>
      <c r="AA270" s="210"/>
      <c r="AB270" s="210"/>
      <c r="AC270" s="210"/>
      <c r="AD270" s="210"/>
      <c r="AE270" s="210"/>
      <c r="AF270" s="210"/>
      <c r="AG270" s="210"/>
      <c r="AH270" s="210"/>
      <c r="AI270" s="210"/>
      <c r="AJ270" s="210"/>
      <c r="AK270" s="210"/>
      <c r="AL270" s="210"/>
      <c r="AM270" s="210"/>
      <c r="AN270" s="210"/>
      <c r="AO270" s="210"/>
      <c r="AP270" s="210"/>
      <c r="AQ270" s="210"/>
      <c r="AR270" s="210"/>
      <c r="AS270" s="210"/>
      <c r="AT270" s="210"/>
      <c r="AU270" s="210"/>
      <c r="AV270" s="210"/>
      <c r="AW270" s="210"/>
      <c r="AX270" s="210"/>
      <c r="AY270" s="210"/>
      <c r="AZ270" s="210"/>
      <c r="BA270" s="210"/>
      <c r="BB270" s="210"/>
      <c r="BC270" s="210"/>
      <c r="BD270" s="210"/>
      <c r="BE270" s="210"/>
      <c r="BF270" s="210"/>
      <c r="BG270" s="210"/>
      <c r="BH270" s="210"/>
      <c r="BI270" s="210"/>
      <c r="BJ270" s="210"/>
    </row>
    <row r="271" spans="1:62" ht="15" x14ac:dyDescent="0.2">
      <c r="A271" s="210"/>
      <c r="B271" s="210"/>
      <c r="C271" s="210"/>
      <c r="D271" s="210"/>
      <c r="E271" s="210"/>
      <c r="F271" s="210"/>
      <c r="G271" s="210"/>
      <c r="H271" s="210"/>
      <c r="I271" s="210"/>
      <c r="J271" s="210"/>
      <c r="K271" s="210"/>
      <c r="L271" s="210"/>
      <c r="M271" s="210"/>
      <c r="N271" s="210"/>
      <c r="O271" s="210"/>
      <c r="P271" s="210"/>
      <c r="Q271" s="210"/>
      <c r="R271" s="210"/>
      <c r="S271" s="210"/>
      <c r="T271" s="210"/>
      <c r="U271" s="210"/>
      <c r="V271" s="210"/>
      <c r="W271" s="210"/>
      <c r="X271" s="210"/>
      <c r="Y271" s="210"/>
      <c r="Z271" s="210"/>
      <c r="AA271" s="210"/>
      <c r="AB271" s="210"/>
      <c r="AC271" s="210"/>
      <c r="AD271" s="210"/>
      <c r="AE271" s="210"/>
      <c r="AF271" s="210"/>
      <c r="AG271" s="210"/>
      <c r="AH271" s="210"/>
      <c r="AI271" s="210"/>
      <c r="AJ271" s="210"/>
      <c r="AK271" s="210"/>
      <c r="AL271" s="210"/>
      <c r="AM271" s="210"/>
      <c r="AN271" s="210"/>
      <c r="AO271" s="210"/>
      <c r="AP271" s="210"/>
      <c r="AQ271" s="210"/>
      <c r="AR271" s="210"/>
      <c r="AS271" s="210"/>
      <c r="AT271" s="210"/>
      <c r="AU271" s="210"/>
      <c r="AV271" s="210"/>
      <c r="AW271" s="210"/>
      <c r="AX271" s="210"/>
      <c r="AY271" s="210"/>
      <c r="AZ271" s="210"/>
      <c r="BA271" s="210"/>
      <c r="BB271" s="210"/>
      <c r="BC271" s="210"/>
      <c r="BD271" s="210"/>
      <c r="BE271" s="210"/>
      <c r="BF271" s="210"/>
      <c r="BG271" s="210"/>
      <c r="BH271" s="210"/>
      <c r="BI271" s="210"/>
      <c r="BJ271" s="210"/>
    </row>
    <row r="272" spans="1:62" ht="15" x14ac:dyDescent="0.2">
      <c r="A272" s="210"/>
      <c r="B272" s="210"/>
      <c r="C272" s="210"/>
      <c r="D272" s="210"/>
      <c r="E272" s="210"/>
      <c r="F272" s="210"/>
      <c r="G272" s="210"/>
      <c r="H272" s="210"/>
      <c r="I272" s="210"/>
      <c r="J272" s="210"/>
      <c r="K272" s="210"/>
      <c r="L272" s="210"/>
      <c r="M272" s="210"/>
      <c r="N272" s="210"/>
      <c r="O272" s="210"/>
      <c r="P272" s="210"/>
      <c r="Q272" s="210"/>
      <c r="R272" s="210"/>
      <c r="S272" s="210"/>
      <c r="T272" s="210"/>
      <c r="U272" s="210"/>
      <c r="V272" s="210"/>
      <c r="W272" s="210"/>
      <c r="X272" s="210"/>
      <c r="Y272" s="210"/>
      <c r="Z272" s="210"/>
      <c r="AA272" s="210"/>
      <c r="AB272" s="210"/>
      <c r="AC272" s="210"/>
      <c r="AD272" s="210"/>
      <c r="AE272" s="210"/>
      <c r="AF272" s="210"/>
      <c r="AG272" s="210"/>
      <c r="AH272" s="210"/>
      <c r="AI272" s="210"/>
      <c r="AJ272" s="210"/>
      <c r="AK272" s="210"/>
      <c r="AL272" s="210"/>
      <c r="AM272" s="210"/>
      <c r="AN272" s="210"/>
      <c r="AO272" s="210"/>
      <c r="AP272" s="210"/>
      <c r="AQ272" s="210"/>
      <c r="AR272" s="210"/>
      <c r="AS272" s="210"/>
      <c r="AT272" s="210"/>
      <c r="AU272" s="210"/>
      <c r="AV272" s="210"/>
      <c r="AW272" s="210"/>
      <c r="AX272" s="210"/>
      <c r="AY272" s="210"/>
      <c r="AZ272" s="210"/>
      <c r="BA272" s="210"/>
      <c r="BB272" s="210"/>
      <c r="BC272" s="210"/>
      <c r="BD272" s="210"/>
      <c r="BE272" s="210"/>
      <c r="BF272" s="210"/>
      <c r="BG272" s="210"/>
      <c r="BH272" s="210"/>
      <c r="BI272" s="210"/>
      <c r="BJ272" s="210"/>
    </row>
    <row r="273" spans="1:62" ht="15" x14ac:dyDescent="0.2">
      <c r="A273" s="210"/>
      <c r="B273" s="210"/>
      <c r="C273" s="210"/>
      <c r="D273" s="210"/>
      <c r="E273" s="210"/>
      <c r="F273" s="210"/>
      <c r="G273" s="210"/>
      <c r="H273" s="210"/>
      <c r="I273" s="210"/>
      <c r="J273" s="210"/>
      <c r="K273" s="210"/>
      <c r="L273" s="210"/>
      <c r="M273" s="210"/>
      <c r="N273" s="210"/>
      <c r="O273" s="210"/>
      <c r="P273" s="210"/>
      <c r="Q273" s="210"/>
      <c r="R273" s="210"/>
      <c r="S273" s="210"/>
      <c r="T273" s="210"/>
      <c r="U273" s="210"/>
      <c r="V273" s="210"/>
      <c r="W273" s="210"/>
      <c r="X273" s="210"/>
      <c r="Y273" s="210"/>
      <c r="Z273" s="210"/>
      <c r="AA273" s="210"/>
      <c r="AB273" s="210"/>
      <c r="AC273" s="210"/>
      <c r="AD273" s="210"/>
      <c r="AE273" s="210"/>
      <c r="AF273" s="210"/>
      <c r="AG273" s="210"/>
      <c r="AH273" s="210"/>
      <c r="AI273" s="210"/>
      <c r="AJ273" s="210"/>
      <c r="AK273" s="210"/>
      <c r="AL273" s="210"/>
      <c r="AM273" s="210"/>
      <c r="AN273" s="210"/>
      <c r="AO273" s="210"/>
      <c r="AP273" s="210"/>
      <c r="AQ273" s="210"/>
      <c r="AR273" s="210"/>
      <c r="AS273" s="210"/>
      <c r="AT273" s="210"/>
      <c r="AU273" s="210"/>
      <c r="AV273" s="210"/>
      <c r="AW273" s="210"/>
      <c r="AX273" s="210"/>
      <c r="AY273" s="210"/>
      <c r="AZ273" s="210"/>
      <c r="BA273" s="210"/>
      <c r="BB273" s="210"/>
      <c r="BC273" s="210"/>
      <c r="BD273" s="210"/>
      <c r="BE273" s="210"/>
      <c r="BF273" s="210"/>
      <c r="BG273" s="210"/>
      <c r="BH273" s="210"/>
      <c r="BI273" s="210"/>
      <c r="BJ273" s="210"/>
    </row>
    <row r="274" spans="1:62" ht="15" x14ac:dyDescent="0.2">
      <c r="A274" s="210"/>
      <c r="B274" s="210"/>
      <c r="C274" s="210"/>
      <c r="D274" s="210"/>
      <c r="E274" s="210"/>
      <c r="F274" s="210"/>
      <c r="G274" s="210"/>
      <c r="H274" s="210"/>
      <c r="I274" s="210"/>
      <c r="J274" s="210"/>
      <c r="K274" s="210"/>
      <c r="L274" s="210"/>
      <c r="M274" s="210"/>
      <c r="N274" s="210"/>
      <c r="O274" s="210"/>
      <c r="P274" s="210"/>
      <c r="Q274" s="210"/>
      <c r="R274" s="210"/>
      <c r="S274" s="210"/>
      <c r="T274" s="210"/>
      <c r="U274" s="210"/>
      <c r="V274" s="210"/>
      <c r="W274" s="210"/>
      <c r="X274" s="210"/>
      <c r="Y274" s="210"/>
      <c r="Z274" s="210"/>
      <c r="AA274" s="210"/>
      <c r="AB274" s="210"/>
      <c r="AC274" s="210"/>
      <c r="AD274" s="210"/>
      <c r="AE274" s="210"/>
      <c r="AF274" s="210"/>
      <c r="AG274" s="210"/>
      <c r="AH274" s="210"/>
      <c r="AI274" s="210"/>
      <c r="AJ274" s="210"/>
      <c r="AK274" s="210"/>
      <c r="AL274" s="210"/>
      <c r="AM274" s="210"/>
      <c r="AN274" s="210"/>
      <c r="AO274" s="210"/>
      <c r="AP274" s="210"/>
      <c r="AQ274" s="210"/>
      <c r="AR274" s="210"/>
      <c r="AS274" s="210"/>
      <c r="AT274" s="210"/>
      <c r="AU274" s="210"/>
      <c r="AV274" s="210"/>
      <c r="AW274" s="210"/>
      <c r="AX274" s="210"/>
      <c r="AY274" s="210"/>
      <c r="AZ274" s="210"/>
      <c r="BA274" s="210"/>
      <c r="BB274" s="210"/>
      <c r="BC274" s="210"/>
      <c r="BD274" s="210"/>
      <c r="BE274" s="210"/>
      <c r="BF274" s="210"/>
      <c r="BG274" s="210"/>
      <c r="BH274" s="210"/>
      <c r="BI274" s="210"/>
      <c r="BJ274" s="210"/>
    </row>
    <row r="275" spans="1:62" ht="15" x14ac:dyDescent="0.2">
      <c r="A275" s="210"/>
      <c r="B275" s="210"/>
      <c r="C275" s="210"/>
      <c r="D275" s="210"/>
      <c r="E275" s="210"/>
      <c r="F275" s="210"/>
      <c r="G275" s="210"/>
      <c r="H275" s="210"/>
      <c r="I275" s="210"/>
      <c r="J275" s="210"/>
      <c r="K275" s="210"/>
      <c r="L275" s="210"/>
      <c r="M275" s="210"/>
      <c r="N275" s="210"/>
      <c r="O275" s="210"/>
      <c r="P275" s="210"/>
      <c r="Q275" s="210"/>
      <c r="R275" s="210"/>
      <c r="S275" s="210"/>
      <c r="T275" s="210"/>
      <c r="U275" s="210"/>
      <c r="V275" s="210"/>
      <c r="W275" s="210"/>
      <c r="X275" s="210"/>
      <c r="Y275" s="210"/>
      <c r="Z275" s="210"/>
      <c r="AA275" s="210"/>
      <c r="AB275" s="210"/>
      <c r="AC275" s="210"/>
      <c r="AD275" s="210"/>
      <c r="AE275" s="210"/>
      <c r="AF275" s="210"/>
      <c r="AG275" s="210"/>
      <c r="AH275" s="210"/>
      <c r="AI275" s="210"/>
      <c r="AJ275" s="210"/>
      <c r="AK275" s="210"/>
      <c r="AL275" s="210"/>
      <c r="AM275" s="210"/>
      <c r="AN275" s="210"/>
      <c r="AO275" s="210"/>
      <c r="AP275" s="210"/>
      <c r="AQ275" s="210"/>
      <c r="AR275" s="210"/>
      <c r="AS275" s="210"/>
      <c r="AT275" s="210"/>
      <c r="AU275" s="210"/>
      <c r="AV275" s="210"/>
      <c r="AW275" s="210"/>
      <c r="AX275" s="210"/>
      <c r="AY275" s="210"/>
      <c r="AZ275" s="210"/>
      <c r="BA275" s="210"/>
      <c r="BB275" s="210"/>
      <c r="BC275" s="210"/>
      <c r="BD275" s="210"/>
      <c r="BE275" s="210"/>
      <c r="BF275" s="210"/>
      <c r="BG275" s="210"/>
      <c r="BH275" s="210"/>
      <c r="BI275" s="210"/>
      <c r="BJ275" s="210"/>
    </row>
    <row r="276" spans="1:62" ht="15" x14ac:dyDescent="0.2">
      <c r="A276" s="210"/>
      <c r="B276" s="210"/>
      <c r="C276" s="210"/>
      <c r="D276" s="210"/>
      <c r="E276" s="210"/>
      <c r="F276" s="210"/>
      <c r="G276" s="210"/>
      <c r="H276" s="210"/>
      <c r="I276" s="210"/>
      <c r="J276" s="210"/>
      <c r="K276" s="210"/>
      <c r="L276" s="210"/>
      <c r="M276" s="210"/>
      <c r="N276" s="210"/>
      <c r="O276" s="210"/>
      <c r="P276" s="210"/>
      <c r="Q276" s="210"/>
      <c r="R276" s="210"/>
      <c r="S276" s="210"/>
      <c r="T276" s="210"/>
      <c r="U276" s="210"/>
      <c r="V276" s="210"/>
      <c r="W276" s="210"/>
      <c r="X276" s="210"/>
      <c r="Y276" s="210"/>
      <c r="Z276" s="210"/>
      <c r="AA276" s="210"/>
      <c r="AB276" s="210"/>
      <c r="AC276" s="210"/>
      <c r="AD276" s="210"/>
      <c r="AE276" s="210"/>
      <c r="AF276" s="210"/>
      <c r="AG276" s="210"/>
      <c r="AH276" s="210"/>
      <c r="AI276" s="210"/>
      <c r="AJ276" s="210"/>
      <c r="AK276" s="210"/>
      <c r="AL276" s="210"/>
      <c r="AM276" s="210"/>
      <c r="AN276" s="210"/>
      <c r="AO276" s="210"/>
      <c r="AP276" s="210"/>
      <c r="AQ276" s="210"/>
      <c r="AR276" s="210"/>
      <c r="AS276" s="210"/>
      <c r="AT276" s="210"/>
      <c r="AU276" s="210"/>
      <c r="AV276" s="210"/>
      <c r="AW276" s="210"/>
      <c r="AX276" s="210"/>
      <c r="AY276" s="210"/>
      <c r="AZ276" s="210"/>
      <c r="BA276" s="210"/>
      <c r="BB276" s="210"/>
      <c r="BC276" s="210"/>
      <c r="BD276" s="210"/>
      <c r="BE276" s="210"/>
      <c r="BF276" s="210"/>
      <c r="BG276" s="210"/>
      <c r="BH276" s="210"/>
      <c r="BI276" s="210"/>
      <c r="BJ276" s="210"/>
    </row>
    <row r="277" spans="1:62" ht="15" x14ac:dyDescent="0.2">
      <c r="A277" s="210"/>
      <c r="B277" s="210"/>
      <c r="C277" s="210"/>
      <c r="D277" s="210"/>
      <c r="E277" s="210"/>
      <c r="F277" s="210"/>
      <c r="G277" s="210"/>
      <c r="H277" s="210"/>
      <c r="I277" s="210"/>
      <c r="J277" s="210"/>
      <c r="K277" s="210"/>
      <c r="L277" s="210"/>
      <c r="M277" s="210"/>
      <c r="N277" s="210"/>
      <c r="O277" s="210"/>
      <c r="P277" s="210"/>
      <c r="Q277" s="210"/>
      <c r="R277" s="210"/>
      <c r="S277" s="210"/>
      <c r="T277" s="210"/>
      <c r="U277" s="210"/>
      <c r="V277" s="210"/>
      <c r="W277" s="210"/>
      <c r="X277" s="210"/>
      <c r="Y277" s="210"/>
      <c r="Z277" s="210"/>
      <c r="AA277" s="210"/>
      <c r="AB277" s="210"/>
      <c r="AC277" s="210"/>
      <c r="AD277" s="210"/>
      <c r="AE277" s="210"/>
      <c r="AF277" s="210"/>
      <c r="AG277" s="210"/>
      <c r="AH277" s="210"/>
      <c r="AI277" s="210"/>
      <c r="AJ277" s="210"/>
      <c r="AK277" s="210"/>
      <c r="AL277" s="210"/>
      <c r="AM277" s="210"/>
      <c r="AN277" s="210"/>
      <c r="AO277" s="210"/>
      <c r="AP277" s="210"/>
      <c r="AQ277" s="210"/>
      <c r="AR277" s="210"/>
      <c r="AS277" s="210"/>
      <c r="AT277" s="210"/>
      <c r="AU277" s="210"/>
      <c r="AV277" s="210"/>
      <c r="AW277" s="210"/>
      <c r="AX277" s="210"/>
      <c r="AY277" s="210"/>
      <c r="AZ277" s="210"/>
      <c r="BA277" s="210"/>
      <c r="BB277" s="210"/>
      <c r="BC277" s="210"/>
      <c r="BD277" s="210"/>
      <c r="BE277" s="210"/>
      <c r="BF277" s="210"/>
      <c r="BG277" s="210"/>
      <c r="BH277" s="210"/>
      <c r="BI277" s="210"/>
      <c r="BJ277" s="210"/>
    </row>
    <row r="278" spans="1:62" ht="15" x14ac:dyDescent="0.2">
      <c r="A278" s="210"/>
      <c r="B278" s="210"/>
      <c r="C278" s="210"/>
      <c r="D278" s="210"/>
      <c r="E278" s="210"/>
      <c r="F278" s="210"/>
      <c r="G278" s="210"/>
      <c r="H278" s="210"/>
      <c r="I278" s="210"/>
      <c r="J278" s="210"/>
      <c r="K278" s="210"/>
      <c r="L278" s="210"/>
      <c r="M278" s="210"/>
      <c r="N278" s="210"/>
      <c r="O278" s="210"/>
      <c r="P278" s="210"/>
      <c r="Q278" s="210"/>
      <c r="R278" s="210"/>
      <c r="S278" s="210"/>
      <c r="T278" s="210"/>
      <c r="U278" s="210"/>
      <c r="V278" s="210"/>
      <c r="W278" s="210"/>
      <c r="X278" s="210"/>
      <c r="Y278" s="210"/>
      <c r="Z278" s="210"/>
      <c r="AA278" s="210"/>
      <c r="AB278" s="210"/>
      <c r="AC278" s="210"/>
      <c r="AD278" s="210"/>
      <c r="AE278" s="210"/>
      <c r="AF278" s="210"/>
      <c r="AG278" s="210"/>
      <c r="AH278" s="210"/>
      <c r="AI278" s="210"/>
      <c r="AJ278" s="210"/>
      <c r="AK278" s="210"/>
      <c r="AL278" s="210"/>
      <c r="AM278" s="210"/>
      <c r="AN278" s="210"/>
      <c r="AO278" s="210"/>
      <c r="AP278" s="210"/>
      <c r="AQ278" s="210"/>
      <c r="AR278" s="210"/>
      <c r="AS278" s="210"/>
      <c r="AT278" s="210"/>
      <c r="AU278" s="210"/>
      <c r="AV278" s="210"/>
      <c r="AW278" s="210"/>
      <c r="AX278" s="210"/>
      <c r="AY278" s="210"/>
      <c r="AZ278" s="210"/>
      <c r="BA278" s="210"/>
      <c r="BB278" s="210"/>
      <c r="BC278" s="210"/>
      <c r="BD278" s="210"/>
      <c r="BE278" s="210"/>
      <c r="BF278" s="210"/>
      <c r="BG278" s="210"/>
      <c r="BH278" s="210"/>
      <c r="BI278" s="210"/>
      <c r="BJ278" s="210"/>
    </row>
    <row r="279" spans="1:62" ht="15" x14ac:dyDescent="0.2">
      <c r="A279" s="210"/>
      <c r="B279" s="210"/>
      <c r="C279" s="210"/>
      <c r="D279" s="210"/>
      <c r="E279" s="210"/>
      <c r="F279" s="210"/>
      <c r="G279" s="210"/>
      <c r="H279" s="210"/>
      <c r="I279" s="210"/>
      <c r="J279" s="210"/>
      <c r="K279" s="210"/>
      <c r="L279" s="210"/>
      <c r="M279" s="210"/>
      <c r="N279" s="210"/>
      <c r="O279" s="210"/>
      <c r="P279" s="210"/>
      <c r="Q279" s="210"/>
      <c r="R279" s="210"/>
      <c r="S279" s="210"/>
      <c r="T279" s="210"/>
      <c r="U279" s="210"/>
      <c r="V279" s="210"/>
      <c r="W279" s="210"/>
      <c r="X279" s="210"/>
      <c r="Y279" s="210"/>
      <c r="Z279" s="210"/>
      <c r="AA279" s="210"/>
      <c r="AB279" s="210"/>
      <c r="AC279" s="210"/>
      <c r="AD279" s="210"/>
      <c r="AE279" s="210"/>
      <c r="AF279" s="210"/>
      <c r="AG279" s="210"/>
      <c r="AH279" s="210"/>
      <c r="AI279" s="210"/>
      <c r="AJ279" s="210"/>
      <c r="AK279" s="210"/>
      <c r="AL279" s="210"/>
      <c r="AM279" s="210"/>
      <c r="AN279" s="210"/>
      <c r="AO279" s="210"/>
      <c r="AP279" s="210"/>
      <c r="AQ279" s="210"/>
      <c r="AR279" s="210"/>
      <c r="AS279" s="210"/>
      <c r="AT279" s="210"/>
      <c r="AU279" s="210"/>
      <c r="AV279" s="210"/>
      <c r="AW279" s="210"/>
      <c r="AX279" s="210"/>
      <c r="AY279" s="210"/>
      <c r="AZ279" s="210"/>
      <c r="BA279" s="210"/>
      <c r="BB279" s="210"/>
      <c r="BC279" s="210"/>
      <c r="BD279" s="210"/>
      <c r="BE279" s="210"/>
      <c r="BF279" s="210"/>
      <c r="BG279" s="210"/>
      <c r="BH279" s="210"/>
      <c r="BI279" s="210"/>
      <c r="BJ279" s="210"/>
    </row>
    <row r="280" spans="1:62" ht="15" x14ac:dyDescent="0.2">
      <c r="A280" s="210"/>
      <c r="B280" s="210"/>
      <c r="C280" s="210"/>
      <c r="D280" s="210"/>
      <c r="E280" s="210"/>
      <c r="F280" s="210"/>
      <c r="G280" s="210"/>
      <c r="H280" s="210"/>
      <c r="I280" s="210"/>
      <c r="J280" s="210"/>
      <c r="K280" s="210"/>
      <c r="L280" s="210"/>
      <c r="M280" s="210"/>
      <c r="N280" s="210"/>
      <c r="O280" s="210"/>
      <c r="P280" s="210"/>
      <c r="Q280" s="210"/>
      <c r="R280" s="210"/>
      <c r="S280" s="210"/>
      <c r="T280" s="210"/>
      <c r="U280" s="210"/>
      <c r="V280" s="210"/>
      <c r="W280" s="210"/>
      <c r="X280" s="210"/>
      <c r="Y280" s="210"/>
      <c r="Z280" s="210"/>
      <c r="AA280" s="210"/>
      <c r="AB280" s="210"/>
      <c r="AC280" s="210"/>
      <c r="AD280" s="210"/>
      <c r="AE280" s="210"/>
      <c r="AF280" s="210"/>
      <c r="AG280" s="210"/>
      <c r="AH280" s="210"/>
      <c r="AI280" s="210"/>
      <c r="AJ280" s="210"/>
      <c r="AK280" s="210"/>
      <c r="AL280" s="210"/>
      <c r="AM280" s="210"/>
      <c r="AN280" s="210"/>
      <c r="AO280" s="210"/>
      <c r="AP280" s="210"/>
      <c r="AQ280" s="210"/>
      <c r="AR280" s="210"/>
      <c r="AS280" s="210"/>
      <c r="AT280" s="210"/>
      <c r="AU280" s="210"/>
      <c r="AV280" s="210"/>
      <c r="AW280" s="210"/>
      <c r="AX280" s="210"/>
      <c r="AY280" s="210"/>
      <c r="AZ280" s="210"/>
      <c r="BA280" s="210"/>
      <c r="BB280" s="210"/>
      <c r="BC280" s="210"/>
      <c r="BD280" s="210"/>
      <c r="BE280" s="210"/>
      <c r="BF280" s="210"/>
      <c r="BG280" s="210"/>
      <c r="BH280" s="210"/>
      <c r="BI280" s="210"/>
      <c r="BJ280" s="210"/>
    </row>
    <row r="281" spans="1:62" ht="15" x14ac:dyDescent="0.2">
      <c r="A281" s="210"/>
      <c r="B281" s="210"/>
      <c r="C281" s="210"/>
      <c r="D281" s="210"/>
      <c r="E281" s="210"/>
      <c r="F281" s="210"/>
      <c r="G281" s="210"/>
      <c r="H281" s="210"/>
      <c r="I281" s="210"/>
      <c r="J281" s="210"/>
      <c r="K281" s="210"/>
      <c r="L281" s="210"/>
      <c r="M281" s="210"/>
      <c r="N281" s="210"/>
      <c r="O281" s="210"/>
      <c r="P281" s="210"/>
      <c r="Q281" s="210"/>
      <c r="R281" s="210"/>
      <c r="S281" s="210"/>
      <c r="T281" s="210"/>
      <c r="U281" s="210"/>
      <c r="V281" s="210"/>
      <c r="W281" s="210"/>
      <c r="X281" s="210"/>
      <c r="Y281" s="210"/>
      <c r="Z281" s="210"/>
      <c r="AA281" s="210"/>
      <c r="AB281" s="210"/>
      <c r="AC281" s="210"/>
      <c r="AD281" s="210"/>
      <c r="AE281" s="210"/>
      <c r="AF281" s="210"/>
      <c r="AG281" s="210"/>
      <c r="AH281" s="210"/>
      <c r="AI281" s="210"/>
      <c r="AJ281" s="210"/>
      <c r="AK281" s="210"/>
      <c r="AL281" s="210"/>
      <c r="AM281" s="210"/>
      <c r="AN281" s="210"/>
      <c r="AO281" s="210"/>
      <c r="AP281" s="210"/>
      <c r="AQ281" s="210"/>
      <c r="AR281" s="210"/>
      <c r="AS281" s="210"/>
      <c r="AT281" s="210"/>
      <c r="AU281" s="210"/>
      <c r="AV281" s="210"/>
      <c r="AW281" s="210"/>
      <c r="AX281" s="210"/>
      <c r="AY281" s="210"/>
      <c r="AZ281" s="210"/>
      <c r="BA281" s="210"/>
      <c r="BB281" s="210"/>
      <c r="BC281" s="210"/>
      <c r="BD281" s="210"/>
      <c r="BE281" s="210"/>
      <c r="BF281" s="210"/>
      <c r="BG281" s="210"/>
      <c r="BH281" s="210"/>
      <c r="BI281" s="210"/>
      <c r="BJ281" s="210"/>
    </row>
    <row r="282" spans="1:62" ht="15" x14ac:dyDescent="0.2">
      <c r="A282" s="210"/>
      <c r="B282" s="210"/>
      <c r="C282" s="210"/>
      <c r="D282" s="210"/>
      <c r="E282" s="210"/>
      <c r="F282" s="210"/>
      <c r="G282" s="210"/>
      <c r="H282" s="210"/>
      <c r="I282" s="210"/>
      <c r="J282" s="210"/>
      <c r="K282" s="210"/>
      <c r="L282" s="210"/>
      <c r="M282" s="210"/>
      <c r="N282" s="210"/>
      <c r="O282" s="210"/>
      <c r="P282" s="210"/>
      <c r="Q282" s="210"/>
      <c r="R282" s="210"/>
      <c r="S282" s="210"/>
      <c r="T282" s="210"/>
      <c r="U282" s="210"/>
      <c r="V282" s="210"/>
      <c r="W282" s="210"/>
      <c r="X282" s="210"/>
      <c r="Y282" s="210"/>
      <c r="Z282" s="210"/>
      <c r="AA282" s="210"/>
      <c r="AB282" s="210"/>
      <c r="AC282" s="210"/>
      <c r="AD282" s="210"/>
      <c r="AE282" s="210"/>
      <c r="AF282" s="210"/>
      <c r="AG282" s="210"/>
      <c r="AH282" s="210"/>
      <c r="AI282" s="210"/>
      <c r="AJ282" s="210"/>
      <c r="AK282" s="210"/>
      <c r="AL282" s="210"/>
      <c r="AM282" s="210"/>
      <c r="AN282" s="210"/>
      <c r="AO282" s="210"/>
      <c r="AP282" s="210"/>
      <c r="AQ282" s="210"/>
      <c r="AR282" s="210"/>
      <c r="AS282" s="210"/>
      <c r="AT282" s="210"/>
      <c r="AU282" s="210"/>
      <c r="AV282" s="210"/>
      <c r="AW282" s="210"/>
      <c r="AX282" s="210"/>
      <c r="AY282" s="210"/>
      <c r="AZ282" s="210"/>
      <c r="BA282" s="210"/>
      <c r="BB282" s="210"/>
      <c r="BC282" s="210"/>
      <c r="BD282" s="210"/>
      <c r="BE282" s="210"/>
      <c r="BF282" s="210"/>
      <c r="BG282" s="210"/>
      <c r="BH282" s="210"/>
      <c r="BI282" s="210"/>
      <c r="BJ282" s="210"/>
    </row>
    <row r="283" spans="1:62" ht="15" x14ac:dyDescent="0.2">
      <c r="A283" s="210"/>
      <c r="B283" s="210"/>
      <c r="C283" s="210"/>
      <c r="D283" s="210"/>
      <c r="E283" s="210"/>
      <c r="F283" s="210"/>
      <c r="G283" s="210"/>
      <c r="H283" s="210"/>
      <c r="I283" s="210"/>
      <c r="J283" s="210"/>
      <c r="K283" s="210"/>
      <c r="L283" s="210"/>
      <c r="M283" s="210"/>
      <c r="N283" s="210"/>
      <c r="O283" s="210"/>
      <c r="P283" s="210"/>
      <c r="Q283" s="210"/>
      <c r="R283" s="210"/>
      <c r="S283" s="210"/>
      <c r="T283" s="210"/>
      <c r="U283" s="210"/>
      <c r="V283" s="210"/>
      <c r="W283" s="210"/>
      <c r="X283" s="210"/>
      <c r="Y283" s="210"/>
      <c r="Z283" s="210"/>
      <c r="AA283" s="210"/>
      <c r="AB283" s="210"/>
      <c r="AC283" s="210"/>
      <c r="AD283" s="210"/>
      <c r="AE283" s="210"/>
      <c r="AF283" s="210"/>
      <c r="AG283" s="210"/>
      <c r="AH283" s="210"/>
      <c r="AI283" s="210"/>
      <c r="AJ283" s="210"/>
      <c r="AK283" s="210"/>
      <c r="AL283" s="210"/>
      <c r="AM283" s="210"/>
      <c r="AN283" s="210"/>
      <c r="AO283" s="210"/>
      <c r="AP283" s="210"/>
      <c r="AQ283" s="210"/>
      <c r="AR283" s="210"/>
      <c r="AS283" s="210"/>
      <c r="AT283" s="210"/>
      <c r="AU283" s="210"/>
      <c r="AV283" s="210"/>
      <c r="AW283" s="210"/>
      <c r="AX283" s="210"/>
      <c r="AY283" s="210"/>
      <c r="AZ283" s="210"/>
      <c r="BA283" s="210"/>
      <c r="BB283" s="210"/>
      <c r="BC283" s="210"/>
      <c r="BD283" s="210"/>
      <c r="BE283" s="210"/>
      <c r="BF283" s="210"/>
      <c r="BG283" s="210"/>
      <c r="BH283" s="210"/>
      <c r="BI283" s="210"/>
      <c r="BJ283" s="210"/>
    </row>
    <row r="284" spans="1:62" ht="15" x14ac:dyDescent="0.2">
      <c r="A284" s="210"/>
      <c r="B284" s="210"/>
      <c r="C284" s="210"/>
      <c r="D284" s="210"/>
      <c r="E284" s="210"/>
      <c r="F284" s="210"/>
      <c r="G284" s="210"/>
      <c r="H284" s="210"/>
      <c r="I284" s="210"/>
      <c r="J284" s="210"/>
      <c r="K284" s="210"/>
      <c r="L284" s="210"/>
      <c r="M284" s="210"/>
      <c r="N284" s="210"/>
      <c r="O284" s="210"/>
      <c r="P284" s="210"/>
      <c r="Q284" s="210"/>
      <c r="R284" s="210"/>
      <c r="S284" s="210"/>
      <c r="T284" s="210"/>
      <c r="U284" s="210"/>
      <c r="V284" s="210"/>
      <c r="W284" s="210"/>
      <c r="X284" s="210"/>
      <c r="Y284" s="210"/>
      <c r="Z284" s="210"/>
      <c r="AA284" s="210"/>
      <c r="AB284" s="210"/>
      <c r="AC284" s="210"/>
      <c r="AD284" s="210"/>
      <c r="AE284" s="210"/>
      <c r="AF284" s="210"/>
      <c r="AG284" s="210"/>
      <c r="AH284" s="210"/>
      <c r="AI284" s="210"/>
      <c r="AJ284" s="210"/>
      <c r="AK284" s="210"/>
      <c r="AL284" s="210"/>
      <c r="AM284" s="210"/>
      <c r="AN284" s="210"/>
      <c r="AO284" s="210"/>
      <c r="AP284" s="210"/>
      <c r="AQ284" s="210"/>
      <c r="AR284" s="210"/>
      <c r="AS284" s="210"/>
      <c r="AT284" s="210"/>
      <c r="AU284" s="210"/>
      <c r="AV284" s="210"/>
      <c r="AW284" s="210"/>
      <c r="AX284" s="210"/>
      <c r="AY284" s="210"/>
      <c r="AZ284" s="210"/>
      <c r="BA284" s="210"/>
      <c r="BB284" s="210"/>
      <c r="BC284" s="210"/>
      <c r="BD284" s="210"/>
      <c r="BE284" s="210"/>
      <c r="BF284" s="210"/>
      <c r="BG284" s="210"/>
      <c r="BH284" s="210"/>
      <c r="BI284" s="210"/>
      <c r="BJ284" s="210"/>
    </row>
    <row r="285" spans="1:62" ht="15" x14ac:dyDescent="0.2">
      <c r="A285" s="210"/>
      <c r="B285" s="210"/>
      <c r="C285" s="210"/>
      <c r="D285" s="210"/>
      <c r="E285" s="210"/>
      <c r="F285" s="210"/>
      <c r="G285" s="210"/>
      <c r="H285" s="210"/>
      <c r="I285" s="210"/>
      <c r="J285" s="210"/>
      <c r="K285" s="210"/>
      <c r="L285" s="210"/>
      <c r="M285" s="210"/>
      <c r="N285" s="210"/>
      <c r="O285" s="210"/>
      <c r="P285" s="210"/>
      <c r="Q285" s="210"/>
      <c r="R285" s="210"/>
      <c r="S285" s="210"/>
      <c r="T285" s="210"/>
      <c r="U285" s="210"/>
      <c r="V285" s="210"/>
      <c r="W285" s="210"/>
      <c r="X285" s="210"/>
      <c r="Y285" s="210"/>
      <c r="Z285" s="210"/>
      <c r="AA285" s="210"/>
      <c r="AB285" s="210"/>
      <c r="AC285" s="210"/>
      <c r="AD285" s="210"/>
      <c r="AE285" s="210"/>
      <c r="AF285" s="210"/>
      <c r="AG285" s="210"/>
      <c r="AH285" s="210"/>
      <c r="AI285" s="210"/>
      <c r="AJ285" s="210"/>
      <c r="AK285" s="210"/>
      <c r="AL285" s="210"/>
      <c r="AM285" s="210"/>
      <c r="AN285" s="210"/>
      <c r="AO285" s="210"/>
      <c r="AP285" s="210"/>
      <c r="AQ285" s="210"/>
      <c r="AR285" s="210"/>
      <c r="AS285" s="210"/>
      <c r="AT285" s="210"/>
      <c r="AU285" s="210"/>
      <c r="AV285" s="210"/>
      <c r="AW285" s="210"/>
      <c r="AX285" s="210"/>
      <c r="AY285" s="210"/>
      <c r="AZ285" s="210"/>
      <c r="BA285" s="210"/>
      <c r="BB285" s="210"/>
      <c r="BC285" s="210"/>
      <c r="BD285" s="210"/>
      <c r="BE285" s="210"/>
      <c r="BF285" s="210"/>
      <c r="BG285" s="210"/>
      <c r="BH285" s="210"/>
      <c r="BI285" s="210"/>
      <c r="BJ285" s="210"/>
    </row>
    <row r="286" spans="1:62" ht="15" x14ac:dyDescent="0.2">
      <c r="A286" s="210"/>
      <c r="B286" s="210"/>
      <c r="C286" s="210"/>
      <c r="D286" s="210"/>
      <c r="E286" s="210"/>
      <c r="F286" s="210"/>
      <c r="G286" s="210"/>
      <c r="H286" s="210"/>
      <c r="I286" s="210"/>
      <c r="J286" s="210"/>
      <c r="K286" s="210"/>
      <c r="L286" s="210"/>
      <c r="M286" s="210"/>
      <c r="N286" s="210"/>
      <c r="O286" s="210"/>
      <c r="P286" s="210"/>
      <c r="Q286" s="210"/>
      <c r="R286" s="210"/>
      <c r="S286" s="210"/>
      <c r="T286" s="210"/>
      <c r="U286" s="210"/>
      <c r="V286" s="210"/>
      <c r="W286" s="210"/>
      <c r="X286" s="210"/>
      <c r="Y286" s="210"/>
      <c r="Z286" s="210"/>
      <c r="AA286" s="210"/>
      <c r="AB286" s="210"/>
      <c r="AC286" s="210"/>
      <c r="AD286" s="210"/>
      <c r="AE286" s="210"/>
      <c r="AF286" s="210"/>
      <c r="AG286" s="210"/>
      <c r="AH286" s="210"/>
      <c r="AI286" s="210"/>
      <c r="AJ286" s="210"/>
      <c r="AK286" s="210"/>
      <c r="AL286" s="210"/>
      <c r="AM286" s="210"/>
      <c r="AN286" s="210"/>
      <c r="AO286" s="210"/>
      <c r="AP286" s="210"/>
      <c r="AQ286" s="210"/>
      <c r="AR286" s="210"/>
      <c r="AS286" s="210"/>
      <c r="AT286" s="210"/>
      <c r="AU286" s="210"/>
      <c r="AV286" s="210"/>
      <c r="AW286" s="210"/>
      <c r="AX286" s="210"/>
      <c r="AY286" s="210"/>
      <c r="AZ286" s="210"/>
      <c r="BA286" s="210"/>
      <c r="BB286" s="210"/>
      <c r="BC286" s="210"/>
      <c r="BD286" s="210"/>
      <c r="BE286" s="210"/>
      <c r="BF286" s="210"/>
      <c r="BG286" s="210"/>
      <c r="BH286" s="210"/>
      <c r="BI286" s="210"/>
      <c r="BJ286" s="210"/>
    </row>
    <row r="287" spans="1:62" ht="15" x14ac:dyDescent="0.2">
      <c r="A287" s="210"/>
      <c r="B287" s="210"/>
      <c r="C287" s="210"/>
      <c r="D287" s="210"/>
      <c r="E287" s="210"/>
      <c r="F287" s="210"/>
      <c r="G287" s="210"/>
      <c r="H287" s="210"/>
      <c r="I287" s="210"/>
      <c r="J287" s="210"/>
      <c r="K287" s="210"/>
      <c r="L287" s="210"/>
      <c r="M287" s="210"/>
      <c r="N287" s="210"/>
      <c r="O287" s="210"/>
      <c r="P287" s="210"/>
      <c r="Q287" s="210"/>
      <c r="R287" s="210"/>
      <c r="S287" s="210"/>
      <c r="T287" s="210"/>
      <c r="U287" s="210"/>
      <c r="V287" s="210"/>
      <c r="W287" s="210"/>
      <c r="X287" s="210"/>
      <c r="Y287" s="210"/>
      <c r="Z287" s="210"/>
      <c r="AA287" s="210"/>
      <c r="AB287" s="210"/>
      <c r="AC287" s="210"/>
      <c r="AD287" s="210"/>
      <c r="AE287" s="210"/>
      <c r="AF287" s="210"/>
      <c r="AG287" s="210"/>
      <c r="AH287" s="210"/>
      <c r="AI287" s="210"/>
      <c r="AJ287" s="210"/>
      <c r="AK287" s="210"/>
      <c r="AL287" s="210"/>
      <c r="AM287" s="210"/>
      <c r="AN287" s="210"/>
      <c r="AO287" s="210"/>
      <c r="AP287" s="210"/>
      <c r="AQ287" s="210"/>
      <c r="AR287" s="210"/>
      <c r="AS287" s="210"/>
      <c r="AT287" s="210"/>
      <c r="AU287" s="210"/>
      <c r="AV287" s="210"/>
      <c r="AW287" s="210"/>
      <c r="AX287" s="210"/>
      <c r="AY287" s="210"/>
      <c r="AZ287" s="210"/>
      <c r="BA287" s="210"/>
      <c r="BB287" s="210"/>
      <c r="BC287" s="210"/>
      <c r="BD287" s="210"/>
      <c r="BE287" s="210"/>
      <c r="BF287" s="210"/>
      <c r="BG287" s="210"/>
      <c r="BH287" s="210"/>
      <c r="BI287" s="210"/>
      <c r="BJ287" s="210"/>
    </row>
    <row r="288" spans="1:62" ht="15" x14ac:dyDescent="0.2">
      <c r="A288" s="210"/>
      <c r="B288" s="210"/>
      <c r="C288" s="210"/>
      <c r="D288" s="210"/>
      <c r="E288" s="210"/>
      <c r="F288" s="210"/>
      <c r="G288" s="210"/>
      <c r="H288" s="210"/>
      <c r="I288" s="210"/>
      <c r="J288" s="210"/>
      <c r="K288" s="210"/>
      <c r="L288" s="210"/>
      <c r="M288" s="210"/>
      <c r="N288" s="210"/>
      <c r="O288" s="210"/>
      <c r="P288" s="210"/>
      <c r="Q288" s="210"/>
      <c r="R288" s="210"/>
      <c r="S288" s="210"/>
      <c r="T288" s="210"/>
      <c r="U288" s="210"/>
      <c r="V288" s="210"/>
      <c r="W288" s="210"/>
      <c r="X288" s="210"/>
      <c r="Y288" s="210"/>
      <c r="Z288" s="210"/>
      <c r="AA288" s="210"/>
      <c r="AB288" s="210"/>
      <c r="AC288" s="210"/>
      <c r="AD288" s="210"/>
      <c r="AE288" s="210"/>
      <c r="AF288" s="210"/>
      <c r="AG288" s="210"/>
      <c r="AH288" s="210"/>
      <c r="AI288" s="210"/>
      <c r="AJ288" s="210"/>
      <c r="AK288" s="210"/>
      <c r="AL288" s="210"/>
      <c r="AM288" s="210"/>
      <c r="AN288" s="210"/>
      <c r="AO288" s="210"/>
      <c r="AP288" s="210"/>
      <c r="AQ288" s="210"/>
      <c r="AR288" s="210"/>
      <c r="AS288" s="210"/>
      <c r="AT288" s="210"/>
      <c r="AU288" s="210"/>
      <c r="AV288" s="210"/>
      <c r="AW288" s="210"/>
      <c r="AX288" s="210"/>
      <c r="AY288" s="210"/>
      <c r="AZ288" s="210"/>
      <c r="BA288" s="210"/>
      <c r="BB288" s="210"/>
      <c r="BC288" s="210"/>
      <c r="BD288" s="210"/>
      <c r="BE288" s="210"/>
      <c r="BF288" s="210"/>
      <c r="BG288" s="210"/>
      <c r="BH288" s="210"/>
      <c r="BI288" s="210"/>
      <c r="BJ288" s="210"/>
    </row>
    <row r="289" spans="1:62" ht="15" x14ac:dyDescent="0.2">
      <c r="A289" s="210"/>
      <c r="B289" s="210"/>
      <c r="C289" s="210"/>
      <c r="D289" s="210"/>
      <c r="E289" s="210"/>
      <c r="F289" s="210"/>
      <c r="G289" s="210"/>
      <c r="H289" s="210"/>
      <c r="I289" s="210"/>
      <c r="J289" s="210"/>
      <c r="K289" s="210"/>
      <c r="L289" s="210"/>
      <c r="M289" s="210"/>
      <c r="N289" s="210"/>
      <c r="O289" s="210"/>
      <c r="P289" s="210"/>
      <c r="Q289" s="210"/>
      <c r="R289" s="210"/>
      <c r="S289" s="210"/>
      <c r="T289" s="210"/>
      <c r="U289" s="210"/>
      <c r="V289" s="210"/>
      <c r="W289" s="210"/>
      <c r="X289" s="210"/>
      <c r="Y289" s="210"/>
      <c r="Z289" s="210"/>
      <c r="AA289" s="210"/>
      <c r="AB289" s="210"/>
      <c r="AC289" s="210"/>
      <c r="AD289" s="210"/>
      <c r="AE289" s="210"/>
      <c r="AF289" s="210"/>
      <c r="AG289" s="210"/>
      <c r="AH289" s="210"/>
      <c r="AI289" s="210"/>
      <c r="AJ289" s="210"/>
      <c r="AK289" s="210"/>
      <c r="AL289" s="210"/>
      <c r="AM289" s="210"/>
      <c r="AN289" s="210"/>
      <c r="AO289" s="210"/>
      <c r="AP289" s="210"/>
      <c r="AQ289" s="210"/>
      <c r="AR289" s="210"/>
      <c r="AS289" s="210"/>
      <c r="AT289" s="210"/>
      <c r="AU289" s="210"/>
      <c r="AV289" s="210"/>
      <c r="AW289" s="210"/>
      <c r="AX289" s="210"/>
      <c r="AY289" s="210"/>
      <c r="AZ289" s="210"/>
      <c r="BA289" s="210"/>
      <c r="BB289" s="210"/>
      <c r="BC289" s="210"/>
      <c r="BD289" s="210"/>
      <c r="BE289" s="210"/>
      <c r="BF289" s="210"/>
      <c r="BG289" s="210"/>
      <c r="BH289" s="210"/>
      <c r="BI289" s="210"/>
      <c r="BJ289" s="210"/>
    </row>
    <row r="290" spans="1:62" ht="15" x14ac:dyDescent="0.2">
      <c r="A290" s="210"/>
      <c r="B290" s="210"/>
      <c r="C290" s="210"/>
      <c r="D290" s="210"/>
      <c r="E290" s="210"/>
      <c r="F290" s="210"/>
      <c r="G290" s="210"/>
      <c r="H290" s="210"/>
      <c r="I290" s="210"/>
      <c r="J290" s="210"/>
      <c r="K290" s="210"/>
      <c r="L290" s="210"/>
      <c r="M290" s="210"/>
      <c r="N290" s="210"/>
      <c r="O290" s="210"/>
      <c r="P290" s="210"/>
      <c r="Q290" s="210"/>
      <c r="R290" s="210"/>
      <c r="S290" s="210"/>
      <c r="T290" s="210"/>
      <c r="U290" s="210"/>
      <c r="V290" s="210"/>
      <c r="W290" s="210"/>
      <c r="X290" s="210"/>
      <c r="Y290" s="210"/>
      <c r="Z290" s="210"/>
      <c r="AA290" s="210"/>
      <c r="AB290" s="210"/>
      <c r="AC290" s="210"/>
      <c r="AD290" s="210"/>
      <c r="AE290" s="210"/>
      <c r="AF290" s="210"/>
      <c r="AG290" s="210"/>
      <c r="AH290" s="210"/>
      <c r="AI290" s="210"/>
      <c r="AJ290" s="210"/>
      <c r="AK290" s="210"/>
      <c r="AL290" s="210"/>
      <c r="AM290" s="210"/>
      <c r="AN290" s="210"/>
      <c r="AO290" s="210"/>
      <c r="AP290" s="210"/>
      <c r="AQ290" s="210"/>
      <c r="AR290" s="210"/>
      <c r="AS290" s="210"/>
      <c r="AT290" s="210"/>
      <c r="AU290" s="210"/>
      <c r="AV290" s="210"/>
      <c r="AW290" s="210"/>
      <c r="AX290" s="210"/>
      <c r="AY290" s="210"/>
      <c r="AZ290" s="210"/>
      <c r="BA290" s="210"/>
      <c r="BB290" s="210"/>
      <c r="BC290" s="210"/>
      <c r="BD290" s="210"/>
      <c r="BE290" s="210"/>
      <c r="BF290" s="210"/>
      <c r="BG290" s="210"/>
      <c r="BH290" s="210"/>
      <c r="BI290" s="210"/>
      <c r="BJ290" s="210"/>
    </row>
    <row r="291" spans="1:62" ht="15" x14ac:dyDescent="0.2">
      <c r="A291" s="210"/>
      <c r="B291" s="210"/>
      <c r="C291" s="210"/>
      <c r="D291" s="210"/>
      <c r="E291" s="210"/>
      <c r="F291" s="210"/>
      <c r="G291" s="210"/>
      <c r="H291" s="210"/>
      <c r="I291" s="210"/>
      <c r="J291" s="210"/>
      <c r="K291" s="210"/>
      <c r="L291" s="210"/>
      <c r="M291" s="210"/>
      <c r="N291" s="210"/>
      <c r="O291" s="210"/>
      <c r="P291" s="210"/>
      <c r="Q291" s="210"/>
      <c r="R291" s="210"/>
      <c r="S291" s="210"/>
      <c r="T291" s="210"/>
      <c r="U291" s="210"/>
      <c r="V291" s="210"/>
      <c r="W291" s="210"/>
      <c r="X291" s="210"/>
      <c r="Y291" s="210"/>
      <c r="Z291" s="210"/>
      <c r="AA291" s="210"/>
      <c r="AB291" s="210"/>
      <c r="AC291" s="210"/>
      <c r="AD291" s="210"/>
      <c r="AE291" s="210"/>
      <c r="AF291" s="210"/>
      <c r="AG291" s="210"/>
      <c r="AH291" s="210"/>
      <c r="AI291" s="210"/>
      <c r="AJ291" s="210"/>
      <c r="AK291" s="210"/>
      <c r="AL291" s="210"/>
      <c r="AM291" s="210"/>
      <c r="AN291" s="210"/>
      <c r="AO291" s="210"/>
      <c r="AP291" s="210"/>
      <c r="AQ291" s="210"/>
      <c r="AR291" s="210"/>
      <c r="AS291" s="210"/>
      <c r="AT291" s="210"/>
      <c r="AU291" s="210"/>
      <c r="AV291" s="210"/>
      <c r="AW291" s="210"/>
      <c r="AX291" s="210"/>
      <c r="AY291" s="210"/>
      <c r="AZ291" s="210"/>
      <c r="BA291" s="210"/>
      <c r="BB291" s="210"/>
      <c r="BC291" s="210"/>
      <c r="BD291" s="210"/>
      <c r="BE291" s="210"/>
      <c r="BF291" s="210"/>
      <c r="BG291" s="210"/>
      <c r="BH291" s="210"/>
      <c r="BI291" s="210"/>
      <c r="BJ291" s="210"/>
    </row>
    <row r="292" spans="1:62" ht="15" x14ac:dyDescent="0.2">
      <c r="A292" s="210"/>
      <c r="B292" s="210"/>
      <c r="C292" s="210"/>
      <c r="D292" s="210"/>
      <c r="E292" s="210"/>
      <c r="F292" s="210"/>
      <c r="G292" s="210"/>
      <c r="H292" s="210"/>
      <c r="I292" s="210"/>
      <c r="J292" s="210"/>
      <c r="K292" s="210"/>
      <c r="L292" s="210"/>
      <c r="M292" s="210"/>
      <c r="N292" s="210"/>
      <c r="O292" s="210"/>
      <c r="P292" s="210"/>
      <c r="Q292" s="210"/>
      <c r="R292" s="210"/>
      <c r="S292" s="210"/>
      <c r="T292" s="210"/>
      <c r="U292" s="210"/>
      <c r="V292" s="210"/>
      <c r="W292" s="210"/>
      <c r="X292" s="210"/>
      <c r="Y292" s="210"/>
      <c r="Z292" s="210"/>
      <c r="AA292" s="210"/>
      <c r="AB292" s="210"/>
      <c r="AC292" s="210"/>
      <c r="AD292" s="210"/>
      <c r="AE292" s="210"/>
      <c r="AF292" s="210"/>
      <c r="AG292" s="210"/>
      <c r="AH292" s="210"/>
      <c r="AI292" s="210"/>
      <c r="AJ292" s="210"/>
      <c r="AK292" s="210"/>
      <c r="AL292" s="210"/>
      <c r="AM292" s="210"/>
      <c r="AN292" s="210"/>
      <c r="AO292" s="210"/>
      <c r="AP292" s="210"/>
      <c r="AQ292" s="210"/>
      <c r="AR292" s="210"/>
      <c r="AS292" s="210"/>
      <c r="AT292" s="210"/>
      <c r="AU292" s="210"/>
      <c r="AV292" s="210"/>
      <c r="AW292" s="210"/>
      <c r="AX292" s="210"/>
      <c r="AY292" s="210"/>
      <c r="AZ292" s="210"/>
      <c r="BA292" s="210"/>
      <c r="BB292" s="210"/>
      <c r="BC292" s="210"/>
      <c r="BD292" s="210"/>
      <c r="BE292" s="210"/>
      <c r="BF292" s="210"/>
      <c r="BG292" s="210"/>
      <c r="BH292" s="210"/>
      <c r="BI292" s="210"/>
      <c r="BJ292" s="210"/>
    </row>
    <row r="293" spans="1:62" ht="15" x14ac:dyDescent="0.2">
      <c r="A293" s="210"/>
      <c r="B293" s="210"/>
      <c r="C293" s="210"/>
      <c r="D293" s="210"/>
      <c r="E293" s="210"/>
      <c r="F293" s="210"/>
      <c r="G293" s="210"/>
      <c r="H293" s="210"/>
      <c r="I293" s="210"/>
      <c r="J293" s="210"/>
      <c r="K293" s="210"/>
      <c r="L293" s="210"/>
      <c r="M293" s="210"/>
      <c r="N293" s="210"/>
      <c r="O293" s="210"/>
      <c r="P293" s="210"/>
      <c r="Q293" s="210"/>
      <c r="R293" s="210"/>
      <c r="S293" s="210"/>
      <c r="T293" s="210"/>
      <c r="U293" s="210"/>
      <c r="V293" s="210"/>
      <c r="W293" s="210"/>
      <c r="X293" s="210"/>
      <c r="Y293" s="210"/>
      <c r="Z293" s="210"/>
      <c r="AA293" s="210"/>
      <c r="AB293" s="210"/>
      <c r="AC293" s="210"/>
      <c r="AD293" s="210"/>
      <c r="AE293" s="210"/>
      <c r="AF293" s="210"/>
      <c r="AG293" s="210"/>
      <c r="AH293" s="210"/>
      <c r="AI293" s="210"/>
      <c r="AJ293" s="210"/>
      <c r="AK293" s="210"/>
      <c r="AL293" s="210"/>
      <c r="AM293" s="210"/>
      <c r="AN293" s="210"/>
      <c r="AO293" s="210"/>
      <c r="AP293" s="210"/>
      <c r="AQ293" s="210"/>
      <c r="AR293" s="210"/>
      <c r="AS293" s="210"/>
      <c r="AT293" s="210"/>
      <c r="AU293" s="210"/>
      <c r="AV293" s="210"/>
      <c r="AW293" s="210"/>
      <c r="AX293" s="210"/>
      <c r="AY293" s="210"/>
      <c r="AZ293" s="210"/>
      <c r="BA293" s="210"/>
      <c r="BB293" s="210"/>
      <c r="BC293" s="210"/>
      <c r="BD293" s="210"/>
      <c r="BE293" s="210"/>
      <c r="BF293" s="210"/>
      <c r="BG293" s="210"/>
      <c r="BH293" s="210"/>
      <c r="BI293" s="210"/>
      <c r="BJ293" s="210"/>
    </row>
    <row r="294" spans="1:62" ht="15" x14ac:dyDescent="0.2">
      <c r="A294" s="210"/>
      <c r="B294" s="210"/>
      <c r="C294" s="210"/>
      <c r="D294" s="210"/>
      <c r="E294" s="210"/>
      <c r="F294" s="210"/>
      <c r="G294" s="210"/>
      <c r="H294" s="210"/>
      <c r="I294" s="210"/>
      <c r="J294" s="210"/>
      <c r="K294" s="210"/>
      <c r="L294" s="210"/>
      <c r="M294" s="210"/>
      <c r="N294" s="210"/>
      <c r="O294" s="210"/>
      <c r="P294" s="210"/>
      <c r="Q294" s="210"/>
      <c r="R294" s="210"/>
      <c r="S294" s="210"/>
      <c r="T294" s="210"/>
      <c r="U294" s="210"/>
      <c r="V294" s="210"/>
      <c r="W294" s="210"/>
      <c r="X294" s="210"/>
      <c r="Y294" s="210"/>
      <c r="Z294" s="210"/>
      <c r="AA294" s="210"/>
      <c r="AB294" s="210"/>
      <c r="AC294" s="210"/>
      <c r="AD294" s="210"/>
      <c r="AE294" s="210"/>
      <c r="AF294" s="210"/>
      <c r="AG294" s="210"/>
      <c r="AH294" s="210"/>
      <c r="AI294" s="210"/>
      <c r="AJ294" s="210"/>
      <c r="AK294" s="210"/>
      <c r="AL294" s="210"/>
      <c r="AM294" s="210"/>
      <c r="AN294" s="210"/>
      <c r="AO294" s="210"/>
      <c r="AP294" s="210"/>
      <c r="AQ294" s="210"/>
      <c r="AR294" s="210"/>
      <c r="AS294" s="210"/>
      <c r="AT294" s="210"/>
      <c r="AU294" s="210"/>
      <c r="AV294" s="210"/>
      <c r="AW294" s="210"/>
      <c r="AX294" s="210"/>
      <c r="AY294" s="210"/>
      <c r="AZ294" s="210"/>
      <c r="BA294" s="210"/>
      <c r="BB294" s="210"/>
      <c r="BC294" s="210"/>
      <c r="BD294" s="210"/>
      <c r="BE294" s="210"/>
      <c r="BF294" s="210"/>
      <c r="BG294" s="210"/>
      <c r="BH294" s="210"/>
      <c r="BI294" s="210"/>
      <c r="BJ294" s="210"/>
    </row>
    <row r="295" spans="1:62" ht="15" x14ac:dyDescent="0.2">
      <c r="A295" s="210"/>
      <c r="B295" s="210"/>
      <c r="C295" s="210"/>
      <c r="D295" s="210"/>
      <c r="E295" s="210"/>
      <c r="F295" s="210"/>
      <c r="G295" s="210"/>
      <c r="H295" s="210"/>
      <c r="I295" s="210"/>
      <c r="J295" s="210"/>
      <c r="K295" s="210"/>
      <c r="L295" s="210"/>
      <c r="M295" s="210"/>
      <c r="N295" s="210"/>
      <c r="O295" s="210"/>
      <c r="P295" s="210"/>
      <c r="Q295" s="210"/>
      <c r="R295" s="210"/>
      <c r="S295" s="210"/>
      <c r="T295" s="210"/>
      <c r="U295" s="210"/>
      <c r="V295" s="210"/>
      <c r="W295" s="210"/>
      <c r="X295" s="210"/>
      <c r="Y295" s="210"/>
      <c r="Z295" s="210"/>
      <c r="AA295" s="210"/>
      <c r="AB295" s="210"/>
      <c r="AC295" s="210"/>
      <c r="AD295" s="210"/>
      <c r="AE295" s="210"/>
      <c r="AF295" s="210"/>
      <c r="AG295" s="210"/>
      <c r="AH295" s="210"/>
      <c r="AI295" s="210"/>
      <c r="AJ295" s="210"/>
      <c r="AK295" s="210"/>
      <c r="AL295" s="210"/>
      <c r="AM295" s="210"/>
      <c r="AN295" s="210"/>
      <c r="AO295" s="210"/>
      <c r="AP295" s="210"/>
      <c r="AQ295" s="210"/>
      <c r="AR295" s="210"/>
      <c r="AS295" s="210"/>
      <c r="AT295" s="210"/>
      <c r="AU295" s="210"/>
      <c r="AV295" s="210"/>
      <c r="AW295" s="210"/>
      <c r="AX295" s="210"/>
      <c r="AY295" s="210"/>
      <c r="AZ295" s="210"/>
      <c r="BA295" s="210"/>
      <c r="BB295" s="210"/>
      <c r="BC295" s="210"/>
      <c r="BD295" s="210"/>
      <c r="BE295" s="210"/>
      <c r="BF295" s="210"/>
      <c r="BG295" s="210"/>
      <c r="BH295" s="210"/>
      <c r="BI295" s="210"/>
      <c r="BJ295" s="210"/>
    </row>
    <row r="296" spans="1:62" ht="15" x14ac:dyDescent="0.2">
      <c r="A296" s="210"/>
      <c r="B296" s="210"/>
      <c r="C296" s="210"/>
      <c r="D296" s="210"/>
      <c r="E296" s="210"/>
      <c r="F296" s="210"/>
      <c r="G296" s="210"/>
      <c r="H296" s="210"/>
      <c r="I296" s="210"/>
      <c r="J296" s="210"/>
      <c r="K296" s="210"/>
      <c r="L296" s="210"/>
      <c r="M296" s="210"/>
      <c r="N296" s="210"/>
      <c r="O296" s="210"/>
      <c r="P296" s="210"/>
      <c r="Q296" s="210"/>
      <c r="R296" s="210"/>
      <c r="S296" s="210"/>
      <c r="T296" s="210"/>
      <c r="U296" s="210"/>
      <c r="V296" s="210"/>
      <c r="W296" s="210"/>
      <c r="X296" s="210"/>
      <c r="Y296" s="210"/>
      <c r="Z296" s="210"/>
      <c r="AA296" s="210"/>
      <c r="AB296" s="210"/>
      <c r="AC296" s="210"/>
      <c r="AD296" s="210"/>
      <c r="AE296" s="210"/>
      <c r="AF296" s="210"/>
      <c r="AG296" s="210"/>
      <c r="AH296" s="210"/>
      <c r="AI296" s="210"/>
      <c r="AJ296" s="210"/>
      <c r="AK296" s="210"/>
      <c r="AL296" s="210"/>
      <c r="AM296" s="210"/>
      <c r="AN296" s="210"/>
      <c r="AO296" s="210"/>
      <c r="AP296" s="210"/>
      <c r="AQ296" s="210"/>
      <c r="AR296" s="210"/>
      <c r="AS296" s="210"/>
      <c r="AT296" s="210"/>
      <c r="AU296" s="210"/>
      <c r="AV296" s="210"/>
      <c r="AW296" s="210"/>
      <c r="AX296" s="210"/>
      <c r="AY296" s="210"/>
      <c r="AZ296" s="210"/>
      <c r="BA296" s="210"/>
      <c r="BB296" s="210"/>
      <c r="BC296" s="210"/>
      <c r="BD296" s="210"/>
      <c r="BE296" s="210"/>
      <c r="BF296" s="210"/>
      <c r="BG296" s="210"/>
      <c r="BH296" s="210"/>
      <c r="BI296" s="210"/>
      <c r="BJ296" s="210"/>
    </row>
    <row r="297" spans="1:62" ht="15" x14ac:dyDescent="0.2">
      <c r="A297" s="210"/>
      <c r="B297" s="210"/>
      <c r="C297" s="210"/>
      <c r="D297" s="210"/>
      <c r="E297" s="210"/>
      <c r="F297" s="210"/>
      <c r="G297" s="210"/>
      <c r="H297" s="210"/>
      <c r="I297" s="210"/>
      <c r="J297" s="210"/>
      <c r="K297" s="210"/>
      <c r="L297" s="210"/>
      <c r="M297" s="210"/>
      <c r="N297" s="210"/>
      <c r="O297" s="210"/>
      <c r="P297" s="210"/>
      <c r="Q297" s="210"/>
      <c r="R297" s="210"/>
      <c r="S297" s="210"/>
      <c r="T297" s="210"/>
      <c r="U297" s="210"/>
      <c r="V297" s="210"/>
      <c r="W297" s="210"/>
      <c r="X297" s="210"/>
      <c r="Y297" s="210"/>
      <c r="Z297" s="210"/>
      <c r="AA297" s="210"/>
      <c r="AB297" s="210"/>
      <c r="AC297" s="210"/>
      <c r="AD297" s="210"/>
      <c r="AE297" s="210"/>
      <c r="AF297" s="210"/>
      <c r="AG297" s="210"/>
      <c r="AH297" s="210"/>
      <c r="AI297" s="210"/>
      <c r="AJ297" s="210"/>
      <c r="AK297" s="210"/>
      <c r="AL297" s="210"/>
      <c r="AM297" s="210"/>
      <c r="AN297" s="210"/>
      <c r="AO297" s="210"/>
      <c r="AP297" s="210"/>
      <c r="AQ297" s="210"/>
      <c r="AR297" s="210"/>
      <c r="AS297" s="210"/>
      <c r="AT297" s="210"/>
      <c r="AU297" s="210"/>
      <c r="AV297" s="210"/>
      <c r="AW297" s="210"/>
      <c r="AX297" s="210"/>
      <c r="AY297" s="210"/>
      <c r="AZ297" s="210"/>
      <c r="BA297" s="210"/>
      <c r="BB297" s="210"/>
      <c r="BC297" s="210"/>
      <c r="BD297" s="210"/>
      <c r="BE297" s="210"/>
      <c r="BF297" s="210"/>
      <c r="BG297" s="210"/>
      <c r="BH297" s="210"/>
      <c r="BI297" s="210"/>
      <c r="BJ297" s="210"/>
    </row>
    <row r="298" spans="1:62" ht="15" x14ac:dyDescent="0.2">
      <c r="A298" s="210"/>
      <c r="B298" s="210"/>
      <c r="C298" s="210"/>
      <c r="D298" s="210"/>
      <c r="E298" s="210"/>
      <c r="F298" s="210"/>
      <c r="G298" s="210"/>
      <c r="H298" s="210"/>
      <c r="I298" s="210"/>
      <c r="J298" s="210"/>
      <c r="K298" s="210"/>
      <c r="L298" s="210"/>
      <c r="M298" s="210"/>
      <c r="N298" s="210"/>
      <c r="O298" s="210"/>
      <c r="P298" s="210"/>
      <c r="Q298" s="210"/>
      <c r="R298" s="210"/>
      <c r="S298" s="210"/>
      <c r="T298" s="210"/>
      <c r="U298" s="210"/>
      <c r="V298" s="210"/>
      <c r="W298" s="210"/>
      <c r="X298" s="210"/>
      <c r="Y298" s="210"/>
      <c r="Z298" s="210"/>
      <c r="AA298" s="210"/>
      <c r="AB298" s="210"/>
      <c r="AC298" s="210"/>
      <c r="AD298" s="210"/>
      <c r="AE298" s="210"/>
      <c r="AF298" s="210"/>
      <c r="AG298" s="210"/>
      <c r="AH298" s="210"/>
      <c r="AI298" s="210"/>
      <c r="AJ298" s="210"/>
      <c r="AK298" s="210"/>
      <c r="AL298" s="210"/>
      <c r="AM298" s="210"/>
      <c r="AN298" s="210"/>
      <c r="AO298" s="210"/>
      <c r="AP298" s="210"/>
      <c r="AQ298" s="210"/>
      <c r="AR298" s="210"/>
      <c r="AS298" s="210"/>
      <c r="AT298" s="210"/>
      <c r="AU298" s="210"/>
      <c r="AV298" s="210"/>
      <c r="AW298" s="210"/>
      <c r="AX298" s="210"/>
      <c r="AY298" s="210"/>
      <c r="AZ298" s="210"/>
      <c r="BA298" s="210"/>
      <c r="BB298" s="210"/>
      <c r="BC298" s="210"/>
      <c r="BD298" s="210"/>
      <c r="BE298" s="210"/>
      <c r="BF298" s="210"/>
      <c r="BG298" s="210"/>
      <c r="BH298" s="210"/>
      <c r="BI298" s="210"/>
      <c r="BJ298" s="210"/>
    </row>
    <row r="299" spans="1:62" ht="15" x14ac:dyDescent="0.2">
      <c r="A299" s="210"/>
      <c r="B299" s="210"/>
      <c r="C299" s="210"/>
      <c r="D299" s="210"/>
      <c r="E299" s="210"/>
      <c r="F299" s="210"/>
      <c r="G299" s="210"/>
      <c r="H299" s="210"/>
      <c r="I299" s="210"/>
      <c r="J299" s="210"/>
      <c r="K299" s="210"/>
      <c r="L299" s="210"/>
      <c r="M299" s="210"/>
      <c r="N299" s="210"/>
      <c r="O299" s="210"/>
      <c r="P299" s="210"/>
      <c r="Q299" s="210"/>
      <c r="R299" s="210"/>
      <c r="S299" s="210"/>
      <c r="T299" s="210"/>
      <c r="U299" s="210"/>
      <c r="V299" s="210"/>
      <c r="W299" s="210"/>
      <c r="X299" s="210"/>
      <c r="Y299" s="210"/>
      <c r="Z299" s="210"/>
      <c r="AA299" s="210"/>
      <c r="AB299" s="210"/>
      <c r="AC299" s="210"/>
      <c r="AD299" s="210"/>
      <c r="AE299" s="210"/>
      <c r="AF299" s="210"/>
      <c r="AG299" s="210"/>
      <c r="AH299" s="210"/>
      <c r="AI299" s="210"/>
      <c r="AJ299" s="210"/>
      <c r="AK299" s="210"/>
      <c r="AL299" s="210"/>
      <c r="AM299" s="210"/>
      <c r="AN299" s="210"/>
      <c r="AO299" s="210"/>
      <c r="AP299" s="210"/>
      <c r="AQ299" s="210"/>
      <c r="AR299" s="210"/>
      <c r="AS299" s="210"/>
      <c r="AT299" s="210"/>
      <c r="AU299" s="210"/>
      <c r="AV299" s="210"/>
      <c r="AW299" s="210"/>
      <c r="AX299" s="210"/>
      <c r="AY299" s="210"/>
      <c r="AZ299" s="210"/>
      <c r="BA299" s="210"/>
      <c r="BB299" s="210"/>
      <c r="BC299" s="210"/>
      <c r="BD299" s="210"/>
      <c r="BE299" s="210"/>
      <c r="BF299" s="210"/>
      <c r="BG299" s="210"/>
      <c r="BH299" s="210"/>
      <c r="BI299" s="210"/>
      <c r="BJ299" s="210"/>
    </row>
    <row r="300" spans="1:62" ht="15" x14ac:dyDescent="0.2">
      <c r="A300" s="210"/>
      <c r="B300" s="210"/>
      <c r="C300" s="210"/>
      <c r="D300" s="210"/>
      <c r="E300" s="210"/>
      <c r="F300" s="210"/>
      <c r="G300" s="210"/>
      <c r="H300" s="210"/>
      <c r="I300" s="210"/>
      <c r="J300" s="210"/>
      <c r="K300" s="210"/>
      <c r="L300" s="210"/>
      <c r="M300" s="210"/>
      <c r="N300" s="210"/>
      <c r="O300" s="210"/>
      <c r="P300" s="210"/>
      <c r="Q300" s="210"/>
      <c r="R300" s="210"/>
      <c r="S300" s="210"/>
      <c r="T300" s="210"/>
      <c r="U300" s="210"/>
      <c r="V300" s="210"/>
      <c r="W300" s="210"/>
      <c r="X300" s="210"/>
      <c r="Y300" s="210"/>
      <c r="Z300" s="210"/>
      <c r="AA300" s="210"/>
      <c r="AB300" s="210"/>
      <c r="AC300" s="210"/>
      <c r="AD300" s="210"/>
      <c r="AE300" s="210"/>
      <c r="AF300" s="210"/>
      <c r="AG300" s="210"/>
      <c r="AH300" s="210"/>
      <c r="AI300" s="210"/>
      <c r="AJ300" s="210"/>
      <c r="AK300" s="210"/>
      <c r="AL300" s="210"/>
      <c r="AM300" s="210"/>
      <c r="AN300" s="210"/>
      <c r="AO300" s="210"/>
      <c r="AP300" s="210"/>
      <c r="AQ300" s="210"/>
      <c r="AR300" s="210"/>
      <c r="AS300" s="210"/>
      <c r="AT300" s="210"/>
      <c r="AU300" s="210"/>
      <c r="AV300" s="210"/>
      <c r="AW300" s="210"/>
      <c r="AX300" s="210"/>
      <c r="AY300" s="210"/>
      <c r="AZ300" s="210"/>
      <c r="BA300" s="210"/>
      <c r="BB300" s="210"/>
      <c r="BC300" s="210"/>
      <c r="BD300" s="210"/>
      <c r="BE300" s="210"/>
      <c r="BF300" s="210"/>
      <c r="BG300" s="210"/>
      <c r="BH300" s="210"/>
      <c r="BI300" s="210"/>
      <c r="BJ300" s="210"/>
    </row>
    <row r="301" spans="1:62" ht="15" x14ac:dyDescent="0.2">
      <c r="A301" s="210"/>
      <c r="B301" s="210"/>
      <c r="C301" s="210"/>
      <c r="D301" s="210"/>
      <c r="E301" s="210"/>
      <c r="F301" s="210"/>
      <c r="G301" s="210"/>
      <c r="H301" s="210"/>
      <c r="I301" s="210"/>
      <c r="J301" s="210"/>
      <c r="K301" s="210"/>
      <c r="L301" s="210"/>
      <c r="M301" s="210"/>
      <c r="N301" s="210"/>
      <c r="O301" s="210"/>
      <c r="P301" s="210"/>
      <c r="Q301" s="210"/>
      <c r="R301" s="210"/>
      <c r="S301" s="210"/>
      <c r="T301" s="210"/>
      <c r="U301" s="210"/>
      <c r="V301" s="210"/>
      <c r="W301" s="210"/>
      <c r="X301" s="210"/>
      <c r="Y301" s="210"/>
      <c r="Z301" s="210"/>
      <c r="AA301" s="210"/>
      <c r="AB301" s="210"/>
      <c r="AC301" s="210"/>
      <c r="AD301" s="210"/>
      <c r="AE301" s="210"/>
      <c r="AF301" s="210"/>
      <c r="AG301" s="210"/>
      <c r="AH301" s="210"/>
      <c r="AI301" s="210"/>
      <c r="AJ301" s="210"/>
      <c r="AK301" s="210"/>
      <c r="AL301" s="210"/>
      <c r="AM301" s="210"/>
      <c r="AN301" s="210"/>
      <c r="AO301" s="210"/>
      <c r="AP301" s="210"/>
      <c r="AQ301" s="210"/>
      <c r="AR301" s="210"/>
      <c r="AS301" s="210"/>
      <c r="AT301" s="210"/>
      <c r="AU301" s="210"/>
      <c r="AV301" s="210"/>
      <c r="AW301" s="210"/>
      <c r="AX301" s="210"/>
      <c r="AY301" s="210"/>
      <c r="AZ301" s="210"/>
      <c r="BA301" s="210"/>
      <c r="BB301" s="210"/>
      <c r="BC301" s="210"/>
      <c r="BD301" s="210"/>
      <c r="BE301" s="210"/>
      <c r="BF301" s="210"/>
      <c r="BG301" s="210"/>
      <c r="BH301" s="210"/>
      <c r="BI301" s="210"/>
      <c r="BJ301" s="210"/>
    </row>
    <row r="302" spans="1:62" ht="15" x14ac:dyDescent="0.2">
      <c r="A302" s="210"/>
      <c r="B302" s="210"/>
      <c r="C302" s="210"/>
      <c r="D302" s="210"/>
      <c r="E302" s="210"/>
      <c r="F302" s="210"/>
      <c r="G302" s="210"/>
      <c r="H302" s="210"/>
      <c r="I302" s="210"/>
      <c r="J302" s="210"/>
      <c r="K302" s="210"/>
      <c r="L302" s="210"/>
      <c r="M302" s="210"/>
      <c r="N302" s="210"/>
      <c r="O302" s="210"/>
      <c r="P302" s="210"/>
      <c r="Q302" s="210"/>
      <c r="R302" s="210"/>
      <c r="S302" s="210"/>
      <c r="T302" s="210"/>
      <c r="U302" s="210"/>
      <c r="V302" s="210"/>
      <c r="W302" s="210"/>
      <c r="X302" s="210"/>
      <c r="Y302" s="210"/>
      <c r="Z302" s="210"/>
      <c r="AA302" s="210"/>
      <c r="AB302" s="210"/>
      <c r="AC302" s="210"/>
      <c r="AD302" s="210"/>
      <c r="AE302" s="210"/>
      <c r="AF302" s="210"/>
      <c r="AG302" s="210"/>
      <c r="AH302" s="210"/>
      <c r="AI302" s="210"/>
      <c r="AJ302" s="210"/>
      <c r="AK302" s="210"/>
      <c r="AL302" s="210"/>
      <c r="AM302" s="210"/>
      <c r="AN302" s="210"/>
      <c r="AO302" s="210"/>
      <c r="AP302" s="210"/>
      <c r="AQ302" s="210"/>
      <c r="AR302" s="210"/>
      <c r="AS302" s="210"/>
      <c r="AT302" s="210"/>
      <c r="AU302" s="210"/>
      <c r="AV302" s="210"/>
      <c r="AW302" s="210"/>
      <c r="AX302" s="210"/>
      <c r="AY302" s="210"/>
      <c r="AZ302" s="210"/>
      <c r="BA302" s="210"/>
      <c r="BB302" s="210"/>
      <c r="BC302" s="210"/>
      <c r="BD302" s="210"/>
      <c r="BE302" s="210"/>
      <c r="BF302" s="210"/>
      <c r="BG302" s="210"/>
      <c r="BH302" s="210"/>
      <c r="BI302" s="210"/>
      <c r="BJ302" s="210"/>
    </row>
    <row r="303" spans="1:62" ht="15" x14ac:dyDescent="0.2">
      <c r="A303" s="210"/>
      <c r="B303" s="210"/>
      <c r="C303" s="210"/>
      <c r="D303" s="210"/>
      <c r="E303" s="210"/>
      <c r="F303" s="210"/>
      <c r="G303" s="210"/>
      <c r="H303" s="210"/>
      <c r="I303" s="210"/>
      <c r="J303" s="210"/>
      <c r="K303" s="210"/>
      <c r="L303" s="210"/>
      <c r="M303" s="210"/>
      <c r="N303" s="210"/>
      <c r="O303" s="210"/>
      <c r="P303" s="210"/>
      <c r="Q303" s="210"/>
      <c r="R303" s="210"/>
      <c r="S303" s="210"/>
      <c r="T303" s="210"/>
      <c r="U303" s="210"/>
      <c r="V303" s="210"/>
      <c r="W303" s="210"/>
      <c r="X303" s="210"/>
      <c r="Y303" s="210"/>
      <c r="Z303" s="210"/>
      <c r="AA303" s="210"/>
      <c r="AB303" s="210"/>
      <c r="AC303" s="210"/>
      <c r="AD303" s="210"/>
      <c r="AE303" s="210"/>
      <c r="AF303" s="210"/>
      <c r="AG303" s="210"/>
      <c r="AH303" s="210"/>
      <c r="AI303" s="210"/>
      <c r="AJ303" s="210"/>
      <c r="AK303" s="210"/>
      <c r="AL303" s="210"/>
      <c r="AM303" s="210"/>
      <c r="AN303" s="210"/>
      <c r="AO303" s="210"/>
      <c r="AP303" s="210"/>
      <c r="AQ303" s="210"/>
      <c r="AR303" s="210"/>
      <c r="AS303" s="210"/>
      <c r="AT303" s="210"/>
      <c r="AU303" s="210"/>
      <c r="AV303" s="210"/>
      <c r="AW303" s="210"/>
      <c r="AX303" s="210"/>
      <c r="AY303" s="210"/>
      <c r="AZ303" s="210"/>
      <c r="BA303" s="210"/>
      <c r="BB303" s="210"/>
      <c r="BC303" s="210"/>
      <c r="BD303" s="210"/>
      <c r="BE303" s="210"/>
      <c r="BF303" s="210"/>
      <c r="BG303" s="210"/>
      <c r="BH303" s="210"/>
      <c r="BI303" s="210"/>
      <c r="BJ303" s="210"/>
    </row>
    <row r="304" spans="1:62" ht="15" x14ac:dyDescent="0.2">
      <c r="A304" s="210"/>
      <c r="B304" s="210"/>
      <c r="C304" s="210"/>
      <c r="D304" s="210"/>
      <c r="E304" s="210"/>
      <c r="F304" s="210"/>
      <c r="G304" s="210"/>
      <c r="H304" s="210"/>
      <c r="I304" s="210"/>
      <c r="J304" s="210"/>
      <c r="K304" s="210"/>
      <c r="L304" s="210"/>
      <c r="M304" s="210"/>
      <c r="N304" s="210"/>
      <c r="O304" s="210"/>
      <c r="P304" s="210"/>
      <c r="Q304" s="210"/>
      <c r="R304" s="210"/>
      <c r="S304" s="210"/>
      <c r="T304" s="210"/>
      <c r="U304" s="210"/>
      <c r="V304" s="210"/>
      <c r="W304" s="210"/>
      <c r="X304" s="210"/>
      <c r="Y304" s="210"/>
      <c r="Z304" s="210"/>
      <c r="AA304" s="210"/>
      <c r="AB304" s="210"/>
      <c r="AC304" s="210"/>
      <c r="AD304" s="210"/>
      <c r="AE304" s="210"/>
      <c r="AF304" s="210"/>
      <c r="AG304" s="210"/>
      <c r="AH304" s="210"/>
      <c r="AI304" s="210"/>
      <c r="AJ304" s="210"/>
      <c r="AK304" s="210"/>
      <c r="AL304" s="210"/>
      <c r="AM304" s="210"/>
      <c r="AN304" s="210"/>
      <c r="AO304" s="210"/>
      <c r="AP304" s="210"/>
      <c r="AQ304" s="210"/>
      <c r="AR304" s="210"/>
      <c r="AS304" s="210"/>
      <c r="AT304" s="210"/>
      <c r="AU304" s="210"/>
      <c r="AV304" s="210"/>
      <c r="AW304" s="210"/>
      <c r="AX304" s="210"/>
      <c r="AY304" s="210"/>
      <c r="AZ304" s="210"/>
      <c r="BA304" s="210"/>
      <c r="BB304" s="210"/>
      <c r="BC304" s="210"/>
      <c r="BD304" s="210"/>
      <c r="BE304" s="210"/>
      <c r="BF304" s="210"/>
      <c r="BG304" s="210"/>
      <c r="BH304" s="210"/>
      <c r="BI304" s="210"/>
      <c r="BJ304" s="210"/>
    </row>
    <row r="305" spans="1:62" ht="15" x14ac:dyDescent="0.2">
      <c r="A305" s="210"/>
      <c r="B305" s="210"/>
      <c r="C305" s="210"/>
      <c r="D305" s="210"/>
      <c r="E305" s="210"/>
      <c r="F305" s="210"/>
      <c r="G305" s="210"/>
      <c r="H305" s="210"/>
      <c r="I305" s="210"/>
      <c r="J305" s="210"/>
      <c r="K305" s="210"/>
      <c r="L305" s="210"/>
      <c r="M305" s="210"/>
      <c r="N305" s="210"/>
      <c r="O305" s="210"/>
      <c r="P305" s="210"/>
      <c r="Q305" s="210"/>
      <c r="R305" s="210"/>
      <c r="S305" s="210"/>
      <c r="T305" s="210"/>
      <c r="U305" s="210"/>
      <c r="V305" s="210"/>
      <c r="W305" s="210"/>
      <c r="X305" s="210"/>
      <c r="Y305" s="210"/>
      <c r="Z305" s="210"/>
      <c r="AA305" s="210"/>
      <c r="AB305" s="210"/>
      <c r="AC305" s="210"/>
      <c r="AD305" s="210"/>
      <c r="AE305" s="210"/>
      <c r="AF305" s="210"/>
      <c r="AG305" s="210"/>
      <c r="AH305" s="210"/>
      <c r="AI305" s="210"/>
      <c r="AJ305" s="210"/>
      <c r="AK305" s="210"/>
      <c r="AL305" s="210"/>
      <c r="AM305" s="210"/>
      <c r="AN305" s="210"/>
      <c r="AO305" s="210"/>
      <c r="AP305" s="210"/>
      <c r="AQ305" s="210"/>
      <c r="AR305" s="210"/>
      <c r="AS305" s="210"/>
      <c r="AT305" s="210"/>
      <c r="AU305" s="210"/>
      <c r="AV305" s="210"/>
      <c r="AW305" s="210"/>
      <c r="AX305" s="210"/>
      <c r="AY305" s="210"/>
      <c r="AZ305" s="210"/>
      <c r="BA305" s="210"/>
      <c r="BB305" s="210"/>
      <c r="BC305" s="210"/>
      <c r="BD305" s="210"/>
      <c r="BE305" s="210"/>
      <c r="BF305" s="210"/>
      <c r="BG305" s="210"/>
      <c r="BH305" s="210"/>
      <c r="BI305" s="210"/>
      <c r="BJ305" s="210"/>
    </row>
    <row r="306" spans="1:62" ht="15" x14ac:dyDescent="0.2">
      <c r="A306" s="210"/>
      <c r="B306" s="210"/>
      <c r="C306" s="210"/>
      <c r="D306" s="210"/>
      <c r="E306" s="210"/>
      <c r="F306" s="210"/>
      <c r="G306" s="210"/>
      <c r="H306" s="210"/>
      <c r="I306" s="210"/>
      <c r="J306" s="210"/>
      <c r="K306" s="210"/>
      <c r="L306" s="210"/>
      <c r="M306" s="210"/>
      <c r="N306" s="210"/>
      <c r="O306" s="210"/>
      <c r="P306" s="210"/>
      <c r="Q306" s="210"/>
      <c r="R306" s="210"/>
      <c r="S306" s="210"/>
      <c r="T306" s="210"/>
      <c r="U306" s="210"/>
      <c r="V306" s="210"/>
      <c r="W306" s="210"/>
      <c r="X306" s="210"/>
      <c r="Y306" s="210"/>
      <c r="Z306" s="210"/>
      <c r="AA306" s="210"/>
      <c r="AB306" s="210"/>
      <c r="AC306" s="210"/>
      <c r="AD306" s="210"/>
      <c r="AE306" s="210"/>
      <c r="AF306" s="210"/>
      <c r="AG306" s="210"/>
      <c r="AH306" s="210"/>
      <c r="AI306" s="210"/>
      <c r="AJ306" s="210"/>
      <c r="AK306" s="210"/>
      <c r="AL306" s="210"/>
      <c r="AM306" s="210"/>
      <c r="AN306" s="210"/>
      <c r="AO306" s="210"/>
      <c r="AP306" s="210"/>
      <c r="AQ306" s="210"/>
      <c r="AR306" s="210"/>
      <c r="AS306" s="210"/>
      <c r="AT306" s="210"/>
      <c r="AU306" s="210"/>
      <c r="AV306" s="210"/>
      <c r="AW306" s="210"/>
      <c r="AX306" s="210"/>
      <c r="AY306" s="210"/>
      <c r="AZ306" s="210"/>
      <c r="BA306" s="210"/>
      <c r="BB306" s="210"/>
      <c r="BC306" s="210"/>
      <c r="BD306" s="210"/>
      <c r="BE306" s="210"/>
      <c r="BF306" s="210"/>
      <c r="BG306" s="210"/>
      <c r="BH306" s="210"/>
      <c r="BI306" s="210"/>
      <c r="BJ306" s="210"/>
    </row>
    <row r="307" spans="1:62" ht="15" x14ac:dyDescent="0.2">
      <c r="A307" s="210"/>
      <c r="B307" s="210"/>
      <c r="C307" s="210"/>
      <c r="D307" s="210"/>
      <c r="E307" s="210"/>
      <c r="F307" s="210"/>
      <c r="G307" s="210"/>
      <c r="H307" s="210"/>
      <c r="I307" s="210"/>
      <c r="J307" s="210"/>
      <c r="K307" s="210"/>
      <c r="L307" s="210"/>
      <c r="M307" s="210"/>
      <c r="N307" s="210"/>
      <c r="O307" s="210"/>
      <c r="P307" s="210"/>
      <c r="Q307" s="210"/>
      <c r="R307" s="210"/>
      <c r="S307" s="210"/>
      <c r="T307" s="210"/>
      <c r="U307" s="210"/>
      <c r="V307" s="210"/>
      <c r="W307" s="210"/>
      <c r="X307" s="210"/>
      <c r="Y307" s="210"/>
      <c r="Z307" s="210"/>
      <c r="AA307" s="210"/>
      <c r="AB307" s="210"/>
      <c r="AC307" s="210"/>
      <c r="AD307" s="210"/>
      <c r="AE307" s="210"/>
      <c r="AF307" s="210"/>
      <c r="AG307" s="210"/>
      <c r="AH307" s="210"/>
      <c r="AI307" s="210"/>
      <c r="AJ307" s="210"/>
      <c r="AK307" s="210"/>
      <c r="AL307" s="210"/>
      <c r="AM307" s="210"/>
      <c r="AN307" s="210"/>
      <c r="AO307" s="210"/>
      <c r="AP307" s="210"/>
      <c r="AQ307" s="210"/>
      <c r="AR307" s="210"/>
      <c r="AS307" s="210"/>
      <c r="AT307" s="210"/>
      <c r="AU307" s="210"/>
      <c r="AV307" s="210"/>
      <c r="AW307" s="210"/>
      <c r="AX307" s="210"/>
      <c r="AY307" s="210"/>
      <c r="AZ307" s="210"/>
      <c r="BA307" s="210"/>
      <c r="BB307" s="210"/>
      <c r="BC307" s="210"/>
      <c r="BD307" s="210"/>
      <c r="BE307" s="210"/>
      <c r="BF307" s="210"/>
      <c r="BG307" s="210"/>
      <c r="BH307" s="210"/>
      <c r="BI307" s="210"/>
      <c r="BJ307" s="210"/>
    </row>
    <row r="308" spans="1:62" ht="15" x14ac:dyDescent="0.2">
      <c r="A308" s="210"/>
      <c r="B308" s="210"/>
      <c r="C308" s="210"/>
      <c r="D308" s="210"/>
      <c r="E308" s="210"/>
      <c r="F308" s="210"/>
      <c r="G308" s="210"/>
      <c r="H308" s="210"/>
      <c r="I308" s="210"/>
      <c r="J308" s="210"/>
      <c r="K308" s="210"/>
      <c r="L308" s="210"/>
      <c r="M308" s="210"/>
      <c r="N308" s="210"/>
      <c r="O308" s="210"/>
      <c r="P308" s="210"/>
      <c r="Q308" s="210"/>
      <c r="R308" s="210"/>
      <c r="S308" s="210"/>
      <c r="T308" s="210"/>
      <c r="U308" s="210"/>
      <c r="V308" s="210"/>
      <c r="W308" s="210"/>
      <c r="X308" s="210"/>
      <c r="Y308" s="210"/>
      <c r="Z308" s="210"/>
      <c r="AA308" s="210"/>
      <c r="AB308" s="210"/>
      <c r="AC308" s="210"/>
      <c r="AD308" s="210"/>
      <c r="AE308" s="210"/>
      <c r="AF308" s="210"/>
      <c r="AG308" s="210"/>
      <c r="AH308" s="210"/>
      <c r="AI308" s="210"/>
      <c r="AJ308" s="210"/>
      <c r="AK308" s="210"/>
      <c r="AL308" s="210"/>
      <c r="AM308" s="210"/>
      <c r="AN308" s="210"/>
      <c r="AO308" s="210"/>
      <c r="AP308" s="210"/>
      <c r="AQ308" s="210"/>
      <c r="AR308" s="210"/>
      <c r="AS308" s="210"/>
      <c r="AT308" s="210"/>
      <c r="AU308" s="210"/>
      <c r="AV308" s="210"/>
      <c r="AW308" s="210"/>
      <c r="AX308" s="210"/>
      <c r="AY308" s="210"/>
      <c r="AZ308" s="210"/>
      <c r="BA308" s="210"/>
      <c r="BB308" s="210"/>
      <c r="BC308" s="210"/>
      <c r="BD308" s="210"/>
      <c r="BE308" s="210"/>
      <c r="BF308" s="210"/>
      <c r="BG308" s="210"/>
      <c r="BH308" s="210"/>
      <c r="BI308" s="210"/>
      <c r="BJ308" s="210"/>
    </row>
    <row r="309" spans="1:62" ht="15" x14ac:dyDescent="0.2">
      <c r="A309" s="210"/>
      <c r="B309" s="210"/>
      <c r="C309" s="210"/>
      <c r="D309" s="210"/>
      <c r="E309" s="210"/>
      <c r="F309" s="210"/>
      <c r="G309" s="210"/>
      <c r="H309" s="210"/>
      <c r="I309" s="210"/>
      <c r="J309" s="210"/>
      <c r="K309" s="210"/>
      <c r="L309" s="210"/>
      <c r="M309" s="210"/>
      <c r="N309" s="210"/>
      <c r="O309" s="210"/>
      <c r="P309" s="210"/>
      <c r="Q309" s="210"/>
      <c r="R309" s="210"/>
      <c r="S309" s="210"/>
      <c r="T309" s="210"/>
      <c r="U309" s="210"/>
      <c r="V309" s="210"/>
      <c r="W309" s="210"/>
      <c r="X309" s="210"/>
      <c r="Y309" s="210"/>
      <c r="Z309" s="210"/>
      <c r="AA309" s="210"/>
      <c r="AB309" s="210"/>
      <c r="AC309" s="210"/>
      <c r="AD309" s="210"/>
      <c r="AE309" s="210"/>
      <c r="AF309" s="210"/>
      <c r="AG309" s="210"/>
      <c r="AH309" s="210"/>
      <c r="AI309" s="210"/>
      <c r="AJ309" s="210"/>
      <c r="AK309" s="210"/>
      <c r="AL309" s="210"/>
      <c r="AM309" s="210"/>
      <c r="AN309" s="210"/>
      <c r="AO309" s="210"/>
      <c r="AP309" s="210"/>
      <c r="AQ309" s="210"/>
      <c r="AR309" s="210"/>
      <c r="AS309" s="210"/>
      <c r="AT309" s="210"/>
      <c r="AU309" s="210"/>
      <c r="AV309" s="210"/>
      <c r="AW309" s="210"/>
      <c r="AX309" s="210"/>
      <c r="AY309" s="210"/>
      <c r="AZ309" s="210"/>
      <c r="BA309" s="210"/>
      <c r="BB309" s="210"/>
      <c r="BC309" s="210"/>
      <c r="BD309" s="210"/>
      <c r="BE309" s="210"/>
      <c r="BF309" s="210"/>
      <c r="BG309" s="210"/>
      <c r="BH309" s="210"/>
      <c r="BI309" s="210"/>
      <c r="BJ309" s="210"/>
    </row>
    <row r="310" spans="1:62" ht="15" x14ac:dyDescent="0.2">
      <c r="A310" s="210"/>
      <c r="B310" s="210"/>
      <c r="C310" s="210"/>
      <c r="D310" s="210"/>
      <c r="E310" s="210"/>
      <c r="F310" s="210"/>
      <c r="G310" s="210"/>
      <c r="H310" s="210"/>
      <c r="I310" s="210"/>
      <c r="J310" s="210"/>
      <c r="K310" s="210"/>
      <c r="L310" s="210"/>
      <c r="M310" s="210"/>
      <c r="N310" s="210"/>
      <c r="O310" s="210"/>
      <c r="P310" s="210"/>
      <c r="Q310" s="210"/>
      <c r="R310" s="210"/>
      <c r="S310" s="210"/>
      <c r="T310" s="210"/>
      <c r="U310" s="210"/>
      <c r="V310" s="210"/>
      <c r="W310" s="210"/>
      <c r="X310" s="210"/>
      <c r="Y310" s="210"/>
      <c r="Z310" s="210"/>
      <c r="AA310" s="210"/>
      <c r="AB310" s="210"/>
      <c r="AC310" s="210"/>
      <c r="AD310" s="210"/>
      <c r="AE310" s="210"/>
      <c r="AF310" s="210"/>
      <c r="AG310" s="210"/>
      <c r="AH310" s="210"/>
      <c r="AI310" s="210"/>
      <c r="AJ310" s="210"/>
      <c r="AK310" s="210"/>
      <c r="AL310" s="210"/>
      <c r="AM310" s="210"/>
      <c r="AN310" s="210"/>
      <c r="AO310" s="210"/>
      <c r="AP310" s="210"/>
      <c r="AQ310" s="210"/>
      <c r="AR310" s="210"/>
      <c r="AS310" s="210"/>
      <c r="AT310" s="210"/>
      <c r="AU310" s="210"/>
      <c r="AV310" s="210"/>
      <c r="AW310" s="210"/>
      <c r="AX310" s="210"/>
      <c r="AY310" s="210"/>
      <c r="AZ310" s="210"/>
      <c r="BA310" s="210"/>
      <c r="BB310" s="210"/>
      <c r="BC310" s="210"/>
      <c r="BD310" s="210"/>
      <c r="BE310" s="210"/>
      <c r="BF310" s="210"/>
      <c r="BG310" s="210"/>
      <c r="BH310" s="210"/>
      <c r="BI310" s="210"/>
      <c r="BJ310" s="210"/>
    </row>
    <row r="311" spans="1:62" ht="15" x14ac:dyDescent="0.2">
      <c r="A311" s="210"/>
      <c r="B311" s="210"/>
      <c r="C311" s="210"/>
      <c r="D311" s="210"/>
      <c r="E311" s="210"/>
      <c r="F311" s="210"/>
      <c r="G311" s="210"/>
      <c r="H311" s="210"/>
      <c r="I311" s="210"/>
      <c r="J311" s="210"/>
      <c r="K311" s="210"/>
      <c r="L311" s="210"/>
      <c r="M311" s="210"/>
      <c r="N311" s="210"/>
      <c r="O311" s="210"/>
      <c r="P311" s="210"/>
      <c r="Q311" s="210"/>
      <c r="R311" s="210"/>
      <c r="S311" s="210"/>
      <c r="T311" s="210"/>
      <c r="U311" s="210"/>
      <c r="V311" s="210"/>
      <c r="W311" s="210"/>
      <c r="X311" s="210"/>
      <c r="Y311" s="210"/>
      <c r="Z311" s="210"/>
      <c r="AA311" s="210"/>
      <c r="AB311" s="210"/>
      <c r="AC311" s="210"/>
      <c r="AD311" s="210"/>
      <c r="AE311" s="210"/>
      <c r="AF311" s="210"/>
      <c r="AG311" s="210"/>
      <c r="AH311" s="210"/>
      <c r="AI311" s="210"/>
      <c r="AJ311" s="210"/>
      <c r="AK311" s="210"/>
      <c r="AL311" s="210"/>
      <c r="AM311" s="210"/>
      <c r="AN311" s="210"/>
      <c r="AO311" s="210"/>
      <c r="AP311" s="210"/>
      <c r="AQ311" s="210"/>
      <c r="AR311" s="210"/>
      <c r="AS311" s="210"/>
      <c r="AT311" s="210"/>
      <c r="AU311" s="210"/>
      <c r="AV311" s="210"/>
      <c r="AW311" s="210"/>
      <c r="AX311" s="210"/>
      <c r="AY311" s="210"/>
      <c r="AZ311" s="210"/>
      <c r="BA311" s="210"/>
      <c r="BB311" s="210"/>
      <c r="BC311" s="210"/>
      <c r="BD311" s="210"/>
      <c r="BE311" s="210"/>
      <c r="BF311" s="210"/>
      <c r="BG311" s="210"/>
      <c r="BH311" s="210"/>
      <c r="BI311" s="210"/>
      <c r="BJ311" s="210"/>
    </row>
    <row r="312" spans="1:62" ht="15" x14ac:dyDescent="0.2">
      <c r="A312" s="210"/>
      <c r="B312" s="210"/>
      <c r="C312" s="210"/>
      <c r="D312" s="210"/>
      <c r="E312" s="210"/>
      <c r="F312" s="210"/>
      <c r="G312" s="210"/>
      <c r="H312" s="210"/>
      <c r="I312" s="210"/>
      <c r="J312" s="210"/>
      <c r="K312" s="210"/>
      <c r="L312" s="210"/>
      <c r="M312" s="210"/>
      <c r="N312" s="210"/>
      <c r="O312" s="210"/>
      <c r="P312" s="210"/>
      <c r="Q312" s="210"/>
      <c r="R312" s="210"/>
      <c r="S312" s="210"/>
      <c r="T312" s="210"/>
      <c r="U312" s="210"/>
      <c r="V312" s="210"/>
      <c r="W312" s="210"/>
      <c r="X312" s="210"/>
      <c r="Y312" s="210"/>
      <c r="Z312" s="210"/>
      <c r="AA312" s="210"/>
      <c r="AB312" s="210"/>
      <c r="AC312" s="210"/>
      <c r="AD312" s="210"/>
      <c r="AE312" s="210"/>
      <c r="AF312" s="210"/>
      <c r="AG312" s="210"/>
      <c r="AH312" s="210"/>
      <c r="AI312" s="210"/>
      <c r="AJ312" s="210"/>
      <c r="AK312" s="210"/>
      <c r="AL312" s="210"/>
      <c r="AM312" s="210"/>
      <c r="AN312" s="210"/>
      <c r="AO312" s="210"/>
      <c r="AP312" s="210"/>
      <c r="AQ312" s="210"/>
      <c r="AR312" s="210"/>
      <c r="AS312" s="210"/>
      <c r="AT312" s="210"/>
      <c r="AU312" s="210"/>
      <c r="AV312" s="210"/>
      <c r="AW312" s="210"/>
      <c r="AX312" s="210"/>
      <c r="AY312" s="210"/>
      <c r="AZ312" s="210"/>
      <c r="BA312" s="210"/>
      <c r="BB312" s="210"/>
      <c r="BC312" s="210"/>
      <c r="BD312" s="210"/>
      <c r="BE312" s="210"/>
      <c r="BF312" s="210"/>
      <c r="BG312" s="210"/>
      <c r="BH312" s="210"/>
      <c r="BI312" s="210"/>
      <c r="BJ312" s="210"/>
    </row>
    <row r="313" spans="1:62" ht="15" x14ac:dyDescent="0.2">
      <c r="A313" s="210"/>
      <c r="B313" s="210"/>
      <c r="C313" s="210"/>
      <c r="D313" s="210"/>
      <c r="E313" s="210"/>
      <c r="F313" s="210"/>
      <c r="G313" s="210"/>
      <c r="H313" s="210"/>
      <c r="I313" s="210"/>
      <c r="J313" s="210"/>
      <c r="K313" s="210"/>
      <c r="L313" s="210"/>
      <c r="M313" s="210"/>
      <c r="N313" s="210"/>
      <c r="O313" s="210"/>
      <c r="P313" s="210"/>
      <c r="Q313" s="210"/>
      <c r="R313" s="210"/>
      <c r="S313" s="210"/>
      <c r="T313" s="210"/>
      <c r="U313" s="210"/>
      <c r="V313" s="210"/>
      <c r="W313" s="210"/>
      <c r="X313" s="210"/>
      <c r="Y313" s="210"/>
      <c r="Z313" s="210"/>
      <c r="AA313" s="210"/>
      <c r="AB313" s="210"/>
      <c r="AC313" s="210"/>
      <c r="AD313" s="210"/>
      <c r="AE313" s="210"/>
      <c r="AF313" s="210"/>
      <c r="AG313" s="210"/>
      <c r="AH313" s="210"/>
      <c r="AI313" s="210"/>
      <c r="AJ313" s="210"/>
      <c r="AK313" s="210"/>
      <c r="AL313" s="210"/>
      <c r="AM313" s="210"/>
      <c r="AN313" s="210"/>
      <c r="AO313" s="210"/>
      <c r="AP313" s="210"/>
      <c r="AQ313" s="210"/>
      <c r="AR313" s="210"/>
      <c r="AS313" s="210"/>
      <c r="AT313" s="210"/>
      <c r="AU313" s="210"/>
      <c r="AV313" s="210"/>
      <c r="AW313" s="210"/>
      <c r="AX313" s="210"/>
      <c r="AY313" s="210"/>
      <c r="AZ313" s="210"/>
      <c r="BA313" s="210"/>
      <c r="BB313" s="210"/>
      <c r="BC313" s="210"/>
      <c r="BD313" s="210"/>
      <c r="BE313" s="210"/>
      <c r="BF313" s="210"/>
      <c r="BG313" s="210"/>
      <c r="BH313" s="210"/>
      <c r="BI313" s="210"/>
      <c r="BJ313" s="210"/>
    </row>
    <row r="314" spans="1:62" ht="15" x14ac:dyDescent="0.2">
      <c r="A314" s="210"/>
      <c r="B314" s="210"/>
      <c r="C314" s="210"/>
      <c r="D314" s="210"/>
      <c r="E314" s="210"/>
      <c r="F314" s="210"/>
      <c r="G314" s="210"/>
      <c r="H314" s="210"/>
      <c r="I314" s="210"/>
      <c r="J314" s="210"/>
      <c r="K314" s="210"/>
      <c r="L314" s="210"/>
      <c r="M314" s="210"/>
      <c r="N314" s="210"/>
      <c r="O314" s="210"/>
      <c r="P314" s="210"/>
      <c r="Q314" s="210"/>
      <c r="R314" s="210"/>
      <c r="S314" s="210"/>
      <c r="T314" s="210"/>
      <c r="U314" s="210"/>
      <c r="V314" s="210"/>
      <c r="W314" s="210"/>
      <c r="X314" s="210"/>
      <c r="Y314" s="210"/>
      <c r="Z314" s="210"/>
      <c r="AA314" s="210"/>
      <c r="AB314" s="210"/>
      <c r="AC314" s="210"/>
      <c r="AD314" s="210"/>
      <c r="AE314" s="210"/>
      <c r="AF314" s="210"/>
      <c r="AG314" s="210"/>
      <c r="AH314" s="210"/>
      <c r="AI314" s="210"/>
      <c r="AJ314" s="210"/>
      <c r="AK314" s="210"/>
      <c r="AL314" s="210"/>
      <c r="AM314" s="210"/>
      <c r="AN314" s="210"/>
      <c r="AO314" s="210"/>
      <c r="AP314" s="210"/>
      <c r="AQ314" s="210"/>
      <c r="AR314" s="210"/>
      <c r="AS314" s="210"/>
      <c r="AT314" s="210"/>
      <c r="AU314" s="210"/>
      <c r="AV314" s="210"/>
      <c r="AW314" s="210"/>
      <c r="AX314" s="210"/>
      <c r="AY314" s="210"/>
      <c r="AZ314" s="210"/>
      <c r="BA314" s="210"/>
      <c r="BB314" s="210"/>
      <c r="BC314" s="210"/>
      <c r="BD314" s="210"/>
      <c r="BE314" s="210"/>
      <c r="BF314" s="210"/>
      <c r="BG314" s="210"/>
      <c r="BH314" s="210"/>
      <c r="BI314" s="210"/>
      <c r="BJ314" s="210"/>
    </row>
    <row r="315" spans="1:62" ht="15" x14ac:dyDescent="0.2">
      <c r="A315" s="210"/>
      <c r="B315" s="210"/>
      <c r="C315" s="210"/>
      <c r="D315" s="210"/>
      <c r="E315" s="210"/>
      <c r="F315" s="210"/>
      <c r="G315" s="210"/>
      <c r="H315" s="210"/>
      <c r="I315" s="210"/>
      <c r="J315" s="210"/>
      <c r="K315" s="210"/>
      <c r="L315" s="210"/>
      <c r="M315" s="210"/>
      <c r="N315" s="210"/>
      <c r="O315" s="210"/>
      <c r="P315" s="210"/>
      <c r="Q315" s="210"/>
      <c r="R315" s="210"/>
      <c r="S315" s="210"/>
      <c r="T315" s="210"/>
      <c r="U315" s="210"/>
      <c r="V315" s="210"/>
      <c r="W315" s="210"/>
      <c r="X315" s="210"/>
      <c r="Y315" s="210"/>
      <c r="Z315" s="210"/>
      <c r="AA315" s="210"/>
      <c r="AB315" s="210"/>
      <c r="AC315" s="210"/>
      <c r="AD315" s="210"/>
      <c r="AE315" s="210"/>
      <c r="AF315" s="210"/>
      <c r="AG315" s="210"/>
      <c r="AH315" s="210"/>
      <c r="AI315" s="210"/>
      <c r="AJ315" s="210"/>
      <c r="AK315" s="210"/>
      <c r="AL315" s="210"/>
      <c r="AM315" s="210"/>
      <c r="AN315" s="210"/>
      <c r="AO315" s="210"/>
      <c r="AP315" s="210"/>
      <c r="AQ315" s="210"/>
      <c r="AR315" s="210"/>
      <c r="AS315" s="210"/>
      <c r="AT315" s="210"/>
      <c r="AU315" s="210"/>
      <c r="AV315" s="210"/>
      <c r="AW315" s="210"/>
      <c r="AX315" s="210"/>
      <c r="AY315" s="210"/>
      <c r="AZ315" s="210"/>
      <c r="BA315" s="210"/>
      <c r="BB315" s="210"/>
      <c r="BC315" s="210"/>
      <c r="BD315" s="210"/>
      <c r="BE315" s="210"/>
      <c r="BF315" s="210"/>
      <c r="BG315" s="210"/>
      <c r="BH315" s="210"/>
      <c r="BI315" s="210"/>
      <c r="BJ315" s="210"/>
    </row>
    <row r="316" spans="1:62" ht="15" x14ac:dyDescent="0.2">
      <c r="A316" s="210"/>
      <c r="B316" s="210"/>
      <c r="C316" s="210"/>
      <c r="D316" s="210"/>
      <c r="E316" s="210"/>
      <c r="F316" s="210"/>
      <c r="G316" s="210"/>
      <c r="H316" s="210"/>
      <c r="I316" s="210"/>
      <c r="J316" s="210"/>
      <c r="K316" s="210"/>
      <c r="L316" s="210"/>
      <c r="M316" s="210"/>
      <c r="N316" s="210"/>
      <c r="O316" s="210"/>
      <c r="P316" s="210"/>
      <c r="Q316" s="210"/>
      <c r="R316" s="210"/>
      <c r="S316" s="210"/>
      <c r="T316" s="210"/>
      <c r="U316" s="210"/>
      <c r="V316" s="210"/>
      <c r="W316" s="210"/>
      <c r="X316" s="210"/>
      <c r="Y316" s="210"/>
      <c r="Z316" s="210"/>
      <c r="AA316" s="210"/>
      <c r="AB316" s="210"/>
      <c r="AC316" s="210"/>
      <c r="AD316" s="210"/>
      <c r="AE316" s="210"/>
      <c r="AF316" s="210"/>
      <c r="AG316" s="210"/>
      <c r="AH316" s="210"/>
      <c r="AI316" s="210"/>
      <c r="AJ316" s="210"/>
      <c r="AK316" s="210"/>
      <c r="AL316" s="210"/>
      <c r="AM316" s="210"/>
      <c r="AN316" s="210"/>
      <c r="AO316" s="210"/>
      <c r="AP316" s="210"/>
      <c r="AQ316" s="210"/>
      <c r="AR316" s="210"/>
      <c r="AS316" s="210"/>
      <c r="AT316" s="210"/>
      <c r="AU316" s="210"/>
      <c r="AV316" s="210"/>
      <c r="AW316" s="210"/>
      <c r="AX316" s="210"/>
      <c r="AY316" s="210"/>
      <c r="AZ316" s="210"/>
      <c r="BA316" s="210"/>
      <c r="BB316" s="210"/>
      <c r="BC316" s="210"/>
      <c r="BD316" s="210"/>
      <c r="BE316" s="210"/>
      <c r="BF316" s="210"/>
      <c r="BG316" s="210"/>
      <c r="BH316" s="210"/>
      <c r="BI316" s="210"/>
      <c r="BJ316" s="210"/>
    </row>
    <row r="317" spans="1:62" ht="15" x14ac:dyDescent="0.2">
      <c r="A317" s="210"/>
      <c r="B317" s="210"/>
      <c r="C317" s="210"/>
      <c r="D317" s="210"/>
      <c r="E317" s="210"/>
      <c r="F317" s="210"/>
      <c r="G317" s="210"/>
      <c r="H317" s="210"/>
      <c r="I317" s="210"/>
      <c r="J317" s="210"/>
      <c r="K317" s="210"/>
      <c r="L317" s="210"/>
      <c r="M317" s="210"/>
      <c r="N317" s="210"/>
      <c r="O317" s="210"/>
      <c r="P317" s="210"/>
      <c r="Q317" s="210"/>
      <c r="R317" s="210"/>
      <c r="S317" s="210"/>
      <c r="T317" s="210"/>
      <c r="U317" s="210"/>
      <c r="V317" s="210"/>
      <c r="W317" s="210"/>
      <c r="X317" s="210"/>
      <c r="Y317" s="210"/>
      <c r="Z317" s="210"/>
      <c r="AA317" s="210"/>
      <c r="AB317" s="210"/>
      <c r="AC317" s="210"/>
      <c r="AD317" s="210"/>
      <c r="AE317" s="210"/>
      <c r="AF317" s="210"/>
      <c r="AG317" s="210"/>
      <c r="AH317" s="210"/>
      <c r="AI317" s="210"/>
      <c r="AJ317" s="210"/>
      <c r="AK317" s="210"/>
      <c r="AL317" s="210"/>
      <c r="AM317" s="210"/>
      <c r="AN317" s="210"/>
      <c r="AO317" s="210"/>
      <c r="AP317" s="210"/>
      <c r="AQ317" s="210"/>
      <c r="AR317" s="210"/>
      <c r="AS317" s="210"/>
      <c r="AT317" s="210"/>
      <c r="AU317" s="210"/>
      <c r="AV317" s="210"/>
      <c r="AW317" s="210"/>
      <c r="AX317" s="210"/>
      <c r="AY317" s="210"/>
      <c r="AZ317" s="210"/>
      <c r="BA317" s="210"/>
      <c r="BB317" s="210"/>
      <c r="BC317" s="210"/>
      <c r="BD317" s="210"/>
      <c r="BE317" s="210"/>
      <c r="BF317" s="210"/>
      <c r="BG317" s="210"/>
      <c r="BH317" s="210"/>
      <c r="BI317" s="210"/>
      <c r="BJ317" s="210"/>
    </row>
    <row r="318" spans="1:62" ht="15" x14ac:dyDescent="0.2">
      <c r="A318" s="210"/>
      <c r="B318" s="210"/>
      <c r="C318" s="210"/>
      <c r="D318" s="210"/>
      <c r="E318" s="210"/>
      <c r="F318" s="210"/>
      <c r="G318" s="210"/>
      <c r="H318" s="210"/>
      <c r="I318" s="210"/>
      <c r="J318" s="210"/>
      <c r="K318" s="210"/>
      <c r="L318" s="210"/>
      <c r="M318" s="210"/>
      <c r="N318" s="210"/>
      <c r="O318" s="210"/>
      <c r="P318" s="210"/>
      <c r="Q318" s="210"/>
      <c r="R318" s="210"/>
      <c r="S318" s="210"/>
      <c r="T318" s="210"/>
      <c r="U318" s="210"/>
      <c r="V318" s="210"/>
      <c r="W318" s="210"/>
      <c r="X318" s="210"/>
      <c r="Y318" s="210"/>
      <c r="Z318" s="210"/>
      <c r="AA318" s="210"/>
      <c r="AB318" s="210"/>
      <c r="AC318" s="210"/>
      <c r="AD318" s="210"/>
      <c r="AE318" s="210"/>
      <c r="AF318" s="210"/>
      <c r="AG318" s="210"/>
      <c r="AH318" s="210"/>
      <c r="AI318" s="210"/>
      <c r="AJ318" s="210"/>
      <c r="AK318" s="210"/>
      <c r="AL318" s="210"/>
      <c r="AM318" s="210"/>
      <c r="AN318" s="210"/>
      <c r="AO318" s="210"/>
      <c r="AP318" s="210"/>
      <c r="AQ318" s="210"/>
      <c r="AR318" s="210"/>
      <c r="AS318" s="210"/>
      <c r="AT318" s="210"/>
      <c r="AU318" s="210"/>
      <c r="AV318" s="210"/>
      <c r="AW318" s="210"/>
      <c r="AX318" s="210"/>
      <c r="AY318" s="210"/>
      <c r="AZ318" s="210"/>
      <c r="BA318" s="210"/>
      <c r="BB318" s="210"/>
      <c r="BC318" s="210"/>
      <c r="BD318" s="210"/>
      <c r="BE318" s="210"/>
      <c r="BF318" s="210"/>
      <c r="BG318" s="210"/>
      <c r="BH318" s="210"/>
      <c r="BI318" s="210"/>
      <c r="BJ318" s="210"/>
    </row>
    <row r="319" spans="1:62" ht="15" x14ac:dyDescent="0.2">
      <c r="A319" s="210"/>
      <c r="B319" s="210"/>
      <c r="C319" s="210"/>
      <c r="D319" s="210"/>
      <c r="E319" s="210"/>
      <c r="F319" s="210"/>
      <c r="G319" s="210"/>
      <c r="H319" s="210"/>
      <c r="I319" s="210"/>
      <c r="J319" s="210"/>
      <c r="K319" s="210"/>
      <c r="L319" s="210"/>
      <c r="M319" s="210"/>
      <c r="N319" s="210"/>
      <c r="O319" s="210"/>
      <c r="P319" s="210"/>
      <c r="Q319" s="210"/>
      <c r="R319" s="210"/>
      <c r="S319" s="210"/>
      <c r="T319" s="210"/>
      <c r="U319" s="210"/>
      <c r="V319" s="210"/>
      <c r="W319" s="210"/>
      <c r="X319" s="210"/>
      <c r="Y319" s="210"/>
      <c r="Z319" s="210"/>
      <c r="AA319" s="210"/>
      <c r="AB319" s="210"/>
      <c r="AC319" s="210"/>
      <c r="AD319" s="210"/>
      <c r="AE319" s="210"/>
      <c r="AF319" s="210"/>
      <c r="AG319" s="210"/>
      <c r="AH319" s="210"/>
      <c r="AI319" s="210"/>
      <c r="AJ319" s="210"/>
      <c r="AK319" s="210"/>
      <c r="AL319" s="210"/>
      <c r="AM319" s="210"/>
      <c r="AN319" s="210"/>
      <c r="AO319" s="210"/>
      <c r="AP319" s="210"/>
      <c r="AQ319" s="210"/>
      <c r="AR319" s="210"/>
      <c r="AS319" s="210"/>
      <c r="AT319" s="210"/>
      <c r="AU319" s="210"/>
      <c r="AV319" s="210"/>
      <c r="AW319" s="210"/>
      <c r="AX319" s="210"/>
      <c r="AY319" s="210"/>
      <c r="AZ319" s="210"/>
      <c r="BA319" s="210"/>
      <c r="BB319" s="210"/>
      <c r="BC319" s="210"/>
      <c r="BD319" s="210"/>
      <c r="BE319" s="210"/>
      <c r="BF319" s="210"/>
      <c r="BG319" s="210"/>
      <c r="BH319" s="210"/>
      <c r="BI319" s="210"/>
      <c r="BJ319" s="210"/>
    </row>
    <row r="320" spans="1:62" ht="15" x14ac:dyDescent="0.2">
      <c r="A320" s="210"/>
      <c r="B320" s="210"/>
      <c r="C320" s="210"/>
      <c r="D320" s="210"/>
      <c r="E320" s="210"/>
      <c r="F320" s="210"/>
      <c r="G320" s="210"/>
      <c r="H320" s="210"/>
      <c r="I320" s="210"/>
      <c r="J320" s="210"/>
      <c r="K320" s="210"/>
      <c r="L320" s="210"/>
      <c r="M320" s="210"/>
      <c r="N320" s="210"/>
      <c r="O320" s="210"/>
      <c r="P320" s="210"/>
      <c r="Q320" s="210"/>
      <c r="R320" s="210"/>
      <c r="S320" s="210"/>
      <c r="T320" s="210"/>
      <c r="U320" s="210"/>
      <c r="V320" s="210"/>
      <c r="W320" s="210"/>
      <c r="X320" s="210"/>
      <c r="Y320" s="210"/>
      <c r="Z320" s="210"/>
      <c r="AA320" s="210"/>
      <c r="AB320" s="210"/>
      <c r="AC320" s="210"/>
      <c r="AD320" s="210"/>
      <c r="AE320" s="210"/>
      <c r="AF320" s="210"/>
      <c r="AG320" s="210"/>
      <c r="AH320" s="210"/>
      <c r="AI320" s="210"/>
      <c r="AJ320" s="210"/>
      <c r="AK320" s="210"/>
      <c r="AL320" s="210"/>
      <c r="AM320" s="210"/>
      <c r="AN320" s="210"/>
      <c r="AO320" s="210"/>
      <c r="AP320" s="210"/>
      <c r="AQ320" s="210"/>
      <c r="AR320" s="210"/>
      <c r="AS320" s="210"/>
      <c r="AT320" s="210"/>
      <c r="AU320" s="210"/>
      <c r="AV320" s="210"/>
      <c r="AW320" s="210"/>
      <c r="AX320" s="210"/>
      <c r="AY320" s="210"/>
      <c r="AZ320" s="210"/>
      <c r="BA320" s="210"/>
      <c r="BB320" s="210"/>
      <c r="BC320" s="210"/>
      <c r="BD320" s="210"/>
      <c r="BE320" s="210"/>
      <c r="BF320" s="210"/>
      <c r="BG320" s="210"/>
      <c r="BH320" s="210"/>
      <c r="BI320" s="210"/>
      <c r="BJ320" s="210"/>
    </row>
    <row r="321" spans="1:62" ht="15" x14ac:dyDescent="0.2">
      <c r="A321" s="210"/>
      <c r="B321" s="210"/>
      <c r="C321" s="210"/>
      <c r="D321" s="210"/>
      <c r="E321" s="210"/>
      <c r="F321" s="210"/>
      <c r="G321" s="210"/>
      <c r="H321" s="210"/>
      <c r="I321" s="210"/>
      <c r="J321" s="210"/>
      <c r="K321" s="210"/>
      <c r="L321" s="210"/>
      <c r="M321" s="210"/>
      <c r="N321" s="210"/>
      <c r="O321" s="210"/>
      <c r="P321" s="210"/>
      <c r="Q321" s="210"/>
      <c r="R321" s="210"/>
      <c r="S321" s="210"/>
      <c r="T321" s="210"/>
      <c r="U321" s="210"/>
      <c r="V321" s="210"/>
      <c r="W321" s="210"/>
      <c r="X321" s="210"/>
      <c r="Y321" s="210"/>
      <c r="Z321" s="210"/>
      <c r="AA321" s="210"/>
      <c r="AB321" s="210"/>
      <c r="AC321" s="210"/>
      <c r="AD321" s="210"/>
      <c r="AE321" s="210"/>
      <c r="AF321" s="210"/>
      <c r="AG321" s="210"/>
      <c r="AH321" s="210"/>
      <c r="AI321" s="210"/>
      <c r="AJ321" s="210"/>
      <c r="AK321" s="210"/>
      <c r="AL321" s="210"/>
      <c r="AM321" s="210"/>
      <c r="AN321" s="210"/>
      <c r="AO321" s="210"/>
      <c r="AP321" s="210"/>
      <c r="AQ321" s="210"/>
      <c r="AR321" s="210"/>
      <c r="AS321" s="210"/>
      <c r="AT321" s="210"/>
      <c r="AU321" s="210"/>
      <c r="AV321" s="210"/>
      <c r="AW321" s="210"/>
      <c r="AX321" s="210"/>
      <c r="AY321" s="210"/>
      <c r="AZ321" s="210"/>
      <c r="BA321" s="210"/>
      <c r="BB321" s="210"/>
      <c r="BC321" s="210"/>
      <c r="BD321" s="210"/>
      <c r="BE321" s="210"/>
      <c r="BF321" s="210"/>
      <c r="BG321" s="210"/>
      <c r="BH321" s="210"/>
      <c r="BI321" s="210"/>
      <c r="BJ321" s="210"/>
    </row>
    <row r="322" spans="1:62" ht="15" x14ac:dyDescent="0.2">
      <c r="A322" s="210"/>
      <c r="B322" s="210"/>
      <c r="C322" s="210"/>
      <c r="D322" s="210"/>
      <c r="E322" s="210"/>
      <c r="F322" s="210"/>
      <c r="G322" s="210"/>
      <c r="H322" s="210"/>
      <c r="I322" s="210"/>
      <c r="J322" s="210"/>
      <c r="K322" s="210"/>
      <c r="L322" s="210"/>
      <c r="M322" s="210"/>
      <c r="N322" s="210"/>
      <c r="O322" s="210"/>
      <c r="P322" s="210"/>
      <c r="Q322" s="210"/>
      <c r="R322" s="210"/>
      <c r="S322" s="210"/>
      <c r="T322" s="210"/>
      <c r="U322" s="210"/>
      <c r="V322" s="210"/>
      <c r="W322" s="210"/>
      <c r="X322" s="210"/>
      <c r="Y322" s="210"/>
      <c r="Z322" s="210"/>
      <c r="AA322" s="210"/>
      <c r="AB322" s="210"/>
      <c r="AC322" s="210"/>
      <c r="AD322" s="210"/>
      <c r="AE322" s="210"/>
      <c r="AF322" s="210"/>
      <c r="AG322" s="210"/>
      <c r="AH322" s="210"/>
      <c r="AI322" s="210"/>
      <c r="AJ322" s="210"/>
      <c r="AK322" s="210"/>
      <c r="AL322" s="210"/>
      <c r="AM322" s="210"/>
      <c r="AN322" s="210"/>
      <c r="AO322" s="210"/>
      <c r="AP322" s="210"/>
      <c r="AQ322" s="210"/>
      <c r="AR322" s="210"/>
      <c r="AS322" s="210"/>
      <c r="AT322" s="210"/>
      <c r="AU322" s="210"/>
      <c r="AV322" s="210"/>
      <c r="AW322" s="210"/>
      <c r="AX322" s="210"/>
      <c r="AY322" s="210"/>
      <c r="AZ322" s="210"/>
      <c r="BA322" s="210"/>
      <c r="BB322" s="210"/>
      <c r="BC322" s="210"/>
      <c r="BD322" s="210"/>
      <c r="BE322" s="210"/>
      <c r="BF322" s="210"/>
      <c r="BG322" s="210"/>
      <c r="BH322" s="210"/>
      <c r="BI322" s="210"/>
      <c r="BJ322" s="210"/>
    </row>
    <row r="323" spans="1:62" ht="15" x14ac:dyDescent="0.2">
      <c r="A323" s="210"/>
      <c r="B323" s="210"/>
      <c r="C323" s="210"/>
      <c r="D323" s="210"/>
      <c r="E323" s="210"/>
      <c r="F323" s="210"/>
      <c r="G323" s="210"/>
      <c r="H323" s="210"/>
      <c r="I323" s="210"/>
      <c r="J323" s="210"/>
      <c r="K323" s="210"/>
      <c r="L323" s="210"/>
      <c r="M323" s="210"/>
      <c r="N323" s="210"/>
      <c r="O323" s="210"/>
      <c r="P323" s="210"/>
      <c r="Q323" s="210"/>
      <c r="R323" s="210"/>
      <c r="S323" s="210"/>
      <c r="T323" s="210"/>
      <c r="U323" s="210"/>
      <c r="V323" s="210"/>
      <c r="W323" s="210"/>
      <c r="X323" s="210"/>
      <c r="Y323" s="210"/>
      <c r="Z323" s="210"/>
      <c r="AA323" s="210"/>
      <c r="AB323" s="210"/>
      <c r="AC323" s="210"/>
      <c r="AD323" s="210"/>
      <c r="AE323" s="210"/>
      <c r="AF323" s="210"/>
      <c r="AG323" s="210"/>
      <c r="AH323" s="210"/>
      <c r="AI323" s="210"/>
      <c r="AJ323" s="210"/>
      <c r="AK323" s="210"/>
      <c r="AL323" s="210"/>
      <c r="AM323" s="210"/>
      <c r="AN323" s="210"/>
      <c r="AO323" s="210"/>
      <c r="AP323" s="210"/>
      <c r="AQ323" s="210"/>
      <c r="AR323" s="210"/>
      <c r="AS323" s="210"/>
      <c r="AT323" s="210"/>
      <c r="AU323" s="210"/>
      <c r="AV323" s="210"/>
      <c r="AW323" s="210"/>
      <c r="AX323" s="210"/>
      <c r="AY323" s="210"/>
      <c r="AZ323" s="210"/>
      <c r="BA323" s="210"/>
      <c r="BB323" s="210"/>
      <c r="BC323" s="210"/>
      <c r="BD323" s="210"/>
      <c r="BE323" s="210"/>
      <c r="BF323" s="210"/>
      <c r="BG323" s="210"/>
      <c r="BH323" s="210"/>
      <c r="BI323" s="210"/>
      <c r="BJ323" s="210"/>
    </row>
    <row r="324" spans="1:62" ht="15" x14ac:dyDescent="0.2">
      <c r="A324" s="210"/>
      <c r="B324" s="210"/>
      <c r="C324" s="210"/>
      <c r="D324" s="210"/>
      <c r="E324" s="210"/>
      <c r="F324" s="210"/>
      <c r="G324" s="210"/>
      <c r="H324" s="210"/>
      <c r="I324" s="210"/>
      <c r="J324" s="210"/>
      <c r="K324" s="210"/>
      <c r="L324" s="210"/>
      <c r="M324" s="210"/>
      <c r="N324" s="210"/>
      <c r="O324" s="210"/>
      <c r="P324" s="210"/>
      <c r="Q324" s="210"/>
      <c r="R324" s="210"/>
      <c r="S324" s="210"/>
      <c r="T324" s="210"/>
      <c r="U324" s="210"/>
      <c r="V324" s="210"/>
      <c r="W324" s="210"/>
      <c r="X324" s="210"/>
      <c r="Y324" s="210"/>
      <c r="Z324" s="210"/>
      <c r="AA324" s="210"/>
      <c r="AB324" s="210"/>
      <c r="AC324" s="210"/>
      <c r="AD324" s="210"/>
      <c r="AE324" s="210"/>
      <c r="AF324" s="210"/>
      <c r="AG324" s="210"/>
      <c r="AH324" s="210"/>
      <c r="AI324" s="210"/>
      <c r="AJ324" s="210"/>
      <c r="AK324" s="210"/>
      <c r="AL324" s="210"/>
      <c r="AM324" s="210"/>
      <c r="AN324" s="210"/>
      <c r="AO324" s="210"/>
      <c r="AP324" s="210"/>
      <c r="AQ324" s="210"/>
      <c r="AR324" s="210"/>
      <c r="AS324" s="210"/>
      <c r="AT324" s="210"/>
      <c r="AU324" s="210"/>
      <c r="AV324" s="210"/>
      <c r="AW324" s="210"/>
      <c r="AX324" s="210"/>
      <c r="AY324" s="210"/>
      <c r="AZ324" s="210"/>
      <c r="BA324" s="210"/>
      <c r="BB324" s="210"/>
      <c r="BC324" s="210"/>
      <c r="BD324" s="210"/>
      <c r="BE324" s="210"/>
      <c r="BF324" s="210"/>
      <c r="BG324" s="210"/>
      <c r="BH324" s="210"/>
      <c r="BI324" s="210"/>
      <c r="BJ324" s="210"/>
    </row>
    <row r="325" spans="1:62" ht="15" x14ac:dyDescent="0.2">
      <c r="A325" s="210"/>
      <c r="B325" s="210"/>
      <c r="C325" s="210"/>
      <c r="D325" s="210"/>
      <c r="E325" s="210"/>
      <c r="F325" s="210"/>
      <c r="G325" s="210"/>
      <c r="H325" s="210"/>
      <c r="I325" s="210"/>
      <c r="J325" s="210"/>
      <c r="K325" s="210"/>
      <c r="L325" s="210"/>
      <c r="M325" s="210"/>
      <c r="N325" s="210"/>
      <c r="O325" s="210"/>
      <c r="P325" s="210"/>
      <c r="Q325" s="210"/>
      <c r="R325" s="210"/>
      <c r="S325" s="210"/>
      <c r="T325" s="210"/>
      <c r="U325" s="210"/>
      <c r="V325" s="210"/>
      <c r="W325" s="210"/>
      <c r="X325" s="210"/>
      <c r="Y325" s="210"/>
      <c r="Z325" s="210"/>
      <c r="AA325" s="210"/>
      <c r="AB325" s="210"/>
      <c r="AC325" s="210"/>
      <c r="AD325" s="210"/>
      <c r="AE325" s="210"/>
      <c r="AF325" s="210"/>
      <c r="AG325" s="210"/>
      <c r="AH325" s="210"/>
      <c r="AI325" s="210"/>
      <c r="AJ325" s="210"/>
      <c r="AK325" s="210"/>
      <c r="AL325" s="210"/>
      <c r="AM325" s="210"/>
      <c r="AN325" s="210"/>
      <c r="AO325" s="210"/>
      <c r="AP325" s="210"/>
      <c r="AQ325" s="210"/>
      <c r="AR325" s="210"/>
      <c r="AS325" s="210"/>
      <c r="AT325" s="210"/>
      <c r="AU325" s="210"/>
      <c r="AV325" s="210"/>
      <c r="AW325" s="210"/>
      <c r="AX325" s="210"/>
      <c r="AY325" s="210"/>
      <c r="AZ325" s="210"/>
      <c r="BA325" s="210"/>
      <c r="BB325" s="210"/>
      <c r="BC325" s="210"/>
      <c r="BD325" s="210"/>
      <c r="BE325" s="210"/>
      <c r="BF325" s="210"/>
      <c r="BG325" s="210"/>
      <c r="BH325" s="210"/>
      <c r="BI325" s="210"/>
      <c r="BJ325" s="210"/>
    </row>
    <row r="326" spans="1:62" ht="15" x14ac:dyDescent="0.2">
      <c r="A326" s="210"/>
      <c r="B326" s="210"/>
      <c r="C326" s="210"/>
      <c r="D326" s="210"/>
      <c r="E326" s="210"/>
      <c r="F326" s="210"/>
      <c r="G326" s="210"/>
      <c r="H326" s="210"/>
      <c r="I326" s="210"/>
      <c r="J326" s="210"/>
      <c r="K326" s="210"/>
      <c r="L326" s="210"/>
      <c r="M326" s="210"/>
      <c r="N326" s="210"/>
      <c r="O326" s="210"/>
      <c r="P326" s="210"/>
      <c r="Q326" s="210"/>
      <c r="R326" s="210"/>
      <c r="S326" s="210"/>
      <c r="T326" s="210"/>
      <c r="U326" s="210"/>
      <c r="V326" s="210"/>
      <c r="W326" s="210"/>
      <c r="X326" s="210"/>
      <c r="Y326" s="210"/>
      <c r="Z326" s="210"/>
      <c r="AA326" s="210"/>
      <c r="AB326" s="210"/>
      <c r="AC326" s="210"/>
      <c r="AD326" s="210"/>
      <c r="AE326" s="210"/>
      <c r="AF326" s="210"/>
      <c r="AG326" s="210"/>
      <c r="AH326" s="210"/>
      <c r="AI326" s="210"/>
      <c r="AJ326" s="210"/>
      <c r="AK326" s="210"/>
      <c r="AL326" s="210"/>
      <c r="AM326" s="210"/>
      <c r="AN326" s="210"/>
      <c r="AO326" s="210"/>
      <c r="AP326" s="210"/>
      <c r="AQ326" s="210"/>
      <c r="AR326" s="210"/>
      <c r="AS326" s="210"/>
      <c r="AT326" s="210"/>
      <c r="AU326" s="210"/>
      <c r="AV326" s="210"/>
      <c r="AW326" s="210"/>
      <c r="AX326" s="210"/>
      <c r="AY326" s="210"/>
      <c r="AZ326" s="210"/>
      <c r="BA326" s="210"/>
      <c r="BB326" s="210"/>
      <c r="BC326" s="210"/>
      <c r="BD326" s="210"/>
      <c r="BE326" s="210"/>
      <c r="BF326" s="210"/>
      <c r="BG326" s="210"/>
      <c r="BH326" s="210"/>
      <c r="BI326" s="210"/>
      <c r="BJ326" s="210"/>
    </row>
    <row r="327" spans="1:62" ht="15" x14ac:dyDescent="0.2">
      <c r="A327" s="210"/>
      <c r="B327" s="210"/>
      <c r="C327" s="210"/>
      <c r="D327" s="210"/>
      <c r="E327" s="210"/>
      <c r="F327" s="210"/>
      <c r="G327" s="210"/>
      <c r="H327" s="210"/>
      <c r="I327" s="210"/>
      <c r="J327" s="210"/>
      <c r="K327" s="210"/>
      <c r="L327" s="210"/>
      <c r="M327" s="210"/>
      <c r="N327" s="210"/>
      <c r="O327" s="210"/>
      <c r="P327" s="210"/>
      <c r="Q327" s="210"/>
      <c r="R327" s="210"/>
      <c r="S327" s="210"/>
      <c r="T327" s="210"/>
      <c r="U327" s="210"/>
      <c r="V327" s="210"/>
      <c r="W327" s="210"/>
      <c r="X327" s="210"/>
      <c r="Y327" s="210"/>
      <c r="Z327" s="210"/>
      <c r="AA327" s="210"/>
      <c r="AB327" s="210"/>
      <c r="AC327" s="210"/>
      <c r="AD327" s="210"/>
      <c r="AE327" s="210"/>
      <c r="AF327" s="210"/>
      <c r="AG327" s="210"/>
      <c r="AH327" s="210"/>
      <c r="AI327" s="210"/>
      <c r="AJ327" s="210"/>
      <c r="AK327" s="210"/>
      <c r="AL327" s="210"/>
      <c r="AM327" s="210"/>
      <c r="AN327" s="210"/>
      <c r="AO327" s="210"/>
      <c r="AP327" s="210"/>
      <c r="AQ327" s="210"/>
      <c r="AR327" s="210"/>
      <c r="AS327" s="210"/>
      <c r="AT327" s="210"/>
      <c r="AU327" s="210"/>
      <c r="AV327" s="210"/>
      <c r="AW327" s="210"/>
      <c r="AX327" s="210"/>
      <c r="AY327" s="210"/>
      <c r="AZ327" s="210"/>
      <c r="BA327" s="210"/>
      <c r="BB327" s="210"/>
      <c r="BC327" s="210"/>
      <c r="BD327" s="210"/>
      <c r="BE327" s="210"/>
      <c r="BF327" s="210"/>
      <c r="BG327" s="210"/>
      <c r="BH327" s="210"/>
      <c r="BI327" s="210"/>
      <c r="BJ327" s="210"/>
    </row>
    <row r="328" spans="1:62" ht="15" x14ac:dyDescent="0.2">
      <c r="A328" s="210"/>
      <c r="B328" s="210"/>
      <c r="C328" s="210"/>
      <c r="D328" s="210"/>
      <c r="E328" s="210"/>
      <c r="F328" s="210"/>
      <c r="G328" s="210"/>
      <c r="H328" s="210"/>
      <c r="I328" s="210"/>
      <c r="J328" s="210"/>
      <c r="K328" s="210"/>
      <c r="L328" s="210"/>
      <c r="M328" s="210"/>
      <c r="N328" s="210"/>
      <c r="O328" s="210"/>
      <c r="P328" s="210"/>
      <c r="Q328" s="210"/>
      <c r="R328" s="210"/>
      <c r="S328" s="210"/>
      <c r="T328" s="210"/>
      <c r="U328" s="210"/>
      <c r="V328" s="210"/>
      <c r="W328" s="210"/>
      <c r="X328" s="210"/>
      <c r="Y328" s="210"/>
      <c r="Z328" s="210"/>
      <c r="AA328" s="210"/>
      <c r="AB328" s="210"/>
      <c r="AC328" s="210"/>
      <c r="AD328" s="210"/>
      <c r="AE328" s="210"/>
      <c r="AF328" s="210"/>
      <c r="AG328" s="210"/>
      <c r="AH328" s="210"/>
      <c r="AI328" s="210"/>
      <c r="AJ328" s="210"/>
      <c r="AK328" s="210"/>
      <c r="AL328" s="210"/>
      <c r="AM328" s="210"/>
      <c r="AN328" s="210"/>
      <c r="AO328" s="210"/>
      <c r="AP328" s="210"/>
      <c r="AQ328" s="210"/>
      <c r="AR328" s="210"/>
      <c r="AS328" s="210"/>
      <c r="AT328" s="210"/>
      <c r="AU328" s="210"/>
      <c r="AV328" s="210"/>
      <c r="AW328" s="210"/>
      <c r="AX328" s="210"/>
      <c r="AY328" s="210"/>
      <c r="AZ328" s="210"/>
      <c r="BA328" s="210"/>
      <c r="BB328" s="210"/>
      <c r="BC328" s="210"/>
      <c r="BD328" s="210"/>
      <c r="BE328" s="210"/>
      <c r="BF328" s="210"/>
      <c r="BG328" s="210"/>
      <c r="BH328" s="210"/>
      <c r="BI328" s="210"/>
      <c r="BJ328" s="210"/>
    </row>
    <row r="329" spans="1:62" ht="15" x14ac:dyDescent="0.2">
      <c r="A329" s="210"/>
      <c r="B329" s="210"/>
      <c r="C329" s="210"/>
      <c r="D329" s="210"/>
      <c r="E329" s="210"/>
      <c r="F329" s="210"/>
      <c r="G329" s="210"/>
      <c r="H329" s="210"/>
      <c r="I329" s="210"/>
      <c r="J329" s="210"/>
      <c r="K329" s="210"/>
      <c r="L329" s="210"/>
      <c r="M329" s="210"/>
      <c r="N329" s="210"/>
      <c r="O329" s="210"/>
      <c r="P329" s="210"/>
      <c r="Q329" s="210"/>
      <c r="R329" s="210"/>
      <c r="S329" s="210"/>
      <c r="T329" s="210"/>
      <c r="U329" s="210"/>
      <c r="V329" s="210"/>
      <c r="W329" s="210"/>
      <c r="X329" s="210"/>
      <c r="Y329" s="210"/>
      <c r="Z329" s="210"/>
      <c r="AA329" s="210"/>
      <c r="AB329" s="210"/>
      <c r="AC329" s="210"/>
      <c r="AD329" s="210"/>
      <c r="AE329" s="210"/>
      <c r="AF329" s="210"/>
      <c r="AG329" s="210"/>
      <c r="AH329" s="210"/>
      <c r="AI329" s="210"/>
      <c r="AJ329" s="210"/>
      <c r="AK329" s="210"/>
      <c r="AL329" s="210"/>
      <c r="AM329" s="210"/>
      <c r="AN329" s="210"/>
      <c r="AO329" s="210"/>
      <c r="AP329" s="210"/>
      <c r="AQ329" s="210"/>
      <c r="AR329" s="210"/>
      <c r="AS329" s="210"/>
      <c r="AT329" s="210"/>
      <c r="AU329" s="210"/>
      <c r="AV329" s="210"/>
      <c r="AW329" s="210"/>
      <c r="AX329" s="210"/>
      <c r="AY329" s="210"/>
      <c r="AZ329" s="210"/>
      <c r="BA329" s="210"/>
      <c r="BB329" s="210"/>
      <c r="BC329" s="210"/>
      <c r="BD329" s="210"/>
      <c r="BE329" s="210"/>
      <c r="BF329" s="210"/>
      <c r="BG329" s="210"/>
      <c r="BH329" s="210"/>
      <c r="BI329" s="210"/>
      <c r="BJ329" s="210"/>
    </row>
    <row r="330" spans="1:62" ht="15" x14ac:dyDescent="0.2">
      <c r="A330" s="210"/>
      <c r="B330" s="210"/>
      <c r="C330" s="210"/>
      <c r="D330" s="210"/>
      <c r="E330" s="210"/>
      <c r="F330" s="210"/>
      <c r="G330" s="210"/>
      <c r="H330" s="210"/>
      <c r="I330" s="210"/>
      <c r="J330" s="210"/>
      <c r="K330" s="210"/>
      <c r="L330" s="210"/>
      <c r="M330" s="210"/>
      <c r="N330" s="210"/>
      <c r="O330" s="210"/>
      <c r="P330" s="210"/>
      <c r="Q330" s="210"/>
      <c r="R330" s="210"/>
      <c r="S330" s="210"/>
      <c r="T330" s="210"/>
      <c r="U330" s="210"/>
      <c r="V330" s="210"/>
      <c r="W330" s="210"/>
      <c r="X330" s="210"/>
      <c r="Y330" s="210"/>
      <c r="Z330" s="210"/>
      <c r="AA330" s="210"/>
      <c r="AB330" s="210"/>
      <c r="AC330" s="210"/>
      <c r="AD330" s="210"/>
      <c r="AE330" s="210"/>
      <c r="AF330" s="210"/>
      <c r="AG330" s="210"/>
      <c r="AH330" s="210"/>
      <c r="AI330" s="210"/>
      <c r="AJ330" s="210"/>
      <c r="AK330" s="210"/>
      <c r="AL330" s="210"/>
      <c r="AM330" s="210"/>
      <c r="AN330" s="210"/>
      <c r="AO330" s="210"/>
      <c r="AP330" s="210"/>
      <c r="AQ330" s="210"/>
      <c r="AR330" s="210"/>
      <c r="AS330" s="210"/>
      <c r="AT330" s="210"/>
      <c r="AU330" s="210"/>
      <c r="AV330" s="210"/>
      <c r="AW330" s="210"/>
      <c r="AX330" s="210"/>
      <c r="AY330" s="210"/>
      <c r="AZ330" s="210"/>
      <c r="BA330" s="210"/>
      <c r="BB330" s="210"/>
      <c r="BC330" s="210"/>
      <c r="BD330" s="210"/>
      <c r="BE330" s="210"/>
      <c r="BF330" s="210"/>
      <c r="BG330" s="210"/>
      <c r="BH330" s="210"/>
      <c r="BI330" s="210"/>
      <c r="BJ330" s="210"/>
    </row>
    <row r="331" spans="1:62" ht="15" x14ac:dyDescent="0.2">
      <c r="A331" s="210"/>
      <c r="B331" s="210"/>
      <c r="C331" s="210"/>
      <c r="D331" s="210"/>
      <c r="E331" s="210"/>
      <c r="F331" s="210"/>
      <c r="G331" s="210"/>
      <c r="H331" s="210"/>
      <c r="I331" s="210"/>
      <c r="J331" s="210"/>
      <c r="K331" s="210"/>
      <c r="L331" s="210"/>
      <c r="M331" s="210"/>
      <c r="N331" s="210"/>
      <c r="O331" s="210"/>
      <c r="P331" s="210"/>
      <c r="Q331" s="210"/>
      <c r="R331" s="210"/>
      <c r="S331" s="210"/>
      <c r="T331" s="210"/>
      <c r="U331" s="210"/>
      <c r="V331" s="210"/>
      <c r="W331" s="210"/>
      <c r="X331" s="210"/>
      <c r="Y331" s="210"/>
      <c r="Z331" s="210"/>
      <c r="AA331" s="210"/>
      <c r="AB331" s="210"/>
      <c r="AC331" s="210"/>
      <c r="AD331" s="210"/>
      <c r="AE331" s="210"/>
      <c r="AF331" s="210"/>
      <c r="AG331" s="210"/>
      <c r="AH331" s="210"/>
      <c r="AI331" s="210"/>
      <c r="AJ331" s="210"/>
      <c r="AK331" s="210"/>
      <c r="AL331" s="210"/>
      <c r="AM331" s="210"/>
      <c r="AN331" s="210"/>
      <c r="AO331" s="210"/>
      <c r="AP331" s="210"/>
      <c r="AQ331" s="210"/>
      <c r="AR331" s="210"/>
      <c r="AS331" s="210"/>
      <c r="AT331" s="210"/>
      <c r="AU331" s="210"/>
      <c r="AV331" s="210"/>
      <c r="AW331" s="210"/>
      <c r="AX331" s="210"/>
      <c r="AY331" s="210"/>
      <c r="AZ331" s="210"/>
      <c r="BA331" s="210"/>
      <c r="BB331" s="210"/>
      <c r="BC331" s="210"/>
      <c r="BD331" s="210"/>
      <c r="BE331" s="210"/>
      <c r="BF331" s="210"/>
      <c r="BG331" s="210"/>
      <c r="BH331" s="210"/>
      <c r="BI331" s="210"/>
      <c r="BJ331" s="210"/>
    </row>
    <row r="332" spans="1:62" ht="15" x14ac:dyDescent="0.2">
      <c r="A332" s="210"/>
      <c r="B332" s="210"/>
      <c r="C332" s="210"/>
      <c r="D332" s="210"/>
      <c r="E332" s="210"/>
      <c r="F332" s="210"/>
      <c r="G332" s="210"/>
      <c r="H332" s="210"/>
      <c r="I332" s="210"/>
      <c r="J332" s="210"/>
      <c r="K332" s="210"/>
      <c r="L332" s="210"/>
      <c r="M332" s="210"/>
      <c r="N332" s="210"/>
      <c r="O332" s="210"/>
      <c r="P332" s="210"/>
      <c r="Q332" s="210"/>
      <c r="R332" s="210"/>
      <c r="S332" s="210"/>
      <c r="T332" s="210"/>
      <c r="U332" s="210"/>
      <c r="V332" s="210"/>
      <c r="W332" s="210"/>
      <c r="X332" s="210"/>
      <c r="Y332" s="210"/>
      <c r="Z332" s="210"/>
      <c r="AA332" s="210"/>
      <c r="AB332" s="210"/>
      <c r="AC332" s="210"/>
      <c r="AD332" s="210"/>
      <c r="AE332" s="210"/>
      <c r="AF332" s="210"/>
      <c r="AG332" s="210"/>
      <c r="AH332" s="210"/>
      <c r="AI332" s="210"/>
      <c r="AJ332" s="210"/>
      <c r="AK332" s="210"/>
      <c r="AL332" s="210"/>
      <c r="AM332" s="210"/>
      <c r="AN332" s="210"/>
      <c r="AO332" s="210"/>
      <c r="AP332" s="210"/>
      <c r="AQ332" s="210"/>
      <c r="AR332" s="210"/>
      <c r="AS332" s="210"/>
      <c r="AT332" s="210"/>
      <c r="AU332" s="210"/>
      <c r="AV332" s="210"/>
      <c r="AW332" s="210"/>
      <c r="AX332" s="210"/>
      <c r="AY332" s="210"/>
      <c r="AZ332" s="210"/>
      <c r="BA332" s="210"/>
      <c r="BB332" s="210"/>
      <c r="BC332" s="210"/>
      <c r="BD332" s="210"/>
      <c r="BE332" s="210"/>
      <c r="BF332" s="210"/>
      <c r="BG332" s="210"/>
      <c r="BH332" s="210"/>
      <c r="BI332" s="210"/>
      <c r="BJ332" s="210"/>
    </row>
    <row r="333" spans="1:62" ht="15" x14ac:dyDescent="0.2">
      <c r="A333" s="210"/>
      <c r="B333" s="210"/>
      <c r="C333" s="210"/>
      <c r="D333" s="210"/>
      <c r="E333" s="210"/>
      <c r="F333" s="210"/>
      <c r="G333" s="210"/>
      <c r="H333" s="210"/>
      <c r="I333" s="210"/>
      <c r="J333" s="210"/>
      <c r="K333" s="210"/>
      <c r="L333" s="210"/>
      <c r="M333" s="210"/>
      <c r="N333" s="210"/>
      <c r="O333" s="210"/>
      <c r="P333" s="210"/>
      <c r="Q333" s="210"/>
      <c r="R333" s="210"/>
      <c r="S333" s="210"/>
      <c r="T333" s="210"/>
      <c r="U333" s="210"/>
      <c r="V333" s="210"/>
      <c r="W333" s="210"/>
      <c r="X333" s="210"/>
      <c r="Y333" s="210"/>
      <c r="Z333" s="210"/>
      <c r="AA333" s="210"/>
      <c r="AB333" s="210"/>
      <c r="AC333" s="210"/>
      <c r="AD333" s="210"/>
      <c r="AE333" s="210"/>
      <c r="AF333" s="210"/>
      <c r="AG333" s="210"/>
      <c r="AH333" s="210"/>
      <c r="AI333" s="210"/>
      <c r="AJ333" s="210"/>
      <c r="AK333" s="210"/>
      <c r="AL333" s="210"/>
      <c r="AM333" s="210"/>
      <c r="AN333" s="210"/>
      <c r="AO333" s="210"/>
      <c r="AP333" s="210"/>
      <c r="AQ333" s="210"/>
      <c r="AR333" s="210"/>
      <c r="AS333" s="210"/>
      <c r="AT333" s="210"/>
      <c r="AU333" s="210"/>
      <c r="AV333" s="210"/>
      <c r="AW333" s="210"/>
      <c r="AX333" s="210"/>
      <c r="AY333" s="210"/>
      <c r="AZ333" s="210"/>
      <c r="BA333" s="210"/>
      <c r="BB333" s="210"/>
      <c r="BC333" s="210"/>
      <c r="BD333" s="210"/>
      <c r="BE333" s="210"/>
      <c r="BF333" s="210"/>
      <c r="BG333" s="210"/>
      <c r="BH333" s="210"/>
      <c r="BI333" s="210"/>
      <c r="BJ333" s="210"/>
    </row>
    <row r="334" spans="1:62" ht="15" x14ac:dyDescent="0.2">
      <c r="A334" s="210"/>
      <c r="B334" s="210"/>
      <c r="C334" s="210"/>
      <c r="D334" s="210"/>
      <c r="E334" s="210"/>
      <c r="F334" s="210"/>
      <c r="G334" s="210"/>
      <c r="H334" s="210"/>
      <c r="I334" s="210"/>
      <c r="J334" s="210"/>
      <c r="K334" s="210"/>
      <c r="L334" s="210"/>
      <c r="M334" s="210"/>
      <c r="N334" s="210"/>
      <c r="O334" s="210"/>
      <c r="P334" s="210"/>
      <c r="Q334" s="210"/>
      <c r="R334" s="210"/>
      <c r="S334" s="210"/>
      <c r="T334" s="210"/>
      <c r="U334" s="210"/>
      <c r="V334" s="210"/>
      <c r="W334" s="210"/>
      <c r="X334" s="210"/>
      <c r="Y334" s="210"/>
      <c r="Z334" s="210"/>
      <c r="AA334" s="210"/>
      <c r="AB334" s="210"/>
      <c r="AC334" s="210"/>
      <c r="AD334" s="210"/>
      <c r="AE334" s="210"/>
      <c r="AF334" s="210"/>
      <c r="AG334" s="210"/>
      <c r="AH334" s="210"/>
      <c r="AI334" s="210"/>
      <c r="AJ334" s="210"/>
      <c r="AK334" s="210"/>
      <c r="AL334" s="210"/>
      <c r="AM334" s="210"/>
      <c r="AN334" s="210"/>
      <c r="AO334" s="210"/>
      <c r="AP334" s="210"/>
      <c r="AQ334" s="210"/>
      <c r="AR334" s="210"/>
      <c r="AS334" s="210"/>
      <c r="AT334" s="210"/>
      <c r="AU334" s="210"/>
      <c r="AV334" s="210"/>
      <c r="AW334" s="210"/>
      <c r="AX334" s="210"/>
      <c r="AY334" s="210"/>
      <c r="AZ334" s="210"/>
      <c r="BA334" s="210"/>
      <c r="BB334" s="210"/>
      <c r="BC334" s="210"/>
      <c r="BD334" s="210"/>
      <c r="BE334" s="210"/>
      <c r="BF334" s="210"/>
      <c r="BG334" s="210"/>
      <c r="BH334" s="210"/>
      <c r="BI334" s="210"/>
      <c r="BJ334" s="210"/>
    </row>
    <row r="335" spans="1:62" ht="15" x14ac:dyDescent="0.2">
      <c r="A335" s="210"/>
      <c r="B335" s="210"/>
      <c r="C335" s="210"/>
      <c r="D335" s="210"/>
      <c r="E335" s="210"/>
      <c r="F335" s="210"/>
      <c r="G335" s="210"/>
      <c r="H335" s="210"/>
      <c r="I335" s="210"/>
      <c r="J335" s="210"/>
      <c r="K335" s="210"/>
      <c r="L335" s="210"/>
      <c r="M335" s="210"/>
      <c r="N335" s="210"/>
      <c r="O335" s="210"/>
      <c r="P335" s="210"/>
      <c r="Q335" s="210"/>
      <c r="R335" s="210"/>
      <c r="S335" s="210"/>
      <c r="T335" s="210"/>
      <c r="U335" s="210"/>
      <c r="V335" s="210"/>
      <c r="W335" s="210"/>
      <c r="X335" s="210"/>
      <c r="Y335" s="210"/>
      <c r="Z335" s="210"/>
      <c r="AA335" s="210"/>
      <c r="AB335" s="210"/>
      <c r="AC335" s="210"/>
      <c r="AD335" s="210"/>
      <c r="AE335" s="210"/>
      <c r="AF335" s="210"/>
      <c r="AG335" s="210"/>
      <c r="AH335" s="210"/>
      <c r="AI335" s="210"/>
      <c r="AJ335" s="210"/>
      <c r="AK335" s="210"/>
      <c r="AL335" s="210"/>
      <c r="AM335" s="210"/>
      <c r="AN335" s="210"/>
      <c r="AO335" s="210"/>
      <c r="AP335" s="210"/>
      <c r="AQ335" s="210"/>
      <c r="AR335" s="210"/>
      <c r="AS335" s="210"/>
      <c r="AT335" s="210"/>
      <c r="AU335" s="210"/>
      <c r="AV335" s="210"/>
      <c r="AW335" s="210"/>
      <c r="AX335" s="210"/>
      <c r="AY335" s="210"/>
      <c r="AZ335" s="210"/>
      <c r="BA335" s="210"/>
      <c r="BB335" s="210"/>
      <c r="BC335" s="210"/>
      <c r="BD335" s="210"/>
      <c r="BE335" s="210"/>
      <c r="BF335" s="210"/>
      <c r="BG335" s="210"/>
      <c r="BH335" s="210"/>
      <c r="BI335" s="210"/>
      <c r="BJ335" s="210"/>
    </row>
    <row r="336" spans="1:62" ht="15" x14ac:dyDescent="0.2">
      <c r="A336" s="210"/>
      <c r="B336" s="210"/>
      <c r="C336" s="210"/>
      <c r="D336" s="210"/>
      <c r="E336" s="210"/>
      <c r="F336" s="210"/>
      <c r="G336" s="210"/>
      <c r="H336" s="210"/>
      <c r="I336" s="210"/>
      <c r="J336" s="210"/>
      <c r="K336" s="210"/>
      <c r="L336" s="210"/>
      <c r="M336" s="210"/>
      <c r="N336" s="210"/>
      <c r="O336" s="210"/>
      <c r="P336" s="210"/>
      <c r="Q336" s="210"/>
      <c r="R336" s="210"/>
      <c r="S336" s="210"/>
      <c r="T336" s="210"/>
      <c r="U336" s="210"/>
      <c r="V336" s="210"/>
      <c r="W336" s="210"/>
      <c r="X336" s="210"/>
      <c r="Y336" s="210"/>
      <c r="Z336" s="210"/>
      <c r="AA336" s="210"/>
      <c r="AB336" s="210"/>
      <c r="AC336" s="210"/>
      <c r="AD336" s="210"/>
      <c r="AE336" s="210"/>
      <c r="AF336" s="210"/>
      <c r="AG336" s="210"/>
      <c r="AH336" s="210"/>
      <c r="AI336" s="210"/>
      <c r="AJ336" s="210"/>
      <c r="AK336" s="210"/>
      <c r="AL336" s="210"/>
      <c r="AM336" s="210"/>
      <c r="AN336" s="210"/>
      <c r="AO336" s="210"/>
      <c r="AP336" s="210"/>
      <c r="AQ336" s="210"/>
      <c r="AR336" s="210"/>
      <c r="AS336" s="210"/>
      <c r="AT336" s="210"/>
      <c r="AU336" s="210"/>
      <c r="AV336" s="210"/>
      <c r="AW336" s="210"/>
      <c r="AX336" s="210"/>
      <c r="AY336" s="210"/>
      <c r="AZ336" s="210"/>
      <c r="BA336" s="210"/>
      <c r="BB336" s="210"/>
      <c r="BC336" s="210"/>
      <c r="BD336" s="210"/>
      <c r="BE336" s="210"/>
      <c r="BF336" s="210"/>
      <c r="BG336" s="210"/>
      <c r="BH336" s="210"/>
      <c r="BI336" s="210"/>
      <c r="BJ336" s="210"/>
    </row>
    <row r="337" spans="1:62" ht="15" x14ac:dyDescent="0.2">
      <c r="A337" s="210"/>
      <c r="B337" s="210"/>
      <c r="C337" s="210"/>
      <c r="D337" s="210"/>
      <c r="E337" s="210"/>
      <c r="F337" s="210"/>
      <c r="G337" s="210"/>
      <c r="H337" s="210"/>
      <c r="I337" s="210"/>
      <c r="J337" s="210"/>
      <c r="K337" s="210"/>
      <c r="L337" s="210"/>
      <c r="M337" s="210"/>
      <c r="N337" s="210"/>
      <c r="O337" s="210"/>
      <c r="P337" s="210"/>
      <c r="Q337" s="210"/>
      <c r="R337" s="210"/>
      <c r="S337" s="210"/>
      <c r="T337" s="210"/>
      <c r="U337" s="210"/>
      <c r="V337" s="210"/>
      <c r="W337" s="210"/>
      <c r="X337" s="210"/>
      <c r="Y337" s="210"/>
      <c r="Z337" s="210"/>
      <c r="AA337" s="210"/>
      <c r="AB337" s="210"/>
      <c r="AC337" s="210"/>
      <c r="AD337" s="210"/>
      <c r="AE337" s="210"/>
      <c r="AF337" s="210"/>
      <c r="AG337" s="210"/>
      <c r="AH337" s="210"/>
      <c r="AI337" s="210"/>
      <c r="AJ337" s="210"/>
      <c r="AK337" s="210"/>
      <c r="AL337" s="210"/>
      <c r="AM337" s="210"/>
      <c r="AN337" s="210"/>
      <c r="AO337" s="210"/>
      <c r="AP337" s="210"/>
      <c r="AQ337" s="210"/>
      <c r="AR337" s="210"/>
      <c r="AS337" s="210"/>
      <c r="AT337" s="210"/>
      <c r="AU337" s="210"/>
      <c r="AV337" s="210"/>
      <c r="AW337" s="210"/>
      <c r="AX337" s="210"/>
      <c r="AY337" s="210"/>
      <c r="AZ337" s="210"/>
      <c r="BA337" s="210"/>
      <c r="BB337" s="210"/>
      <c r="BC337" s="210"/>
      <c r="BD337" s="210"/>
      <c r="BE337" s="210"/>
      <c r="BF337" s="210"/>
      <c r="BG337" s="210"/>
      <c r="BH337" s="210"/>
      <c r="BI337" s="210"/>
      <c r="BJ337" s="210"/>
    </row>
    <row r="338" spans="1:62" ht="15" x14ac:dyDescent="0.2">
      <c r="A338" s="210"/>
      <c r="B338" s="210"/>
      <c r="C338" s="210"/>
      <c r="D338" s="210"/>
      <c r="E338" s="210"/>
      <c r="F338" s="210"/>
      <c r="G338" s="210"/>
      <c r="H338" s="210"/>
      <c r="I338" s="210"/>
      <c r="J338" s="210"/>
      <c r="K338" s="210"/>
      <c r="L338" s="210"/>
      <c r="M338" s="210"/>
      <c r="N338" s="210"/>
      <c r="O338" s="210"/>
      <c r="P338" s="210"/>
      <c r="Q338" s="210"/>
      <c r="R338" s="210"/>
      <c r="S338" s="210"/>
      <c r="T338" s="210"/>
      <c r="U338" s="210"/>
      <c r="V338" s="210"/>
      <c r="W338" s="210"/>
      <c r="X338" s="210"/>
      <c r="Y338" s="210"/>
      <c r="Z338" s="210"/>
      <c r="AA338" s="210"/>
      <c r="AB338" s="210"/>
      <c r="AC338" s="210"/>
      <c r="AD338" s="210"/>
      <c r="AE338" s="210"/>
      <c r="AF338" s="210"/>
      <c r="AG338" s="210"/>
      <c r="AH338" s="210"/>
      <c r="AI338" s="210"/>
      <c r="AJ338" s="210"/>
      <c r="AK338" s="210"/>
      <c r="AL338" s="210"/>
      <c r="AM338" s="210"/>
      <c r="AN338" s="210"/>
      <c r="AO338" s="210"/>
      <c r="AP338" s="210"/>
      <c r="AQ338" s="210"/>
      <c r="AR338" s="210"/>
      <c r="AS338" s="210"/>
      <c r="AT338" s="210"/>
      <c r="AU338" s="210"/>
      <c r="AV338" s="210"/>
      <c r="AW338" s="210"/>
      <c r="AX338" s="210"/>
      <c r="AY338" s="210"/>
      <c r="AZ338" s="210"/>
      <c r="BA338" s="210"/>
      <c r="BB338" s="210"/>
      <c r="BC338" s="210"/>
      <c r="BD338" s="210"/>
      <c r="BE338" s="210"/>
      <c r="BF338" s="210"/>
      <c r="BG338" s="210"/>
      <c r="BH338" s="210"/>
      <c r="BI338" s="210"/>
      <c r="BJ338" s="210"/>
    </row>
    <row r="339" spans="1:62" ht="15" x14ac:dyDescent="0.2">
      <c r="A339" s="210"/>
      <c r="B339" s="210"/>
      <c r="C339" s="210"/>
      <c r="D339" s="210"/>
      <c r="E339" s="210"/>
      <c r="F339" s="210"/>
      <c r="G339" s="210"/>
      <c r="H339" s="210"/>
      <c r="I339" s="210"/>
      <c r="J339" s="210"/>
      <c r="K339" s="210"/>
      <c r="L339" s="210"/>
      <c r="M339" s="210"/>
      <c r="N339" s="210"/>
      <c r="O339" s="210"/>
      <c r="P339" s="210"/>
      <c r="Q339" s="210"/>
      <c r="R339" s="210"/>
      <c r="S339" s="210"/>
      <c r="T339" s="210"/>
      <c r="U339" s="210"/>
      <c r="V339" s="210"/>
      <c r="W339" s="210"/>
      <c r="X339" s="210"/>
      <c r="Y339" s="210"/>
      <c r="Z339" s="210"/>
      <c r="AA339" s="210"/>
      <c r="AB339" s="210"/>
      <c r="AC339" s="210"/>
      <c r="AD339" s="210"/>
      <c r="AE339" s="210"/>
      <c r="AF339" s="210"/>
      <c r="AG339" s="210"/>
      <c r="AH339" s="210"/>
      <c r="AI339" s="210"/>
      <c r="AJ339" s="210"/>
      <c r="AK339" s="210"/>
      <c r="AL339" s="210"/>
      <c r="AM339" s="210"/>
      <c r="AN339" s="210"/>
      <c r="AO339" s="210"/>
      <c r="AP339" s="210"/>
      <c r="AQ339" s="210"/>
      <c r="AR339" s="210"/>
      <c r="AS339" s="210"/>
      <c r="AT339" s="210"/>
      <c r="AU339" s="210"/>
      <c r="AV339" s="210"/>
      <c r="AW339" s="210"/>
      <c r="AX339" s="210"/>
      <c r="AY339" s="210"/>
      <c r="AZ339" s="210"/>
      <c r="BA339" s="210"/>
      <c r="BB339" s="210"/>
      <c r="BC339" s="210"/>
      <c r="BD339" s="210"/>
      <c r="BE339" s="210"/>
      <c r="BF339" s="210"/>
      <c r="BG339" s="210"/>
      <c r="BH339" s="210"/>
      <c r="BI339" s="210"/>
      <c r="BJ339" s="210"/>
    </row>
    <row r="340" spans="1:62" ht="15" x14ac:dyDescent="0.2">
      <c r="A340" s="210"/>
      <c r="B340" s="210"/>
      <c r="C340" s="210"/>
      <c r="D340" s="210"/>
      <c r="E340" s="210"/>
      <c r="F340" s="210"/>
      <c r="G340" s="210"/>
      <c r="H340" s="210"/>
      <c r="I340" s="210"/>
      <c r="J340" s="210"/>
      <c r="K340" s="210"/>
      <c r="L340" s="210"/>
      <c r="M340" s="210"/>
      <c r="N340" s="210"/>
      <c r="O340" s="210"/>
      <c r="P340" s="210"/>
      <c r="Q340" s="210"/>
      <c r="R340" s="210"/>
      <c r="S340" s="210"/>
      <c r="T340" s="210"/>
      <c r="U340" s="210"/>
      <c r="V340" s="210"/>
      <c r="W340" s="210"/>
      <c r="X340" s="210"/>
      <c r="Y340" s="210"/>
      <c r="Z340" s="210"/>
      <c r="AA340" s="210"/>
      <c r="AB340" s="210"/>
      <c r="AC340" s="210"/>
      <c r="AD340" s="210"/>
      <c r="AE340" s="210"/>
      <c r="AF340" s="210"/>
      <c r="AG340" s="210"/>
      <c r="AH340" s="210"/>
      <c r="AI340" s="210"/>
      <c r="AJ340" s="210"/>
      <c r="AK340" s="210"/>
      <c r="AL340" s="210"/>
      <c r="AM340" s="210"/>
      <c r="AN340" s="210"/>
      <c r="AO340" s="210"/>
      <c r="AP340" s="210"/>
      <c r="AQ340" s="210"/>
      <c r="AR340" s="210"/>
      <c r="AS340" s="210"/>
      <c r="AT340" s="210"/>
      <c r="AU340" s="210"/>
      <c r="AV340" s="210"/>
      <c r="AW340" s="210"/>
      <c r="AX340" s="210"/>
      <c r="AY340" s="210"/>
      <c r="AZ340" s="210"/>
      <c r="BA340" s="210"/>
      <c r="BB340" s="210"/>
      <c r="BC340" s="210"/>
      <c r="BD340" s="210"/>
      <c r="BE340" s="210"/>
      <c r="BF340" s="210"/>
      <c r="BG340" s="210"/>
      <c r="BH340" s="210"/>
      <c r="BI340" s="210"/>
      <c r="BJ340" s="210"/>
    </row>
    <row r="341" spans="1:62" ht="15" x14ac:dyDescent="0.2">
      <c r="A341" s="210"/>
      <c r="B341" s="210"/>
      <c r="C341" s="210"/>
      <c r="D341" s="210"/>
      <c r="E341" s="210"/>
      <c r="F341" s="210"/>
      <c r="G341" s="210"/>
      <c r="H341" s="210"/>
      <c r="I341" s="210"/>
      <c r="J341" s="210"/>
      <c r="K341" s="210"/>
      <c r="L341" s="210"/>
      <c r="M341" s="210"/>
      <c r="N341" s="210"/>
      <c r="O341" s="210"/>
      <c r="P341" s="210"/>
      <c r="Q341" s="210"/>
      <c r="R341" s="210"/>
      <c r="S341" s="210"/>
      <c r="T341" s="210"/>
      <c r="U341" s="210"/>
      <c r="V341" s="210"/>
      <c r="W341" s="210"/>
      <c r="X341" s="210"/>
      <c r="Y341" s="210"/>
      <c r="Z341" s="210"/>
      <c r="AA341" s="210"/>
      <c r="AB341" s="210"/>
      <c r="AC341" s="210"/>
      <c r="AD341" s="210"/>
      <c r="AE341" s="210"/>
      <c r="AF341" s="210"/>
      <c r="AG341" s="210"/>
      <c r="AH341" s="210"/>
      <c r="AI341" s="210"/>
      <c r="AJ341" s="210"/>
      <c r="AK341" s="210"/>
      <c r="AL341" s="210"/>
      <c r="AM341" s="210"/>
      <c r="AN341" s="210"/>
      <c r="AO341" s="210"/>
      <c r="AP341" s="210"/>
      <c r="AQ341" s="210"/>
      <c r="AR341" s="210"/>
      <c r="AS341" s="210"/>
      <c r="AT341" s="210"/>
      <c r="AU341" s="210"/>
      <c r="AV341" s="210"/>
      <c r="AW341" s="210"/>
      <c r="AX341" s="210"/>
      <c r="AY341" s="210"/>
      <c r="AZ341" s="210"/>
      <c r="BA341" s="210"/>
      <c r="BB341" s="210"/>
      <c r="BC341" s="210"/>
      <c r="BD341" s="210"/>
      <c r="BE341" s="210"/>
      <c r="BF341" s="210"/>
      <c r="BG341" s="210"/>
      <c r="BH341" s="210"/>
      <c r="BI341" s="210"/>
      <c r="BJ341" s="210"/>
    </row>
    <row r="342" spans="1:62" ht="15" x14ac:dyDescent="0.2">
      <c r="A342" s="210"/>
      <c r="B342" s="210"/>
      <c r="C342" s="210"/>
      <c r="D342" s="210"/>
      <c r="E342" s="210"/>
      <c r="F342" s="210"/>
      <c r="G342" s="210"/>
      <c r="H342" s="210"/>
      <c r="I342" s="210"/>
      <c r="J342" s="210"/>
      <c r="K342" s="210"/>
      <c r="L342" s="210"/>
      <c r="M342" s="210"/>
      <c r="N342" s="210"/>
      <c r="O342" s="210"/>
      <c r="P342" s="210"/>
      <c r="Q342" s="210"/>
      <c r="R342" s="210"/>
      <c r="S342" s="210"/>
      <c r="T342" s="210"/>
      <c r="U342" s="210"/>
      <c r="V342" s="210"/>
      <c r="W342" s="210"/>
      <c r="X342" s="210"/>
      <c r="Y342" s="210"/>
      <c r="Z342" s="210"/>
      <c r="AA342" s="210"/>
      <c r="AB342" s="210"/>
      <c r="AC342" s="210"/>
      <c r="AD342" s="210"/>
      <c r="AE342" s="210"/>
      <c r="AF342" s="210"/>
      <c r="AG342" s="210"/>
      <c r="AH342" s="210"/>
      <c r="AI342" s="210"/>
      <c r="AJ342" s="210"/>
      <c r="AK342" s="210"/>
      <c r="AL342" s="210"/>
      <c r="AM342" s="210"/>
      <c r="AN342" s="210"/>
      <c r="AO342" s="210"/>
      <c r="AP342" s="210"/>
      <c r="AQ342" s="210"/>
      <c r="AR342" s="210"/>
      <c r="AS342" s="210"/>
      <c r="AT342" s="210"/>
      <c r="AU342" s="210"/>
      <c r="AV342" s="210"/>
      <c r="AW342" s="210"/>
      <c r="AX342" s="210"/>
      <c r="AY342" s="210"/>
      <c r="AZ342" s="210"/>
      <c r="BA342" s="210"/>
      <c r="BB342" s="210"/>
      <c r="BC342" s="210"/>
      <c r="BD342" s="210"/>
      <c r="BE342" s="210"/>
      <c r="BF342" s="210"/>
      <c r="BG342" s="210"/>
      <c r="BH342" s="210"/>
      <c r="BI342" s="210"/>
      <c r="BJ342" s="210"/>
    </row>
    <row r="343" spans="1:62" ht="15" x14ac:dyDescent="0.2">
      <c r="A343" s="210"/>
      <c r="B343" s="210"/>
      <c r="C343" s="210"/>
      <c r="D343" s="210"/>
      <c r="E343" s="210"/>
      <c r="F343" s="210"/>
      <c r="G343" s="210"/>
      <c r="H343" s="210"/>
      <c r="I343" s="210"/>
      <c r="J343" s="210"/>
      <c r="K343" s="210"/>
      <c r="L343" s="210"/>
      <c r="M343" s="210"/>
      <c r="N343" s="210"/>
      <c r="O343" s="210"/>
      <c r="P343" s="210"/>
      <c r="Q343" s="210"/>
      <c r="R343" s="210"/>
      <c r="S343" s="210"/>
      <c r="T343" s="210"/>
      <c r="U343" s="210"/>
      <c r="V343" s="210"/>
      <c r="W343" s="210"/>
      <c r="X343" s="210"/>
      <c r="Y343" s="210"/>
      <c r="Z343" s="210"/>
      <c r="AA343" s="210"/>
      <c r="AB343" s="210"/>
      <c r="AC343" s="210"/>
      <c r="AD343" s="210"/>
      <c r="AE343" s="210"/>
      <c r="AF343" s="210"/>
      <c r="AG343" s="210"/>
      <c r="AH343" s="210"/>
      <c r="AI343" s="210"/>
      <c r="AJ343" s="210"/>
      <c r="AK343" s="210"/>
      <c r="AL343" s="210"/>
      <c r="AM343" s="210"/>
      <c r="AN343" s="210"/>
      <c r="AO343" s="210"/>
      <c r="AP343" s="210"/>
      <c r="AQ343" s="210"/>
      <c r="AR343" s="210"/>
      <c r="AS343" s="210"/>
      <c r="AT343" s="210"/>
      <c r="AU343" s="210"/>
      <c r="AV343" s="210"/>
      <c r="AW343" s="210"/>
      <c r="AX343" s="210"/>
      <c r="AY343" s="210"/>
      <c r="AZ343" s="210"/>
      <c r="BA343" s="210"/>
      <c r="BB343" s="210"/>
      <c r="BC343" s="210"/>
      <c r="BD343" s="210"/>
      <c r="BE343" s="210"/>
      <c r="BF343" s="210"/>
      <c r="BG343" s="210"/>
      <c r="BH343" s="210"/>
      <c r="BI343" s="210"/>
      <c r="BJ343" s="210"/>
    </row>
    <row r="344" spans="1:62" ht="15" x14ac:dyDescent="0.2">
      <c r="A344" s="210"/>
      <c r="B344" s="210"/>
      <c r="C344" s="210"/>
      <c r="D344" s="210"/>
      <c r="E344" s="210"/>
      <c r="F344" s="210"/>
      <c r="G344" s="210"/>
      <c r="H344" s="210"/>
      <c r="I344" s="210"/>
      <c r="J344" s="210"/>
      <c r="K344" s="210"/>
      <c r="L344" s="210"/>
      <c r="M344" s="210"/>
      <c r="N344" s="210"/>
      <c r="O344" s="210"/>
      <c r="P344" s="210"/>
      <c r="Q344" s="210"/>
      <c r="R344" s="210"/>
      <c r="S344" s="210"/>
      <c r="T344" s="210"/>
      <c r="U344" s="210"/>
      <c r="V344" s="210"/>
      <c r="W344" s="210"/>
      <c r="X344" s="210"/>
      <c r="Y344" s="210"/>
      <c r="Z344" s="210"/>
      <c r="AA344" s="210"/>
      <c r="AB344" s="210"/>
      <c r="AC344" s="210"/>
      <c r="AD344" s="210"/>
      <c r="AE344" s="210"/>
      <c r="AF344" s="210"/>
      <c r="AG344" s="210"/>
      <c r="AH344" s="210"/>
      <c r="AI344" s="210"/>
      <c r="AJ344" s="210"/>
      <c r="AK344" s="210"/>
      <c r="AL344" s="210"/>
      <c r="AM344" s="210"/>
      <c r="AN344" s="210"/>
      <c r="AO344" s="210"/>
      <c r="AP344" s="210"/>
      <c r="AQ344" s="210"/>
      <c r="AR344" s="210"/>
      <c r="AS344" s="210"/>
      <c r="AT344" s="210"/>
      <c r="AU344" s="210"/>
      <c r="AV344" s="210"/>
      <c r="AW344" s="210"/>
      <c r="AX344" s="210"/>
      <c r="AY344" s="210"/>
      <c r="AZ344" s="210"/>
      <c r="BA344" s="210"/>
      <c r="BB344" s="210"/>
      <c r="BC344" s="210"/>
      <c r="BD344" s="210"/>
      <c r="BE344" s="210"/>
      <c r="BF344" s="210"/>
      <c r="BG344" s="210"/>
      <c r="BH344" s="210"/>
      <c r="BI344" s="210"/>
      <c r="BJ344" s="210"/>
    </row>
    <row r="345" spans="1:62" ht="15" x14ac:dyDescent="0.2">
      <c r="A345" s="210"/>
      <c r="B345" s="210"/>
      <c r="C345" s="210"/>
      <c r="D345" s="210"/>
      <c r="E345" s="210"/>
      <c r="F345" s="210"/>
      <c r="G345" s="210"/>
      <c r="H345" s="210"/>
      <c r="I345" s="210"/>
      <c r="J345" s="210"/>
      <c r="K345" s="210"/>
      <c r="L345" s="210"/>
      <c r="M345" s="210"/>
      <c r="N345" s="210"/>
      <c r="O345" s="210"/>
      <c r="P345" s="210"/>
      <c r="Q345" s="210"/>
      <c r="R345" s="210"/>
      <c r="S345" s="210"/>
      <c r="T345" s="210"/>
      <c r="U345" s="210"/>
      <c r="V345" s="210"/>
      <c r="W345" s="210"/>
      <c r="X345" s="210"/>
      <c r="Y345" s="210"/>
      <c r="Z345" s="210"/>
      <c r="AA345" s="210"/>
      <c r="AB345" s="210"/>
      <c r="AC345" s="210"/>
      <c r="AD345" s="210"/>
      <c r="AE345" s="210"/>
      <c r="AF345" s="210"/>
      <c r="AG345" s="210"/>
      <c r="AH345" s="210"/>
      <c r="AI345" s="210"/>
      <c r="AJ345" s="210"/>
      <c r="AK345" s="210"/>
      <c r="AL345" s="210"/>
      <c r="AM345" s="210"/>
      <c r="AN345" s="210"/>
      <c r="AO345" s="210"/>
      <c r="AP345" s="210"/>
      <c r="AQ345" s="210"/>
      <c r="AR345" s="210"/>
      <c r="AS345" s="210"/>
      <c r="AT345" s="210"/>
      <c r="AU345" s="210"/>
      <c r="AV345" s="210"/>
      <c r="AW345" s="210"/>
      <c r="AX345" s="210"/>
      <c r="AY345" s="210"/>
      <c r="AZ345" s="210"/>
      <c r="BA345" s="210"/>
      <c r="BB345" s="210"/>
      <c r="BC345" s="210"/>
      <c r="BD345" s="210"/>
      <c r="BE345" s="210"/>
      <c r="BF345" s="210"/>
      <c r="BG345" s="210"/>
      <c r="BH345" s="210"/>
      <c r="BI345" s="210"/>
      <c r="BJ345" s="210"/>
    </row>
    <row r="346" spans="1:62" ht="15" x14ac:dyDescent="0.2">
      <c r="A346" s="210"/>
      <c r="B346" s="210"/>
      <c r="C346" s="210"/>
      <c r="D346" s="210"/>
      <c r="E346" s="210"/>
      <c r="F346" s="210"/>
      <c r="G346" s="210"/>
      <c r="H346" s="210"/>
      <c r="I346" s="210"/>
      <c r="J346" s="210"/>
      <c r="K346" s="210"/>
      <c r="L346" s="210"/>
      <c r="M346" s="210"/>
      <c r="N346" s="210"/>
      <c r="O346" s="210"/>
      <c r="P346" s="210"/>
      <c r="Q346" s="210"/>
      <c r="R346" s="210"/>
      <c r="S346" s="210"/>
      <c r="T346" s="210"/>
      <c r="U346" s="210"/>
      <c r="V346" s="210"/>
      <c r="W346" s="210"/>
      <c r="X346" s="210"/>
      <c r="Y346" s="210"/>
      <c r="Z346" s="210"/>
      <c r="AA346" s="210"/>
      <c r="AB346" s="210"/>
      <c r="AC346" s="210"/>
      <c r="AD346" s="210"/>
      <c r="AE346" s="210"/>
      <c r="AF346" s="210"/>
      <c r="AG346" s="210"/>
      <c r="AH346" s="210"/>
      <c r="AI346" s="210"/>
      <c r="AJ346" s="210"/>
      <c r="AK346" s="210"/>
      <c r="AL346" s="210"/>
      <c r="AM346" s="210"/>
      <c r="AN346" s="210"/>
      <c r="AO346" s="210"/>
      <c r="AP346" s="210"/>
      <c r="AQ346" s="210"/>
      <c r="AR346" s="210"/>
      <c r="AS346" s="210"/>
      <c r="AT346" s="210"/>
      <c r="AU346" s="210"/>
      <c r="AV346" s="210"/>
      <c r="AW346" s="210"/>
      <c r="AX346" s="210"/>
      <c r="AY346" s="210"/>
      <c r="AZ346" s="210"/>
      <c r="BA346" s="210"/>
      <c r="BB346" s="210"/>
      <c r="BC346" s="210"/>
      <c r="BD346" s="210"/>
      <c r="BE346" s="210"/>
      <c r="BF346" s="210"/>
      <c r="BG346" s="210"/>
      <c r="BH346" s="210"/>
      <c r="BI346" s="210"/>
      <c r="BJ346" s="210"/>
    </row>
    <row r="347" spans="1:62" ht="15" x14ac:dyDescent="0.2">
      <c r="A347" s="210"/>
      <c r="B347" s="210"/>
      <c r="C347" s="210"/>
      <c r="D347" s="210"/>
      <c r="E347" s="210"/>
      <c r="F347" s="210"/>
      <c r="G347" s="210"/>
      <c r="H347" s="210"/>
      <c r="I347" s="210"/>
      <c r="J347" s="210"/>
      <c r="K347" s="210"/>
      <c r="L347" s="210"/>
      <c r="M347" s="210"/>
      <c r="N347" s="210"/>
      <c r="O347" s="210"/>
      <c r="P347" s="210"/>
      <c r="Q347" s="210"/>
      <c r="R347" s="210"/>
      <c r="S347" s="210"/>
      <c r="T347" s="210"/>
      <c r="U347" s="210"/>
      <c r="V347" s="210"/>
      <c r="W347" s="210"/>
      <c r="X347" s="210"/>
      <c r="Y347" s="210"/>
      <c r="Z347" s="210"/>
      <c r="AA347" s="210"/>
      <c r="AB347" s="210"/>
      <c r="AC347" s="210"/>
      <c r="AD347" s="210"/>
      <c r="AE347" s="210"/>
      <c r="AF347" s="210"/>
      <c r="AG347" s="210"/>
      <c r="AH347" s="210"/>
      <c r="AI347" s="210"/>
      <c r="AJ347" s="210"/>
      <c r="AK347" s="210"/>
      <c r="AL347" s="210"/>
      <c r="AM347" s="210"/>
      <c r="AN347" s="210"/>
      <c r="AO347" s="210"/>
      <c r="AP347" s="210"/>
      <c r="AQ347" s="210"/>
      <c r="AR347" s="210"/>
      <c r="AS347" s="210"/>
      <c r="AT347" s="210"/>
      <c r="AU347" s="210"/>
      <c r="AV347" s="210"/>
      <c r="AW347" s="210"/>
      <c r="AX347" s="210"/>
      <c r="AY347" s="210"/>
      <c r="AZ347" s="210"/>
      <c r="BA347" s="210"/>
      <c r="BB347" s="210"/>
      <c r="BC347" s="210"/>
      <c r="BD347" s="210"/>
      <c r="BE347" s="210"/>
      <c r="BF347" s="210"/>
      <c r="BG347" s="210"/>
      <c r="BH347" s="210"/>
      <c r="BI347" s="210"/>
      <c r="BJ347" s="210"/>
    </row>
    <row r="348" spans="1:62" ht="15" x14ac:dyDescent="0.2">
      <c r="A348" s="210"/>
      <c r="B348" s="210"/>
      <c r="C348" s="210"/>
      <c r="D348" s="210"/>
      <c r="E348" s="210"/>
      <c r="F348" s="210"/>
      <c r="G348" s="210"/>
      <c r="H348" s="210"/>
      <c r="I348" s="210"/>
      <c r="J348" s="210"/>
      <c r="K348" s="210"/>
      <c r="L348" s="210"/>
      <c r="M348" s="210"/>
      <c r="N348" s="210"/>
      <c r="O348" s="210"/>
      <c r="P348" s="210"/>
      <c r="Q348" s="210"/>
      <c r="R348" s="210"/>
      <c r="S348" s="210"/>
      <c r="T348" s="210"/>
      <c r="U348" s="210"/>
      <c r="V348" s="210"/>
      <c r="W348" s="210"/>
      <c r="X348" s="210"/>
      <c r="Y348" s="210"/>
      <c r="Z348" s="210"/>
      <c r="AA348" s="210"/>
      <c r="AB348" s="210"/>
      <c r="AC348" s="210"/>
      <c r="AD348" s="210"/>
      <c r="AE348" s="210"/>
      <c r="AF348" s="210"/>
      <c r="AG348" s="210"/>
      <c r="AH348" s="210"/>
      <c r="AI348" s="210"/>
      <c r="AJ348" s="210"/>
      <c r="AK348" s="210"/>
      <c r="AL348" s="210"/>
      <c r="AM348" s="210"/>
      <c r="AN348" s="210"/>
      <c r="AO348" s="210"/>
      <c r="AP348" s="210"/>
      <c r="AQ348" s="210"/>
      <c r="AR348" s="210"/>
      <c r="AS348" s="210"/>
      <c r="AT348" s="210"/>
      <c r="AU348" s="210"/>
      <c r="AV348" s="210"/>
      <c r="AW348" s="210"/>
      <c r="AX348" s="210"/>
      <c r="AY348" s="210"/>
      <c r="AZ348" s="210"/>
      <c r="BA348" s="210"/>
      <c r="BB348" s="210"/>
      <c r="BC348" s="210"/>
      <c r="BD348" s="210"/>
      <c r="BE348" s="210"/>
      <c r="BF348" s="210"/>
      <c r="BG348" s="210"/>
      <c r="BH348" s="210"/>
      <c r="BI348" s="210"/>
      <c r="BJ348" s="210"/>
    </row>
    <row r="349" spans="1:62" ht="15" x14ac:dyDescent="0.2">
      <c r="A349" s="210"/>
      <c r="B349" s="210"/>
      <c r="C349" s="210"/>
      <c r="D349" s="210"/>
      <c r="E349" s="210"/>
      <c r="F349" s="210"/>
      <c r="G349" s="210"/>
      <c r="H349" s="210"/>
      <c r="I349" s="210"/>
      <c r="J349" s="210"/>
      <c r="K349" s="210"/>
      <c r="L349" s="210"/>
      <c r="M349" s="210"/>
      <c r="N349" s="210"/>
      <c r="O349" s="210"/>
      <c r="P349" s="210"/>
      <c r="Q349" s="210"/>
      <c r="R349" s="210"/>
      <c r="S349" s="210"/>
      <c r="T349" s="210"/>
      <c r="U349" s="210"/>
      <c r="V349" s="210"/>
      <c r="W349" s="210"/>
      <c r="X349" s="210"/>
      <c r="Y349" s="210"/>
      <c r="Z349" s="210"/>
      <c r="AA349" s="210"/>
      <c r="AB349" s="210"/>
      <c r="AC349" s="210"/>
      <c r="AD349" s="210"/>
      <c r="AE349" s="210"/>
      <c r="AF349" s="210"/>
      <c r="AG349" s="210"/>
      <c r="AH349" s="210"/>
      <c r="AI349" s="210"/>
      <c r="AJ349" s="210"/>
      <c r="AK349" s="210"/>
      <c r="AL349" s="210"/>
      <c r="AM349" s="210"/>
      <c r="AN349" s="210"/>
      <c r="AO349" s="210"/>
      <c r="AP349" s="210"/>
      <c r="AQ349" s="210"/>
      <c r="AR349" s="210"/>
      <c r="AS349" s="210"/>
      <c r="AT349" s="210"/>
      <c r="AU349" s="210"/>
      <c r="AV349" s="210"/>
      <c r="AW349" s="210"/>
      <c r="AX349" s="210"/>
      <c r="AY349" s="210"/>
      <c r="AZ349" s="210"/>
      <c r="BA349" s="210"/>
      <c r="BB349" s="210"/>
      <c r="BC349" s="210"/>
      <c r="BD349" s="210"/>
      <c r="BE349" s="210"/>
      <c r="BF349" s="210"/>
      <c r="BG349" s="210"/>
      <c r="BH349" s="210"/>
      <c r="BI349" s="210"/>
      <c r="BJ349" s="210"/>
    </row>
    <row r="350" spans="1:62" ht="15" x14ac:dyDescent="0.2">
      <c r="A350" s="210"/>
      <c r="B350" s="210"/>
      <c r="C350" s="210"/>
      <c r="D350" s="210"/>
      <c r="E350" s="210"/>
      <c r="F350" s="210"/>
      <c r="G350" s="210"/>
      <c r="H350" s="210"/>
      <c r="I350" s="210"/>
      <c r="J350" s="210"/>
      <c r="K350" s="210"/>
      <c r="L350" s="210"/>
      <c r="M350" s="210"/>
      <c r="N350" s="210"/>
      <c r="O350" s="210"/>
      <c r="P350" s="210"/>
      <c r="Q350" s="210"/>
      <c r="R350" s="210"/>
      <c r="S350" s="210"/>
      <c r="T350" s="210"/>
      <c r="U350" s="210"/>
      <c r="V350" s="210"/>
      <c r="W350" s="210"/>
      <c r="X350" s="210"/>
      <c r="Y350" s="210"/>
      <c r="Z350" s="210"/>
      <c r="AA350" s="210"/>
      <c r="AB350" s="210"/>
      <c r="AC350" s="210"/>
      <c r="AD350" s="210"/>
      <c r="AE350" s="210"/>
      <c r="AF350" s="210"/>
      <c r="AG350" s="210"/>
      <c r="AH350" s="210"/>
      <c r="AI350" s="210"/>
      <c r="AJ350" s="210"/>
      <c r="AK350" s="210"/>
      <c r="AL350" s="210"/>
      <c r="AM350" s="210"/>
      <c r="AN350" s="210"/>
      <c r="AO350" s="210"/>
      <c r="AP350" s="210"/>
      <c r="AQ350" s="210"/>
      <c r="AR350" s="210"/>
      <c r="AS350" s="210"/>
      <c r="AT350" s="210"/>
      <c r="AU350" s="210"/>
      <c r="AV350" s="210"/>
      <c r="AW350" s="210"/>
      <c r="AX350" s="210"/>
      <c r="AY350" s="210"/>
      <c r="AZ350" s="210"/>
      <c r="BA350" s="210"/>
      <c r="BB350" s="210"/>
      <c r="BC350" s="210"/>
      <c r="BD350" s="210"/>
      <c r="BE350" s="210"/>
      <c r="BF350" s="210"/>
      <c r="BG350" s="210"/>
      <c r="BH350" s="210"/>
      <c r="BI350" s="210"/>
      <c r="BJ350" s="210"/>
    </row>
    <row r="351" spans="1:62" ht="15" x14ac:dyDescent="0.2">
      <c r="A351" s="210"/>
      <c r="B351" s="210"/>
      <c r="C351" s="210"/>
      <c r="D351" s="210"/>
      <c r="E351" s="210"/>
      <c r="F351" s="210"/>
      <c r="G351" s="210"/>
      <c r="H351" s="210"/>
      <c r="I351" s="210"/>
      <c r="J351" s="210"/>
      <c r="K351" s="210"/>
      <c r="L351" s="210"/>
      <c r="M351" s="210"/>
      <c r="N351" s="210"/>
      <c r="O351" s="210"/>
      <c r="P351" s="210"/>
      <c r="Q351" s="210"/>
      <c r="R351" s="210"/>
      <c r="S351" s="210"/>
      <c r="T351" s="210"/>
      <c r="U351" s="210"/>
      <c r="V351" s="210"/>
      <c r="W351" s="210"/>
      <c r="X351" s="210"/>
      <c r="Y351" s="210"/>
      <c r="Z351" s="210"/>
      <c r="AA351" s="210"/>
      <c r="AB351" s="210"/>
      <c r="AC351" s="210"/>
      <c r="AD351" s="210"/>
      <c r="AE351" s="210"/>
      <c r="AF351" s="210"/>
      <c r="AG351" s="210"/>
      <c r="AH351" s="210"/>
      <c r="AI351" s="210"/>
      <c r="AJ351" s="210"/>
      <c r="AK351" s="210"/>
      <c r="AL351" s="210"/>
      <c r="AM351" s="210"/>
      <c r="AN351" s="210"/>
      <c r="AO351" s="210"/>
      <c r="AP351" s="210"/>
      <c r="AQ351" s="210"/>
      <c r="AR351" s="210"/>
      <c r="AS351" s="210"/>
      <c r="AT351" s="210"/>
      <c r="AU351" s="210"/>
      <c r="AV351" s="210"/>
      <c r="AW351" s="210"/>
      <c r="AX351" s="210"/>
      <c r="AY351" s="210"/>
      <c r="AZ351" s="210"/>
      <c r="BA351" s="210"/>
      <c r="BB351" s="210"/>
      <c r="BC351" s="210"/>
      <c r="BD351" s="210"/>
      <c r="BE351" s="210"/>
      <c r="BF351" s="210"/>
      <c r="BG351" s="210"/>
      <c r="BH351" s="210"/>
      <c r="BI351" s="210"/>
      <c r="BJ351" s="210"/>
    </row>
    <row r="352" spans="1:62" ht="15" x14ac:dyDescent="0.2">
      <c r="A352" s="210"/>
      <c r="B352" s="210"/>
      <c r="C352" s="210"/>
      <c r="D352" s="210"/>
      <c r="E352" s="210"/>
      <c r="F352" s="210"/>
      <c r="G352" s="210"/>
      <c r="H352" s="210"/>
      <c r="I352" s="210"/>
      <c r="J352" s="210"/>
      <c r="K352" s="210"/>
      <c r="L352" s="210"/>
      <c r="M352" s="210"/>
      <c r="N352" s="210"/>
      <c r="O352" s="210"/>
      <c r="P352" s="210"/>
      <c r="Q352" s="210"/>
      <c r="R352" s="210"/>
      <c r="S352" s="210"/>
      <c r="T352" s="210"/>
      <c r="U352" s="210"/>
      <c r="V352" s="210"/>
      <c r="W352" s="210"/>
      <c r="X352" s="210"/>
      <c r="Y352" s="210"/>
      <c r="Z352" s="210"/>
      <c r="AA352" s="210"/>
      <c r="AB352" s="210"/>
      <c r="AC352" s="210"/>
      <c r="AD352" s="210"/>
      <c r="AE352" s="210"/>
      <c r="AF352" s="210"/>
      <c r="AG352" s="210"/>
      <c r="AH352" s="210"/>
      <c r="AI352" s="210"/>
      <c r="AJ352" s="210"/>
      <c r="AK352" s="210"/>
      <c r="AL352" s="210"/>
      <c r="AM352" s="210"/>
      <c r="AN352" s="210"/>
      <c r="AO352" s="210"/>
      <c r="AP352" s="210"/>
      <c r="AQ352" s="210"/>
      <c r="AR352" s="210"/>
      <c r="AS352" s="210"/>
      <c r="AT352" s="210"/>
      <c r="AU352" s="210"/>
      <c r="AV352" s="210"/>
      <c r="AW352" s="210"/>
      <c r="AX352" s="210"/>
      <c r="AY352" s="210"/>
      <c r="AZ352" s="210"/>
      <c r="BA352" s="210"/>
      <c r="BB352" s="210"/>
      <c r="BC352" s="210"/>
      <c r="BD352" s="210"/>
      <c r="BE352" s="210"/>
      <c r="BF352" s="210"/>
      <c r="BG352" s="210"/>
      <c r="BH352" s="210"/>
      <c r="BI352" s="210"/>
      <c r="BJ352" s="210"/>
    </row>
    <row r="353" spans="1:62" ht="15" x14ac:dyDescent="0.2">
      <c r="A353" s="210"/>
      <c r="B353" s="210"/>
      <c r="C353" s="210"/>
      <c r="D353" s="210"/>
      <c r="E353" s="210"/>
      <c r="F353" s="210"/>
      <c r="G353" s="210"/>
      <c r="H353" s="210"/>
      <c r="I353" s="210"/>
      <c r="J353" s="210"/>
      <c r="K353" s="210"/>
      <c r="L353" s="210"/>
      <c r="M353" s="210"/>
      <c r="N353" s="210"/>
      <c r="O353" s="210"/>
      <c r="P353" s="210"/>
      <c r="Q353" s="210"/>
      <c r="R353" s="210"/>
      <c r="S353" s="210"/>
      <c r="T353" s="210"/>
      <c r="U353" s="210"/>
      <c r="V353" s="210"/>
      <c r="W353" s="210"/>
      <c r="X353" s="210"/>
      <c r="Y353" s="210"/>
      <c r="Z353" s="210"/>
      <c r="AA353" s="210"/>
      <c r="AB353" s="210"/>
      <c r="AC353" s="210"/>
      <c r="AD353" s="210"/>
      <c r="AE353" s="210"/>
      <c r="AF353" s="210"/>
      <c r="AG353" s="210"/>
      <c r="AH353" s="210"/>
      <c r="AI353" s="210"/>
      <c r="AJ353" s="210"/>
      <c r="AK353" s="210"/>
      <c r="AL353" s="210"/>
      <c r="AM353" s="210"/>
      <c r="AN353" s="210"/>
      <c r="AO353" s="210"/>
      <c r="AP353" s="210"/>
      <c r="AQ353" s="210"/>
      <c r="AR353" s="210"/>
      <c r="AS353" s="210"/>
      <c r="AT353" s="210"/>
      <c r="AU353" s="210"/>
      <c r="AV353" s="210"/>
      <c r="AW353" s="210"/>
      <c r="AX353" s="210"/>
      <c r="AY353" s="210"/>
      <c r="AZ353" s="210"/>
      <c r="BA353" s="210"/>
      <c r="BB353" s="210"/>
      <c r="BC353" s="210"/>
      <c r="BD353" s="210"/>
      <c r="BE353" s="210"/>
      <c r="BF353" s="210"/>
      <c r="BG353" s="210"/>
      <c r="BH353" s="210"/>
      <c r="BI353" s="210"/>
      <c r="BJ353" s="210"/>
    </row>
    <row r="354" spans="1:62" ht="15" x14ac:dyDescent="0.2">
      <c r="A354" s="210"/>
      <c r="B354" s="210"/>
      <c r="C354" s="210"/>
      <c r="D354" s="210"/>
      <c r="E354" s="210"/>
      <c r="F354" s="210"/>
      <c r="G354" s="210"/>
      <c r="H354" s="210"/>
      <c r="I354" s="210"/>
      <c r="J354" s="210"/>
      <c r="K354" s="210"/>
      <c r="L354" s="210"/>
      <c r="M354" s="210"/>
      <c r="N354" s="210"/>
      <c r="O354" s="210"/>
      <c r="P354" s="210"/>
      <c r="Q354" s="210"/>
      <c r="R354" s="210"/>
      <c r="S354" s="210"/>
      <c r="T354" s="210"/>
      <c r="U354" s="210"/>
      <c r="V354" s="210"/>
      <c r="W354" s="210"/>
      <c r="X354" s="210"/>
      <c r="Y354" s="210"/>
      <c r="Z354" s="210"/>
      <c r="AA354" s="210"/>
      <c r="AB354" s="210"/>
      <c r="AC354" s="210"/>
      <c r="AD354" s="210"/>
      <c r="AE354" s="210"/>
      <c r="AF354" s="210"/>
      <c r="AG354" s="210"/>
      <c r="AH354" s="210"/>
      <c r="AI354" s="210"/>
      <c r="AJ354" s="210"/>
      <c r="AK354" s="210"/>
      <c r="AL354" s="210"/>
      <c r="AM354" s="210"/>
      <c r="AN354" s="210"/>
      <c r="AO354" s="210"/>
      <c r="AP354" s="210"/>
      <c r="AQ354" s="210"/>
      <c r="AR354" s="210"/>
      <c r="AS354" s="210"/>
      <c r="AT354" s="210"/>
      <c r="AU354" s="210"/>
      <c r="AV354" s="210"/>
      <c r="AW354" s="210"/>
      <c r="AX354" s="210"/>
      <c r="AY354" s="210"/>
      <c r="AZ354" s="210"/>
      <c r="BA354" s="210"/>
      <c r="BB354" s="210"/>
      <c r="BC354" s="210"/>
      <c r="BD354" s="210"/>
      <c r="BE354" s="210"/>
      <c r="BF354" s="210"/>
      <c r="BG354" s="210"/>
      <c r="BH354" s="210"/>
      <c r="BI354" s="210"/>
      <c r="BJ354" s="210"/>
    </row>
    <row r="355" spans="1:62" ht="15" x14ac:dyDescent="0.2">
      <c r="A355" s="210"/>
      <c r="B355" s="210"/>
      <c r="C355" s="210"/>
      <c r="D355" s="210"/>
      <c r="E355" s="210"/>
      <c r="F355" s="210"/>
      <c r="G355" s="210"/>
      <c r="H355" s="210"/>
      <c r="I355" s="210"/>
      <c r="J355" s="210"/>
      <c r="K355" s="210"/>
      <c r="L355" s="210"/>
      <c r="M355" s="210"/>
      <c r="N355" s="210"/>
      <c r="O355" s="210"/>
      <c r="P355" s="210"/>
      <c r="Q355" s="210"/>
      <c r="R355" s="210"/>
      <c r="S355" s="210"/>
      <c r="T355" s="210"/>
      <c r="U355" s="210"/>
      <c r="V355" s="210"/>
      <c r="W355" s="210"/>
      <c r="X355" s="210"/>
      <c r="Y355" s="210"/>
      <c r="Z355" s="210"/>
      <c r="AA355" s="210"/>
      <c r="AB355" s="210"/>
      <c r="AC355" s="210"/>
      <c r="AD355" s="210"/>
      <c r="AE355" s="210"/>
      <c r="AF355" s="210"/>
      <c r="AG355" s="210"/>
      <c r="AH355" s="210"/>
      <c r="AI355" s="210"/>
      <c r="AJ355" s="210"/>
      <c r="AK355" s="210"/>
      <c r="AL355" s="210"/>
      <c r="AM355" s="210"/>
      <c r="AN355" s="210"/>
      <c r="AO355" s="210"/>
      <c r="AP355" s="210"/>
      <c r="AQ355" s="210"/>
      <c r="AR355" s="210"/>
      <c r="AS355" s="210"/>
      <c r="AT355" s="210"/>
      <c r="AU355" s="210"/>
      <c r="AV355" s="210"/>
      <c r="AW355" s="210"/>
      <c r="AX355" s="210"/>
      <c r="AY355" s="210"/>
      <c r="AZ355" s="210"/>
      <c r="BA355" s="210"/>
      <c r="BB355" s="210"/>
      <c r="BC355" s="210"/>
      <c r="BD355" s="210"/>
      <c r="BE355" s="210"/>
      <c r="BF355" s="210"/>
      <c r="BG355" s="210"/>
      <c r="BH355" s="210"/>
      <c r="BI355" s="210"/>
      <c r="BJ355" s="210"/>
    </row>
    <row r="356" spans="1:62" ht="15" x14ac:dyDescent="0.2">
      <c r="A356" s="210"/>
      <c r="B356" s="210"/>
      <c r="C356" s="210"/>
      <c r="D356" s="210"/>
      <c r="E356" s="210"/>
      <c r="F356" s="210"/>
      <c r="G356" s="210"/>
      <c r="H356" s="210"/>
      <c r="I356" s="210"/>
      <c r="J356" s="210"/>
      <c r="K356" s="210"/>
      <c r="L356" s="210"/>
      <c r="M356" s="210"/>
      <c r="N356" s="210"/>
      <c r="O356" s="210"/>
      <c r="P356" s="210"/>
      <c r="Q356" s="210"/>
      <c r="R356" s="210"/>
      <c r="S356" s="210"/>
      <c r="T356" s="210"/>
      <c r="U356" s="210"/>
      <c r="V356" s="210"/>
      <c r="W356" s="210"/>
      <c r="X356" s="210"/>
      <c r="Y356" s="210"/>
      <c r="Z356" s="210"/>
      <c r="AA356" s="210"/>
      <c r="AB356" s="210"/>
      <c r="AC356" s="210"/>
      <c r="AD356" s="210"/>
      <c r="AE356" s="210"/>
      <c r="AF356" s="210"/>
      <c r="AG356" s="210"/>
      <c r="AH356" s="210"/>
      <c r="AI356" s="210"/>
      <c r="AJ356" s="210"/>
      <c r="AK356" s="210"/>
      <c r="AL356" s="210"/>
      <c r="AM356" s="210"/>
      <c r="AN356" s="210"/>
      <c r="AO356" s="210"/>
      <c r="AP356" s="210"/>
      <c r="AQ356" s="210"/>
      <c r="AR356" s="210"/>
      <c r="AS356" s="210"/>
      <c r="AT356" s="210"/>
      <c r="AU356" s="210"/>
      <c r="AV356" s="210"/>
      <c r="AW356" s="210"/>
      <c r="AX356" s="210"/>
      <c r="AY356" s="210"/>
      <c r="AZ356" s="210"/>
      <c r="BA356" s="210"/>
      <c r="BB356" s="210"/>
      <c r="BC356" s="210"/>
      <c r="BD356" s="210"/>
      <c r="BE356" s="210"/>
      <c r="BF356" s="210"/>
      <c r="BG356" s="210"/>
      <c r="BH356" s="210"/>
      <c r="BI356" s="210"/>
      <c r="BJ356" s="210"/>
    </row>
    <row r="357" spans="1:62" ht="15" x14ac:dyDescent="0.2">
      <c r="A357" s="210"/>
      <c r="B357" s="210"/>
      <c r="C357" s="210"/>
      <c r="D357" s="210"/>
      <c r="E357" s="210"/>
      <c r="F357" s="210"/>
      <c r="G357" s="210"/>
      <c r="H357" s="210"/>
      <c r="I357" s="210"/>
      <c r="J357" s="210"/>
      <c r="K357" s="210"/>
      <c r="L357" s="210"/>
      <c r="M357" s="210"/>
      <c r="N357" s="210"/>
      <c r="O357" s="210"/>
      <c r="P357" s="210"/>
      <c r="Q357" s="210"/>
      <c r="R357" s="210"/>
      <c r="S357" s="210"/>
      <c r="T357" s="210"/>
      <c r="U357" s="210"/>
      <c r="V357" s="210"/>
      <c r="W357" s="210"/>
      <c r="X357" s="210"/>
      <c r="Y357" s="210"/>
      <c r="Z357" s="210"/>
      <c r="AA357" s="210"/>
      <c r="AB357" s="210"/>
      <c r="AC357" s="210"/>
      <c r="AD357" s="210"/>
      <c r="AE357" s="210"/>
      <c r="AF357" s="210"/>
      <c r="AG357" s="210"/>
      <c r="AH357" s="210"/>
      <c r="AI357" s="210"/>
      <c r="AJ357" s="210"/>
      <c r="AK357" s="210"/>
      <c r="AL357" s="210"/>
      <c r="AM357" s="210"/>
      <c r="AN357" s="210"/>
      <c r="AO357" s="210"/>
      <c r="AP357" s="210"/>
      <c r="AQ357" s="210"/>
      <c r="AR357" s="210"/>
      <c r="AS357" s="210"/>
      <c r="AT357" s="210"/>
      <c r="AU357" s="210"/>
      <c r="AV357" s="210"/>
      <c r="AW357" s="210"/>
      <c r="AX357" s="210"/>
      <c r="AY357" s="210"/>
      <c r="AZ357" s="210"/>
      <c r="BA357" s="210"/>
      <c r="BB357" s="210"/>
      <c r="BC357" s="210"/>
      <c r="BD357" s="210"/>
      <c r="BE357" s="210"/>
      <c r="BF357" s="210"/>
      <c r="BG357" s="210"/>
      <c r="BH357" s="210"/>
      <c r="BI357" s="210"/>
      <c r="BJ357" s="210"/>
    </row>
    <row r="358" spans="1:62" ht="15" x14ac:dyDescent="0.2">
      <c r="A358" s="210"/>
      <c r="B358" s="210"/>
      <c r="C358" s="210"/>
      <c r="D358" s="210"/>
      <c r="E358" s="210"/>
      <c r="F358" s="210"/>
      <c r="G358" s="210"/>
      <c r="H358" s="210"/>
      <c r="I358" s="210"/>
      <c r="J358" s="210"/>
      <c r="K358" s="210"/>
      <c r="L358" s="210"/>
      <c r="M358" s="210"/>
      <c r="N358" s="210"/>
      <c r="O358" s="210"/>
      <c r="P358" s="210"/>
      <c r="Q358" s="210"/>
      <c r="R358" s="210"/>
      <c r="S358" s="210"/>
      <c r="T358" s="210"/>
      <c r="U358" s="210"/>
      <c r="V358" s="210"/>
      <c r="W358" s="210"/>
      <c r="X358" s="210"/>
      <c r="Y358" s="210"/>
      <c r="Z358" s="210"/>
      <c r="AA358" s="210"/>
      <c r="AB358" s="210"/>
      <c r="AC358" s="210"/>
      <c r="AD358" s="210"/>
      <c r="AE358" s="210"/>
      <c r="AF358" s="210"/>
      <c r="AG358" s="210"/>
      <c r="AH358" s="210"/>
      <c r="AI358" s="210"/>
      <c r="AJ358" s="210"/>
      <c r="AK358" s="210"/>
      <c r="AL358" s="210"/>
      <c r="AM358" s="210"/>
      <c r="AN358" s="210"/>
      <c r="AO358" s="210"/>
      <c r="AP358" s="210"/>
      <c r="AQ358" s="210"/>
      <c r="AR358" s="210"/>
      <c r="AS358" s="210"/>
      <c r="AT358" s="210"/>
      <c r="AU358" s="210"/>
      <c r="AV358" s="210"/>
      <c r="AW358" s="210"/>
      <c r="AX358" s="210"/>
      <c r="AY358" s="210"/>
      <c r="AZ358" s="210"/>
      <c r="BA358" s="210"/>
      <c r="BB358" s="210"/>
      <c r="BC358" s="210"/>
      <c r="BD358" s="210"/>
      <c r="BE358" s="210"/>
      <c r="BF358" s="210"/>
      <c r="BG358" s="210"/>
      <c r="BH358" s="210"/>
      <c r="BI358" s="210"/>
      <c r="BJ358" s="210"/>
    </row>
    <row r="359" spans="1:62" ht="15" x14ac:dyDescent="0.2">
      <c r="A359" s="210"/>
      <c r="B359" s="210"/>
      <c r="C359" s="210"/>
      <c r="D359" s="210"/>
      <c r="E359" s="210"/>
      <c r="F359" s="210"/>
      <c r="G359" s="210"/>
      <c r="H359" s="210"/>
      <c r="I359" s="210"/>
      <c r="J359" s="210"/>
      <c r="K359" s="210"/>
      <c r="L359" s="210"/>
      <c r="M359" s="210"/>
      <c r="N359" s="210"/>
      <c r="O359" s="210"/>
      <c r="P359" s="210"/>
      <c r="Q359" s="210"/>
      <c r="R359" s="210"/>
      <c r="S359" s="210"/>
      <c r="T359" s="210"/>
      <c r="U359" s="210"/>
      <c r="V359" s="210"/>
      <c r="W359" s="210"/>
      <c r="X359" s="210"/>
      <c r="Y359" s="210"/>
      <c r="Z359" s="210"/>
      <c r="AA359" s="210"/>
      <c r="AB359" s="210"/>
      <c r="AC359" s="210"/>
      <c r="AD359" s="210"/>
      <c r="AE359" s="210"/>
      <c r="AF359" s="210"/>
      <c r="AG359" s="210"/>
      <c r="AH359" s="210"/>
      <c r="AI359" s="210"/>
      <c r="AJ359" s="210"/>
      <c r="AK359" s="210"/>
      <c r="AL359" s="210"/>
      <c r="AM359" s="210"/>
      <c r="AN359" s="210"/>
      <c r="AO359" s="210"/>
      <c r="AP359" s="210"/>
      <c r="AQ359" s="210"/>
      <c r="AR359" s="210"/>
      <c r="AS359" s="210"/>
      <c r="AT359" s="210"/>
      <c r="AU359" s="210"/>
      <c r="AV359" s="210"/>
      <c r="AW359" s="210"/>
      <c r="AX359" s="210"/>
      <c r="AY359" s="210"/>
      <c r="AZ359" s="210"/>
      <c r="BA359" s="210"/>
      <c r="BB359" s="210"/>
      <c r="BC359" s="210"/>
      <c r="BD359" s="210"/>
      <c r="BE359" s="210"/>
      <c r="BF359" s="210"/>
      <c r="BG359" s="210"/>
      <c r="BH359" s="210"/>
      <c r="BI359" s="210"/>
      <c r="BJ359" s="210"/>
    </row>
    <row r="360" spans="1:62" ht="15" x14ac:dyDescent="0.2">
      <c r="A360" s="210"/>
      <c r="B360" s="210"/>
      <c r="C360" s="210"/>
      <c r="D360" s="210"/>
      <c r="E360" s="210"/>
      <c r="F360" s="210"/>
      <c r="G360" s="210"/>
      <c r="H360" s="210"/>
      <c r="I360" s="210"/>
      <c r="J360" s="210"/>
      <c r="K360" s="210"/>
      <c r="L360" s="210"/>
      <c r="M360" s="210"/>
      <c r="N360" s="210"/>
      <c r="O360" s="210"/>
      <c r="P360" s="210"/>
      <c r="Q360" s="210"/>
      <c r="R360" s="210"/>
      <c r="S360" s="210"/>
      <c r="T360" s="210"/>
      <c r="U360" s="210"/>
      <c r="V360" s="210"/>
      <c r="W360" s="210"/>
      <c r="X360" s="210"/>
      <c r="Y360" s="210"/>
      <c r="Z360" s="210"/>
      <c r="AA360" s="210"/>
      <c r="AB360" s="210"/>
      <c r="AC360" s="210"/>
      <c r="AD360" s="210"/>
      <c r="AE360" s="210"/>
      <c r="AF360" s="210"/>
      <c r="AG360" s="210"/>
      <c r="AH360" s="210"/>
      <c r="AI360" s="210"/>
      <c r="AJ360" s="210"/>
      <c r="AK360" s="210"/>
      <c r="AL360" s="210"/>
      <c r="AM360" s="210"/>
      <c r="AN360" s="210"/>
      <c r="AO360" s="210"/>
      <c r="AP360" s="210"/>
      <c r="AQ360" s="210"/>
      <c r="AR360" s="210"/>
      <c r="AS360" s="210"/>
      <c r="AT360" s="210"/>
      <c r="AU360" s="210"/>
      <c r="AV360" s="210"/>
      <c r="AW360" s="210"/>
      <c r="AX360" s="210"/>
      <c r="AY360" s="210"/>
      <c r="AZ360" s="210"/>
      <c r="BA360" s="210"/>
      <c r="BB360" s="210"/>
      <c r="BC360" s="210"/>
      <c r="BD360" s="210"/>
      <c r="BE360" s="210"/>
      <c r="BF360" s="210"/>
      <c r="BG360" s="210"/>
      <c r="BH360" s="210"/>
      <c r="BI360" s="210"/>
      <c r="BJ360" s="210"/>
    </row>
    <row r="361" spans="1:62" ht="15" x14ac:dyDescent="0.2">
      <c r="A361" s="210"/>
      <c r="B361" s="210"/>
      <c r="C361" s="210"/>
      <c r="D361" s="210"/>
      <c r="E361" s="210"/>
      <c r="F361" s="210"/>
      <c r="G361" s="210"/>
      <c r="H361" s="210"/>
      <c r="I361" s="210"/>
      <c r="J361" s="210"/>
      <c r="K361" s="210"/>
      <c r="L361" s="210"/>
      <c r="M361" s="210"/>
      <c r="N361" s="210"/>
      <c r="O361" s="210"/>
      <c r="P361" s="210"/>
      <c r="Q361" s="210"/>
      <c r="R361" s="210"/>
      <c r="S361" s="210"/>
      <c r="T361" s="210"/>
      <c r="U361" s="210"/>
      <c r="V361" s="210"/>
      <c r="W361" s="210"/>
      <c r="X361" s="210"/>
      <c r="Y361" s="210"/>
      <c r="Z361" s="210"/>
      <c r="AA361" s="210"/>
      <c r="AB361" s="210"/>
      <c r="AC361" s="210"/>
      <c r="AD361" s="210"/>
      <c r="AE361" s="210"/>
      <c r="AF361" s="210"/>
      <c r="AG361" s="210"/>
      <c r="AH361" s="210"/>
      <c r="AI361" s="210"/>
      <c r="AJ361" s="210"/>
      <c r="AK361" s="210"/>
      <c r="AL361" s="210"/>
      <c r="AM361" s="210"/>
      <c r="AN361" s="210"/>
      <c r="AO361" s="210"/>
      <c r="AP361" s="210"/>
      <c r="AQ361" s="210"/>
      <c r="AR361" s="210"/>
      <c r="AS361" s="210"/>
      <c r="AT361" s="210"/>
      <c r="AU361" s="210"/>
      <c r="AV361" s="210"/>
      <c r="AW361" s="210"/>
      <c r="AX361" s="210"/>
      <c r="AY361" s="210"/>
      <c r="AZ361" s="210"/>
      <c r="BA361" s="210"/>
      <c r="BB361" s="210"/>
      <c r="BC361" s="210"/>
      <c r="BD361" s="210"/>
      <c r="BE361" s="210"/>
      <c r="BF361" s="210"/>
      <c r="BG361" s="210"/>
      <c r="BH361" s="210"/>
      <c r="BI361" s="210"/>
      <c r="BJ361" s="210"/>
    </row>
    <row r="362" spans="1:62" ht="15" x14ac:dyDescent="0.2">
      <c r="A362" s="210"/>
      <c r="B362" s="210"/>
      <c r="C362" s="210"/>
      <c r="D362" s="210"/>
      <c r="E362" s="210"/>
      <c r="F362" s="210"/>
      <c r="G362" s="210"/>
      <c r="H362" s="210"/>
      <c r="I362" s="210"/>
      <c r="J362" s="210"/>
      <c r="K362" s="210"/>
      <c r="L362" s="210"/>
      <c r="M362" s="210"/>
      <c r="N362" s="210"/>
      <c r="O362" s="210"/>
      <c r="P362" s="210"/>
      <c r="Q362" s="210"/>
      <c r="R362" s="210"/>
      <c r="S362" s="210"/>
      <c r="T362" s="210"/>
      <c r="U362" s="210"/>
      <c r="V362" s="210"/>
      <c r="W362" s="210"/>
      <c r="X362" s="210"/>
      <c r="Y362" s="210"/>
      <c r="Z362" s="210"/>
      <c r="AA362" s="210"/>
      <c r="AB362" s="210"/>
      <c r="AC362" s="210"/>
      <c r="AD362" s="210"/>
      <c r="AE362" s="210"/>
      <c r="AF362" s="210"/>
      <c r="AG362" s="210"/>
      <c r="AH362" s="210"/>
      <c r="AI362" s="210"/>
      <c r="AJ362" s="210"/>
      <c r="AK362" s="210"/>
      <c r="AL362" s="210"/>
      <c r="AM362" s="210"/>
      <c r="AN362" s="210"/>
      <c r="AO362" s="210"/>
      <c r="AP362" s="210"/>
      <c r="AQ362" s="210"/>
      <c r="AR362" s="210"/>
      <c r="AS362" s="210"/>
      <c r="AT362" s="210"/>
      <c r="AU362" s="210"/>
      <c r="AV362" s="210"/>
      <c r="AW362" s="210"/>
      <c r="AX362" s="210"/>
      <c r="AY362" s="210"/>
      <c r="AZ362" s="210"/>
      <c r="BA362" s="210"/>
      <c r="BB362" s="210"/>
      <c r="BC362" s="210"/>
      <c r="BD362" s="210"/>
      <c r="BE362" s="210"/>
      <c r="BF362" s="210"/>
      <c r="BG362" s="210"/>
      <c r="BH362" s="210"/>
      <c r="BI362" s="210"/>
      <c r="BJ362" s="210"/>
    </row>
    <row r="363" spans="1:62" ht="15" x14ac:dyDescent="0.2">
      <c r="A363" s="210"/>
      <c r="B363" s="210"/>
      <c r="C363" s="210"/>
      <c r="D363" s="210"/>
      <c r="E363" s="210"/>
      <c r="F363" s="210"/>
      <c r="G363" s="210"/>
      <c r="H363" s="210"/>
      <c r="I363" s="210"/>
      <c r="J363" s="210"/>
      <c r="K363" s="210"/>
      <c r="L363" s="210"/>
      <c r="M363" s="210"/>
      <c r="N363" s="210"/>
      <c r="O363" s="210"/>
      <c r="P363" s="210"/>
      <c r="Q363" s="210"/>
      <c r="R363" s="210"/>
      <c r="S363" s="210"/>
      <c r="T363" s="210"/>
      <c r="U363" s="210"/>
      <c r="V363" s="210"/>
      <c r="W363" s="210"/>
      <c r="X363" s="210"/>
      <c r="Y363" s="210"/>
      <c r="Z363" s="210"/>
      <c r="AA363" s="210"/>
      <c r="AB363" s="210"/>
      <c r="AC363" s="210"/>
      <c r="AD363" s="210"/>
      <c r="AE363" s="210"/>
      <c r="AF363" s="210"/>
      <c r="AG363" s="210"/>
      <c r="AH363" s="210"/>
      <c r="AI363" s="210"/>
      <c r="AJ363" s="210"/>
      <c r="AK363" s="210"/>
      <c r="AL363" s="210"/>
      <c r="AM363" s="210"/>
      <c r="AN363" s="210"/>
      <c r="AO363" s="210"/>
      <c r="AP363" s="210"/>
      <c r="AQ363" s="210"/>
      <c r="AR363" s="210"/>
      <c r="AS363" s="210"/>
      <c r="AT363" s="210"/>
      <c r="AU363" s="210"/>
      <c r="AV363" s="210"/>
      <c r="AW363" s="210"/>
      <c r="AX363" s="210"/>
      <c r="AY363" s="210"/>
      <c r="AZ363" s="210"/>
      <c r="BA363" s="210"/>
      <c r="BB363" s="210"/>
      <c r="BC363" s="210"/>
      <c r="BD363" s="210"/>
      <c r="BE363" s="210"/>
      <c r="BF363" s="210"/>
      <c r="BG363" s="210"/>
      <c r="BH363" s="210"/>
      <c r="BI363" s="210"/>
      <c r="BJ363" s="210"/>
    </row>
    <row r="364" spans="1:62" ht="15" x14ac:dyDescent="0.2">
      <c r="A364" s="210"/>
      <c r="B364" s="210"/>
      <c r="C364" s="210"/>
      <c r="D364" s="210"/>
      <c r="E364" s="210"/>
      <c r="F364" s="210"/>
      <c r="G364" s="210"/>
      <c r="H364" s="210"/>
      <c r="I364" s="210"/>
      <c r="J364" s="210"/>
      <c r="K364" s="210"/>
      <c r="L364" s="210"/>
      <c r="M364" s="210"/>
      <c r="N364" s="210"/>
      <c r="O364" s="210"/>
      <c r="P364" s="210"/>
      <c r="Q364" s="210"/>
      <c r="R364" s="210"/>
      <c r="S364" s="210"/>
      <c r="T364" s="210"/>
      <c r="U364" s="210"/>
      <c r="V364" s="210"/>
      <c r="W364" s="210"/>
      <c r="X364" s="210"/>
      <c r="Y364" s="210"/>
      <c r="Z364" s="210"/>
      <c r="AA364" s="210"/>
      <c r="AB364" s="210"/>
      <c r="AC364" s="210"/>
      <c r="AD364" s="210"/>
      <c r="AE364" s="210"/>
      <c r="AF364" s="210"/>
      <c r="AG364" s="210"/>
      <c r="AH364" s="210"/>
      <c r="AI364" s="210"/>
      <c r="AJ364" s="210"/>
      <c r="AK364" s="210"/>
      <c r="AL364" s="210"/>
      <c r="AM364" s="210"/>
      <c r="AN364" s="210"/>
      <c r="AO364" s="210"/>
      <c r="AP364" s="210"/>
      <c r="AQ364" s="210"/>
      <c r="AR364" s="210"/>
      <c r="AS364" s="210"/>
      <c r="AT364" s="210"/>
      <c r="AU364" s="210"/>
      <c r="AV364" s="210"/>
      <c r="AW364" s="210"/>
      <c r="AX364" s="210"/>
      <c r="AY364" s="210"/>
      <c r="AZ364" s="210"/>
      <c r="BA364" s="210"/>
      <c r="BB364" s="210"/>
      <c r="BC364" s="210"/>
      <c r="BD364" s="210"/>
      <c r="BE364" s="210"/>
      <c r="BF364" s="210"/>
      <c r="BG364" s="210"/>
      <c r="BH364" s="210"/>
      <c r="BI364" s="210"/>
      <c r="BJ364" s="210"/>
    </row>
    <row r="365" spans="1:62" ht="15" x14ac:dyDescent="0.2">
      <c r="A365" s="210"/>
      <c r="B365" s="210"/>
      <c r="C365" s="210"/>
      <c r="D365" s="210"/>
      <c r="E365" s="210"/>
      <c r="F365" s="210"/>
      <c r="G365" s="210"/>
      <c r="H365" s="210"/>
      <c r="I365" s="210"/>
      <c r="J365" s="210"/>
      <c r="K365" s="210"/>
      <c r="L365" s="210"/>
      <c r="M365" s="210"/>
      <c r="N365" s="210"/>
      <c r="O365" s="210"/>
      <c r="P365" s="210"/>
      <c r="Q365" s="210"/>
      <c r="R365" s="210"/>
      <c r="S365" s="210"/>
      <c r="T365" s="210"/>
      <c r="U365" s="210"/>
      <c r="V365" s="210"/>
      <c r="W365" s="210"/>
      <c r="X365" s="210"/>
      <c r="Y365" s="210"/>
      <c r="Z365" s="210"/>
      <c r="AA365" s="210"/>
      <c r="AB365" s="210"/>
      <c r="AC365" s="210"/>
      <c r="AD365" s="210"/>
      <c r="AE365" s="210"/>
      <c r="AF365" s="210"/>
      <c r="AG365" s="210"/>
      <c r="AH365" s="210"/>
      <c r="AI365" s="210"/>
      <c r="AJ365" s="210"/>
      <c r="AK365" s="210"/>
      <c r="AL365" s="210"/>
      <c r="AM365" s="210"/>
      <c r="AN365" s="210"/>
      <c r="AO365" s="210"/>
      <c r="AP365" s="210"/>
      <c r="AQ365" s="210"/>
      <c r="AR365" s="210"/>
      <c r="AS365" s="210"/>
      <c r="AT365" s="210"/>
      <c r="AU365" s="210"/>
      <c r="AV365" s="210"/>
      <c r="AW365" s="210"/>
      <c r="AX365" s="210"/>
      <c r="AY365" s="210"/>
      <c r="AZ365" s="210"/>
      <c r="BA365" s="210"/>
      <c r="BB365" s="210"/>
      <c r="BC365" s="210"/>
      <c r="BD365" s="210"/>
      <c r="BE365" s="210"/>
      <c r="BF365" s="210"/>
      <c r="BG365" s="210"/>
      <c r="BH365" s="210"/>
      <c r="BI365" s="210"/>
      <c r="BJ365" s="210"/>
    </row>
    <row r="366" spans="1:62" ht="15" x14ac:dyDescent="0.2">
      <c r="A366" s="210"/>
      <c r="B366" s="210"/>
      <c r="C366" s="210"/>
      <c r="D366" s="210"/>
      <c r="E366" s="210"/>
      <c r="F366" s="210"/>
      <c r="G366" s="210"/>
      <c r="H366" s="210"/>
      <c r="I366" s="210"/>
      <c r="J366" s="210"/>
      <c r="K366" s="210"/>
      <c r="L366" s="210"/>
      <c r="M366" s="210"/>
      <c r="N366" s="210"/>
      <c r="O366" s="210"/>
      <c r="P366" s="210"/>
      <c r="Q366" s="210"/>
      <c r="R366" s="210"/>
      <c r="S366" s="210"/>
      <c r="T366" s="210"/>
      <c r="U366" s="210"/>
      <c r="V366" s="210"/>
      <c r="W366" s="210"/>
      <c r="X366" s="210"/>
      <c r="Y366" s="210"/>
      <c r="Z366" s="210"/>
      <c r="AA366" s="210"/>
      <c r="AB366" s="210"/>
      <c r="AC366" s="210"/>
      <c r="AD366" s="210"/>
      <c r="AE366" s="210"/>
      <c r="AF366" s="210"/>
      <c r="AG366" s="210"/>
      <c r="AH366" s="210"/>
      <c r="AI366" s="210"/>
      <c r="AJ366" s="210"/>
      <c r="AK366" s="210"/>
      <c r="AL366" s="210"/>
      <c r="AM366" s="210"/>
      <c r="AN366" s="210"/>
      <c r="AO366" s="210"/>
      <c r="AP366" s="210"/>
      <c r="AQ366" s="210"/>
      <c r="AR366" s="210"/>
      <c r="AS366" s="210"/>
      <c r="AT366" s="210"/>
      <c r="AU366" s="210"/>
      <c r="AV366" s="210"/>
      <c r="AW366" s="210"/>
      <c r="AX366" s="210"/>
      <c r="AY366" s="210"/>
      <c r="AZ366" s="210"/>
      <c r="BA366" s="210"/>
      <c r="BB366" s="210"/>
      <c r="BC366" s="210"/>
      <c r="BD366" s="210"/>
      <c r="BE366" s="210"/>
      <c r="BF366" s="210"/>
      <c r="BG366" s="210"/>
      <c r="BH366" s="210"/>
      <c r="BI366" s="210"/>
      <c r="BJ366" s="210"/>
    </row>
    <row r="367" spans="1:62" ht="15" x14ac:dyDescent="0.2">
      <c r="A367" s="210"/>
      <c r="B367" s="210"/>
      <c r="C367" s="210"/>
      <c r="D367" s="210"/>
      <c r="E367" s="210"/>
      <c r="F367" s="210"/>
      <c r="G367" s="210"/>
      <c r="H367" s="210"/>
      <c r="I367" s="210"/>
      <c r="J367" s="210"/>
      <c r="K367" s="210"/>
      <c r="L367" s="210"/>
      <c r="M367" s="210"/>
      <c r="N367" s="210"/>
      <c r="O367" s="210"/>
      <c r="P367" s="210"/>
      <c r="Q367" s="210"/>
      <c r="R367" s="210"/>
      <c r="S367" s="210"/>
      <c r="T367" s="210"/>
      <c r="U367" s="210"/>
      <c r="V367" s="210"/>
      <c r="W367" s="210"/>
      <c r="X367" s="210"/>
      <c r="Y367" s="210"/>
      <c r="Z367" s="210"/>
      <c r="AA367" s="210"/>
      <c r="AB367" s="210"/>
      <c r="AC367" s="210"/>
      <c r="AD367" s="210"/>
      <c r="AE367" s="210"/>
      <c r="AF367" s="210"/>
      <c r="AG367" s="210"/>
      <c r="AH367" s="210"/>
      <c r="AI367" s="210"/>
      <c r="AJ367" s="210"/>
      <c r="AK367" s="210"/>
      <c r="AL367" s="210"/>
      <c r="AM367" s="210"/>
      <c r="AN367" s="210"/>
      <c r="AO367" s="210"/>
      <c r="AP367" s="210"/>
      <c r="AQ367" s="210"/>
      <c r="AR367" s="210"/>
      <c r="AS367" s="210"/>
      <c r="AT367" s="210"/>
      <c r="AU367" s="210"/>
      <c r="AV367" s="210"/>
      <c r="AW367" s="210"/>
      <c r="AX367" s="210"/>
      <c r="AY367" s="210"/>
      <c r="AZ367" s="210"/>
      <c r="BA367" s="210"/>
      <c r="BB367" s="210"/>
      <c r="BC367" s="210"/>
      <c r="BD367" s="210"/>
      <c r="BE367" s="210"/>
      <c r="BF367" s="210"/>
      <c r="BG367" s="210"/>
      <c r="BH367" s="210"/>
      <c r="BI367" s="210"/>
      <c r="BJ367" s="210"/>
    </row>
    <row r="368" spans="1:62" ht="15" x14ac:dyDescent="0.2">
      <c r="A368" s="210"/>
      <c r="B368" s="210"/>
      <c r="C368" s="210"/>
      <c r="D368" s="210"/>
      <c r="E368" s="210"/>
      <c r="F368" s="210"/>
      <c r="G368" s="210"/>
      <c r="H368" s="210"/>
      <c r="I368" s="210"/>
      <c r="J368" s="210"/>
      <c r="K368" s="210"/>
      <c r="L368" s="210"/>
      <c r="M368" s="210"/>
      <c r="N368" s="210"/>
      <c r="O368" s="210"/>
      <c r="P368" s="210"/>
      <c r="Q368" s="210"/>
      <c r="R368" s="210"/>
      <c r="S368" s="210"/>
      <c r="T368" s="210"/>
      <c r="U368" s="210"/>
      <c r="V368" s="210"/>
      <c r="W368" s="210"/>
      <c r="X368" s="210"/>
      <c r="Y368" s="210"/>
      <c r="Z368" s="210"/>
      <c r="AA368" s="210"/>
      <c r="AB368" s="210"/>
      <c r="AC368" s="210"/>
      <c r="AD368" s="210"/>
      <c r="AE368" s="210"/>
      <c r="AF368" s="210"/>
      <c r="AG368" s="210"/>
      <c r="AH368" s="210"/>
      <c r="AI368" s="210"/>
      <c r="AJ368" s="210"/>
      <c r="AK368" s="210"/>
      <c r="AL368" s="210"/>
      <c r="AM368" s="210"/>
      <c r="AN368" s="210"/>
      <c r="AO368" s="210"/>
      <c r="AP368" s="210"/>
      <c r="AQ368" s="210"/>
      <c r="AR368" s="210"/>
      <c r="AS368" s="210"/>
      <c r="AT368" s="210"/>
      <c r="AU368" s="210"/>
      <c r="AV368" s="210"/>
      <c r="AW368" s="210"/>
      <c r="AX368" s="210"/>
      <c r="AY368" s="210"/>
      <c r="AZ368" s="210"/>
      <c r="BA368" s="210"/>
      <c r="BB368" s="210"/>
      <c r="BC368" s="210"/>
      <c r="BD368" s="210"/>
      <c r="BE368" s="210"/>
      <c r="BF368" s="210"/>
      <c r="BG368" s="210"/>
      <c r="BH368" s="210"/>
      <c r="BI368" s="210"/>
      <c r="BJ368" s="210"/>
    </row>
    <row r="369" spans="1:62" ht="15" x14ac:dyDescent="0.2">
      <c r="A369" s="210"/>
      <c r="B369" s="210"/>
      <c r="C369" s="210"/>
      <c r="D369" s="210"/>
      <c r="E369" s="210"/>
      <c r="F369" s="210"/>
      <c r="G369" s="210"/>
      <c r="H369" s="210"/>
      <c r="I369" s="210"/>
      <c r="J369" s="210"/>
      <c r="K369" s="210"/>
      <c r="L369" s="210"/>
      <c r="M369" s="210"/>
      <c r="N369" s="210"/>
      <c r="O369" s="210"/>
      <c r="P369" s="210"/>
      <c r="Q369" s="210"/>
      <c r="R369" s="210"/>
      <c r="S369" s="210"/>
      <c r="T369" s="210"/>
      <c r="U369" s="210"/>
      <c r="V369" s="210"/>
      <c r="W369" s="210"/>
      <c r="X369" s="210"/>
      <c r="Y369" s="210"/>
      <c r="Z369" s="210"/>
      <c r="AA369" s="210"/>
      <c r="AB369" s="210"/>
      <c r="AC369" s="210"/>
      <c r="AD369" s="210"/>
      <c r="AE369" s="210"/>
      <c r="AF369" s="210"/>
      <c r="AG369" s="210"/>
      <c r="AH369" s="210"/>
      <c r="AI369" s="210"/>
      <c r="AJ369" s="210"/>
      <c r="AK369" s="210"/>
      <c r="AL369" s="210"/>
      <c r="AM369" s="210"/>
      <c r="AN369" s="210"/>
      <c r="AO369" s="210"/>
      <c r="AP369" s="210"/>
      <c r="AQ369" s="210"/>
      <c r="AR369" s="210"/>
      <c r="AS369" s="210"/>
      <c r="AT369" s="210"/>
      <c r="AU369" s="210"/>
      <c r="AV369" s="210"/>
      <c r="AW369" s="210"/>
      <c r="AX369" s="210"/>
      <c r="AY369" s="210"/>
      <c r="AZ369" s="210"/>
      <c r="BA369" s="210"/>
      <c r="BB369" s="210"/>
      <c r="BC369" s="210"/>
      <c r="BD369" s="210"/>
      <c r="BE369" s="210"/>
      <c r="BF369" s="210"/>
      <c r="BG369" s="210"/>
      <c r="BH369" s="210"/>
      <c r="BI369" s="210"/>
      <c r="BJ369" s="210"/>
    </row>
    <row r="370" spans="1:62" ht="15" x14ac:dyDescent="0.2">
      <c r="A370" s="210"/>
      <c r="B370" s="210"/>
      <c r="C370" s="210"/>
      <c r="D370" s="210"/>
      <c r="E370" s="210"/>
      <c r="F370" s="210"/>
      <c r="G370" s="210"/>
      <c r="H370" s="210"/>
      <c r="I370" s="210"/>
      <c r="J370" s="210"/>
      <c r="K370" s="210"/>
      <c r="L370" s="210"/>
      <c r="M370" s="210"/>
      <c r="N370" s="210"/>
      <c r="O370" s="210"/>
      <c r="P370" s="210"/>
      <c r="Q370" s="210"/>
      <c r="R370" s="210"/>
      <c r="S370" s="210"/>
      <c r="T370" s="210"/>
      <c r="U370" s="210"/>
      <c r="V370" s="210"/>
      <c r="W370" s="210"/>
      <c r="X370" s="210"/>
      <c r="Y370" s="210"/>
      <c r="Z370" s="210"/>
      <c r="AA370" s="210"/>
      <c r="AB370" s="210"/>
      <c r="AC370" s="210"/>
      <c r="AD370" s="210"/>
      <c r="AE370" s="210"/>
      <c r="AF370" s="210"/>
      <c r="AG370" s="210"/>
      <c r="AH370" s="210"/>
      <c r="AI370" s="210"/>
      <c r="AJ370" s="210"/>
      <c r="AK370" s="210"/>
      <c r="AL370" s="210"/>
      <c r="AM370" s="210"/>
      <c r="AN370" s="210"/>
      <c r="AO370" s="210"/>
      <c r="AP370" s="210"/>
      <c r="AQ370" s="210"/>
      <c r="AR370" s="210"/>
      <c r="AS370" s="210"/>
      <c r="AT370" s="210"/>
      <c r="AU370" s="210"/>
      <c r="AV370" s="210"/>
      <c r="AW370" s="210"/>
      <c r="AX370" s="210"/>
      <c r="AY370" s="210"/>
      <c r="AZ370" s="210"/>
      <c r="BA370" s="210"/>
      <c r="BB370" s="210"/>
      <c r="BC370" s="210"/>
      <c r="BD370" s="210"/>
      <c r="BE370" s="210"/>
      <c r="BF370" s="210"/>
      <c r="BG370" s="210"/>
      <c r="BH370" s="210"/>
      <c r="BI370" s="210"/>
      <c r="BJ370" s="210"/>
    </row>
    <row r="371" spans="1:62" ht="15" x14ac:dyDescent="0.2">
      <c r="A371" s="210"/>
      <c r="B371" s="210"/>
      <c r="C371" s="210"/>
      <c r="D371" s="210"/>
      <c r="E371" s="210"/>
      <c r="F371" s="210"/>
      <c r="G371" s="210"/>
      <c r="H371" s="210"/>
      <c r="I371" s="210"/>
      <c r="J371" s="210"/>
      <c r="K371" s="210"/>
      <c r="L371" s="210"/>
      <c r="M371" s="210"/>
      <c r="N371" s="210"/>
      <c r="O371" s="210"/>
      <c r="P371" s="210"/>
      <c r="Q371" s="210"/>
      <c r="R371" s="210"/>
      <c r="S371" s="210"/>
      <c r="T371" s="210"/>
      <c r="U371" s="210"/>
      <c r="V371" s="210"/>
      <c r="W371" s="210"/>
      <c r="X371" s="210"/>
      <c r="Y371" s="210"/>
      <c r="Z371" s="210"/>
      <c r="AA371" s="210"/>
      <c r="AB371" s="210"/>
      <c r="AC371" s="210"/>
      <c r="AD371" s="210"/>
      <c r="AE371" s="210"/>
      <c r="AF371" s="210"/>
      <c r="AG371" s="210"/>
      <c r="AH371" s="210"/>
      <c r="AI371" s="210"/>
      <c r="AJ371" s="210"/>
      <c r="AK371" s="210"/>
      <c r="AL371" s="210"/>
      <c r="AM371" s="210"/>
      <c r="AN371" s="210"/>
      <c r="AO371" s="210"/>
      <c r="AP371" s="210"/>
      <c r="AQ371" s="210"/>
      <c r="AR371" s="210"/>
      <c r="AS371" s="210"/>
      <c r="AT371" s="210"/>
      <c r="AU371" s="210"/>
      <c r="AV371" s="210"/>
      <c r="AW371" s="210"/>
      <c r="AX371" s="210"/>
      <c r="AY371" s="210"/>
      <c r="AZ371" s="210"/>
      <c r="BA371" s="210"/>
      <c r="BB371" s="210"/>
      <c r="BC371" s="210"/>
      <c r="BD371" s="210"/>
      <c r="BE371" s="210"/>
      <c r="BF371" s="210"/>
      <c r="BG371" s="210"/>
      <c r="BH371" s="210"/>
      <c r="BI371" s="210"/>
      <c r="BJ371" s="210"/>
    </row>
    <row r="372" spans="1:62" ht="15" x14ac:dyDescent="0.2">
      <c r="A372" s="210"/>
      <c r="B372" s="210"/>
      <c r="C372" s="210"/>
      <c r="D372" s="210"/>
      <c r="E372" s="210"/>
      <c r="F372" s="210"/>
      <c r="G372" s="210"/>
      <c r="H372" s="210"/>
      <c r="I372" s="210"/>
      <c r="J372" s="210"/>
      <c r="K372" s="210"/>
      <c r="L372" s="210"/>
      <c r="M372" s="210"/>
      <c r="N372" s="210"/>
      <c r="O372" s="210"/>
      <c r="P372" s="210"/>
      <c r="Q372" s="210"/>
      <c r="R372" s="210"/>
      <c r="S372" s="210"/>
      <c r="T372" s="210"/>
      <c r="U372" s="210"/>
      <c r="V372" s="210"/>
      <c r="W372" s="210"/>
      <c r="X372" s="210"/>
      <c r="Y372" s="210"/>
      <c r="Z372" s="210"/>
      <c r="AA372" s="210"/>
      <c r="AB372" s="210"/>
      <c r="AC372" s="210"/>
      <c r="AD372" s="210"/>
      <c r="AE372" s="210"/>
      <c r="AF372" s="210"/>
      <c r="AG372" s="210"/>
      <c r="AH372" s="210"/>
      <c r="AI372" s="210"/>
      <c r="AJ372" s="210"/>
      <c r="AK372" s="210"/>
      <c r="AL372" s="210"/>
      <c r="AM372" s="210"/>
      <c r="AN372" s="210"/>
      <c r="AO372" s="210"/>
      <c r="AP372" s="210"/>
      <c r="AQ372" s="210"/>
      <c r="AR372" s="210"/>
      <c r="AS372" s="210"/>
      <c r="AT372" s="210"/>
      <c r="AU372" s="210"/>
      <c r="AV372" s="210"/>
      <c r="AW372" s="210"/>
      <c r="AX372" s="210"/>
      <c r="AY372" s="210"/>
      <c r="AZ372" s="210"/>
      <c r="BA372" s="210"/>
      <c r="BB372" s="210"/>
      <c r="BC372" s="210"/>
      <c r="BD372" s="210"/>
      <c r="BE372" s="210"/>
      <c r="BF372" s="210"/>
      <c r="BG372" s="210"/>
      <c r="BH372" s="210"/>
      <c r="BI372" s="210"/>
      <c r="BJ372" s="210"/>
    </row>
    <row r="373" spans="1:62" ht="15" x14ac:dyDescent="0.2">
      <c r="A373" s="210"/>
      <c r="B373" s="210"/>
      <c r="C373" s="210"/>
      <c r="D373" s="210"/>
      <c r="E373" s="210"/>
      <c r="F373" s="210"/>
      <c r="G373" s="210"/>
      <c r="H373" s="210"/>
      <c r="I373" s="210"/>
      <c r="J373" s="210"/>
      <c r="K373" s="210"/>
      <c r="L373" s="210"/>
      <c r="M373" s="210"/>
      <c r="N373" s="210"/>
      <c r="O373" s="210"/>
      <c r="P373" s="210"/>
      <c r="Q373" s="210"/>
      <c r="R373" s="210"/>
      <c r="S373" s="210"/>
      <c r="T373" s="210"/>
      <c r="U373" s="210"/>
      <c r="V373" s="210"/>
      <c r="W373" s="210"/>
      <c r="X373" s="210"/>
      <c r="Y373" s="210"/>
      <c r="Z373" s="210"/>
      <c r="AA373" s="210"/>
      <c r="AB373" s="210"/>
      <c r="AC373" s="210"/>
      <c r="AD373" s="210"/>
      <c r="AE373" s="210"/>
      <c r="AF373" s="210"/>
      <c r="AG373" s="210"/>
      <c r="AH373" s="210"/>
      <c r="AI373" s="210"/>
      <c r="AJ373" s="210"/>
      <c r="AK373" s="210"/>
      <c r="AL373" s="210"/>
      <c r="AM373" s="210"/>
      <c r="AN373" s="210"/>
      <c r="AO373" s="210"/>
      <c r="AP373" s="210"/>
      <c r="AQ373" s="210"/>
      <c r="AR373" s="210"/>
      <c r="AS373" s="210"/>
      <c r="AT373" s="210"/>
      <c r="AU373" s="210"/>
      <c r="AV373" s="210"/>
      <c r="AW373" s="210"/>
      <c r="AX373" s="210"/>
      <c r="AY373" s="210"/>
      <c r="AZ373" s="210"/>
      <c r="BA373" s="210"/>
      <c r="BB373" s="210"/>
      <c r="BC373" s="210"/>
      <c r="BD373" s="210"/>
      <c r="BE373" s="210"/>
      <c r="BF373" s="210"/>
      <c r="BG373" s="210"/>
      <c r="BH373" s="210"/>
      <c r="BI373" s="210"/>
      <c r="BJ373" s="210"/>
    </row>
    <row r="374" spans="1:62" ht="15" x14ac:dyDescent="0.2">
      <c r="A374" s="210"/>
      <c r="B374" s="210"/>
      <c r="C374" s="210"/>
      <c r="D374" s="210"/>
      <c r="E374" s="210"/>
      <c r="F374" s="210"/>
      <c r="G374" s="210"/>
      <c r="H374" s="210"/>
      <c r="I374" s="210"/>
      <c r="J374" s="210"/>
      <c r="K374" s="210"/>
      <c r="L374" s="210"/>
      <c r="M374" s="210"/>
      <c r="N374" s="210"/>
      <c r="O374" s="210"/>
      <c r="P374" s="210"/>
      <c r="Q374" s="210"/>
      <c r="R374" s="210"/>
      <c r="S374" s="210"/>
      <c r="T374" s="210"/>
      <c r="U374" s="210"/>
      <c r="V374" s="210"/>
      <c r="W374" s="210"/>
      <c r="X374" s="210"/>
      <c r="Y374" s="210"/>
      <c r="Z374" s="210"/>
      <c r="AA374" s="210"/>
      <c r="AB374" s="210"/>
      <c r="AC374" s="210"/>
      <c r="AD374" s="210"/>
      <c r="AE374" s="210"/>
      <c r="AF374" s="210"/>
      <c r="AG374" s="210"/>
      <c r="AH374" s="210"/>
      <c r="AI374" s="210"/>
      <c r="AJ374" s="210"/>
      <c r="AK374" s="210"/>
      <c r="AL374" s="210"/>
      <c r="AM374" s="210"/>
      <c r="AN374" s="210"/>
      <c r="AO374" s="210"/>
      <c r="AP374" s="210"/>
      <c r="AQ374" s="210"/>
      <c r="AR374" s="210"/>
      <c r="AS374" s="210"/>
      <c r="AT374" s="210"/>
      <c r="AU374" s="210"/>
      <c r="AV374" s="210"/>
      <c r="AW374" s="210"/>
      <c r="AX374" s="210"/>
      <c r="AY374" s="210"/>
      <c r="AZ374" s="210"/>
      <c r="BA374" s="210"/>
      <c r="BB374" s="210"/>
      <c r="BC374" s="210"/>
      <c r="BD374" s="210"/>
      <c r="BE374" s="210"/>
      <c r="BF374" s="210"/>
      <c r="BG374" s="210"/>
      <c r="BH374" s="210"/>
      <c r="BI374" s="210"/>
      <c r="BJ374" s="210"/>
    </row>
    <row r="375" spans="1:62" ht="15" x14ac:dyDescent="0.2">
      <c r="A375" s="210"/>
      <c r="B375" s="210"/>
      <c r="C375" s="210"/>
      <c r="D375" s="210"/>
      <c r="E375" s="210"/>
      <c r="F375" s="210"/>
      <c r="G375" s="210"/>
      <c r="H375" s="210"/>
      <c r="I375" s="210"/>
      <c r="J375" s="210"/>
      <c r="K375" s="210"/>
      <c r="L375" s="210"/>
      <c r="M375" s="210"/>
      <c r="N375" s="210"/>
      <c r="O375" s="210"/>
      <c r="P375" s="210"/>
      <c r="Q375" s="210"/>
      <c r="R375" s="210"/>
      <c r="S375" s="210"/>
      <c r="T375" s="210"/>
      <c r="U375" s="210"/>
      <c r="V375" s="210"/>
      <c r="W375" s="210"/>
      <c r="X375" s="210"/>
      <c r="Y375" s="210"/>
      <c r="Z375" s="210"/>
      <c r="AA375" s="210"/>
      <c r="AB375" s="210"/>
      <c r="AC375" s="210"/>
      <c r="AD375" s="210"/>
      <c r="AE375" s="210"/>
      <c r="AF375" s="210"/>
      <c r="AG375" s="210"/>
      <c r="AH375" s="210"/>
      <c r="AI375" s="210"/>
      <c r="AJ375" s="210"/>
      <c r="AK375" s="210"/>
      <c r="AL375" s="210"/>
      <c r="AM375" s="210"/>
      <c r="AN375" s="210"/>
      <c r="AO375" s="210"/>
      <c r="AP375" s="210"/>
      <c r="AQ375" s="210"/>
      <c r="AR375" s="210"/>
      <c r="AS375" s="210"/>
      <c r="AT375" s="210"/>
      <c r="AU375" s="210"/>
      <c r="AV375" s="210"/>
      <c r="AW375" s="210"/>
      <c r="AX375" s="210"/>
      <c r="AY375" s="210"/>
      <c r="AZ375" s="210"/>
      <c r="BA375" s="210"/>
      <c r="BB375" s="210"/>
      <c r="BC375" s="210"/>
      <c r="BD375" s="210"/>
      <c r="BE375" s="210"/>
      <c r="BF375" s="210"/>
      <c r="BG375" s="210"/>
      <c r="BH375" s="210"/>
      <c r="BI375" s="210"/>
      <c r="BJ375" s="210"/>
    </row>
    <row r="376" spans="1:62" ht="15" x14ac:dyDescent="0.2">
      <c r="A376" s="210"/>
      <c r="B376" s="210"/>
      <c r="C376" s="210"/>
      <c r="D376" s="210"/>
      <c r="E376" s="210"/>
      <c r="F376" s="210"/>
      <c r="G376" s="210"/>
      <c r="H376" s="210"/>
      <c r="I376" s="210"/>
      <c r="J376" s="210"/>
      <c r="K376" s="210"/>
      <c r="L376" s="210"/>
      <c r="M376" s="210"/>
      <c r="N376" s="210"/>
      <c r="O376" s="210"/>
      <c r="P376" s="210"/>
      <c r="Q376" s="210"/>
      <c r="R376" s="210"/>
      <c r="S376" s="210"/>
      <c r="T376" s="210"/>
      <c r="U376" s="210"/>
      <c r="V376" s="210"/>
      <c r="W376" s="210"/>
      <c r="X376" s="210"/>
      <c r="Y376" s="210"/>
      <c r="Z376" s="210"/>
      <c r="AA376" s="210"/>
      <c r="AB376" s="210"/>
      <c r="AC376" s="210"/>
      <c r="AD376" s="210"/>
      <c r="AE376" s="210"/>
      <c r="AF376" s="210"/>
      <c r="AG376" s="210"/>
      <c r="AH376" s="210"/>
      <c r="AI376" s="210"/>
      <c r="AJ376" s="210"/>
      <c r="AK376" s="210"/>
      <c r="AL376" s="210"/>
      <c r="AM376" s="210"/>
      <c r="AN376" s="210"/>
      <c r="AO376" s="210"/>
      <c r="AP376" s="210"/>
      <c r="AQ376" s="210"/>
      <c r="AR376" s="210"/>
      <c r="AS376" s="210"/>
      <c r="AT376" s="210"/>
      <c r="AU376" s="210"/>
      <c r="AV376" s="210"/>
      <c r="AW376" s="210"/>
      <c r="AX376" s="210"/>
      <c r="AY376" s="210"/>
      <c r="AZ376" s="210"/>
      <c r="BA376" s="210"/>
      <c r="BB376" s="210"/>
      <c r="BC376" s="210"/>
      <c r="BD376" s="210"/>
      <c r="BE376" s="210"/>
      <c r="BF376" s="210"/>
      <c r="BG376" s="210"/>
      <c r="BH376" s="210"/>
      <c r="BI376" s="210"/>
      <c r="BJ376" s="210"/>
    </row>
    <row r="377" spans="1:62" ht="15" x14ac:dyDescent="0.2">
      <c r="A377" s="210"/>
      <c r="B377" s="210"/>
      <c r="C377" s="210"/>
      <c r="D377" s="210"/>
      <c r="E377" s="210"/>
      <c r="F377" s="210"/>
      <c r="G377" s="210"/>
      <c r="H377" s="210"/>
      <c r="I377" s="210"/>
      <c r="J377" s="210"/>
      <c r="K377" s="210"/>
      <c r="L377" s="210"/>
      <c r="M377" s="210"/>
      <c r="N377" s="210"/>
      <c r="O377" s="210"/>
      <c r="P377" s="210"/>
      <c r="Q377" s="210"/>
      <c r="R377" s="210"/>
      <c r="S377" s="210"/>
      <c r="T377" s="210"/>
      <c r="U377" s="210"/>
      <c r="V377" s="210"/>
      <c r="W377" s="210"/>
      <c r="X377" s="210"/>
      <c r="Y377" s="210"/>
      <c r="Z377" s="210"/>
      <c r="AA377" s="210"/>
      <c r="AB377" s="210"/>
      <c r="AC377" s="210"/>
      <c r="AD377" s="210"/>
      <c r="AE377" s="210"/>
      <c r="AF377" s="210"/>
      <c r="AG377" s="210"/>
      <c r="AH377" s="210"/>
      <c r="AI377" s="210"/>
      <c r="AJ377" s="210"/>
      <c r="AK377" s="210"/>
      <c r="AL377" s="210"/>
      <c r="AM377" s="210"/>
      <c r="AN377" s="210"/>
      <c r="AO377" s="210"/>
      <c r="AP377" s="210"/>
      <c r="AQ377" s="210"/>
      <c r="AR377" s="210"/>
      <c r="AS377" s="210"/>
      <c r="AT377" s="210"/>
      <c r="AU377" s="210"/>
      <c r="AV377" s="210"/>
      <c r="AW377" s="210"/>
      <c r="AX377" s="210"/>
      <c r="AY377" s="210"/>
      <c r="AZ377" s="210"/>
      <c r="BA377" s="210"/>
      <c r="BB377" s="210"/>
      <c r="BC377" s="210"/>
      <c r="BD377" s="210"/>
      <c r="BE377" s="210"/>
      <c r="BF377" s="210"/>
      <c r="BG377" s="210"/>
      <c r="BH377" s="210"/>
      <c r="BI377" s="210"/>
      <c r="BJ377" s="210"/>
    </row>
    <row r="378" spans="1:62" ht="15" x14ac:dyDescent="0.2">
      <c r="A378" s="210"/>
      <c r="B378" s="210"/>
      <c r="C378" s="210"/>
      <c r="D378" s="210"/>
      <c r="E378" s="210"/>
      <c r="F378" s="210"/>
      <c r="G378" s="210"/>
      <c r="H378" s="210"/>
      <c r="I378" s="210"/>
      <c r="J378" s="210"/>
      <c r="K378" s="210"/>
      <c r="L378" s="210"/>
      <c r="M378" s="210"/>
      <c r="N378" s="210"/>
      <c r="O378" s="210"/>
      <c r="P378" s="210"/>
      <c r="Q378" s="210"/>
      <c r="R378" s="210"/>
      <c r="S378" s="210"/>
      <c r="T378" s="210"/>
      <c r="U378" s="210"/>
      <c r="V378" s="210"/>
      <c r="W378" s="210"/>
      <c r="X378" s="210"/>
      <c r="Y378" s="210"/>
      <c r="Z378" s="210"/>
      <c r="AA378" s="210"/>
      <c r="AB378" s="210"/>
      <c r="AC378" s="210"/>
      <c r="AD378" s="210"/>
      <c r="AE378" s="210"/>
      <c r="AF378" s="210"/>
      <c r="AG378" s="210"/>
      <c r="AH378" s="210"/>
      <c r="AI378" s="210"/>
      <c r="AJ378" s="210"/>
      <c r="AK378" s="210"/>
      <c r="AL378" s="210"/>
      <c r="AM378" s="210"/>
      <c r="AN378" s="210"/>
      <c r="AO378" s="210"/>
      <c r="AP378" s="210"/>
      <c r="AQ378" s="210"/>
      <c r="AR378" s="210"/>
      <c r="AS378" s="210"/>
      <c r="AT378" s="210"/>
      <c r="AU378" s="210"/>
      <c r="AV378" s="210"/>
      <c r="AW378" s="210"/>
      <c r="AX378" s="210"/>
      <c r="AY378" s="210"/>
      <c r="AZ378" s="210"/>
      <c r="BA378" s="210"/>
      <c r="BB378" s="210"/>
      <c r="BC378" s="210"/>
      <c r="BD378" s="210"/>
      <c r="BE378" s="210"/>
      <c r="BF378" s="210"/>
      <c r="BG378" s="210"/>
      <c r="BH378" s="210"/>
      <c r="BI378" s="210"/>
      <c r="BJ378" s="210"/>
    </row>
    <row r="379" spans="1:62" ht="15" x14ac:dyDescent="0.2">
      <c r="A379" s="210"/>
      <c r="B379" s="210"/>
      <c r="C379" s="210"/>
      <c r="D379" s="210"/>
      <c r="E379" s="210"/>
      <c r="F379" s="210"/>
      <c r="G379" s="210"/>
      <c r="H379" s="210"/>
      <c r="I379" s="210"/>
      <c r="J379" s="210"/>
      <c r="K379" s="210"/>
      <c r="L379" s="210"/>
      <c r="M379" s="210"/>
      <c r="N379" s="210"/>
      <c r="O379" s="210"/>
      <c r="P379" s="210"/>
      <c r="Q379" s="210"/>
      <c r="R379" s="210"/>
      <c r="S379" s="210"/>
      <c r="T379" s="210"/>
      <c r="U379" s="210"/>
      <c r="V379" s="210"/>
      <c r="W379" s="210"/>
      <c r="X379" s="210"/>
      <c r="Y379" s="210"/>
      <c r="Z379" s="210"/>
      <c r="AA379" s="210"/>
      <c r="AB379" s="210"/>
      <c r="AC379" s="210"/>
      <c r="AD379" s="210"/>
      <c r="AE379" s="210"/>
      <c r="AF379" s="210"/>
      <c r="AG379" s="210"/>
      <c r="AH379" s="210"/>
      <c r="AI379" s="210"/>
      <c r="AJ379" s="210"/>
      <c r="AK379" s="210"/>
      <c r="AL379" s="210"/>
      <c r="AM379" s="210"/>
      <c r="AN379" s="210"/>
      <c r="AO379" s="210"/>
      <c r="AP379" s="210"/>
      <c r="AQ379" s="210"/>
      <c r="AR379" s="210"/>
      <c r="AS379" s="210"/>
      <c r="AT379" s="210"/>
      <c r="AU379" s="210"/>
      <c r="AV379" s="210"/>
      <c r="AW379" s="210"/>
      <c r="AX379" s="210"/>
      <c r="AY379" s="210"/>
      <c r="AZ379" s="210"/>
      <c r="BA379" s="210"/>
      <c r="BB379" s="210"/>
      <c r="BC379" s="210"/>
      <c r="BD379" s="210"/>
      <c r="BE379" s="210"/>
      <c r="BF379" s="210"/>
      <c r="BG379" s="210"/>
      <c r="BH379" s="210"/>
      <c r="BI379" s="210"/>
      <c r="BJ379" s="210"/>
    </row>
    <row r="380" spans="1:62" ht="15" x14ac:dyDescent="0.2">
      <c r="A380" s="210"/>
      <c r="B380" s="210"/>
      <c r="C380" s="210"/>
      <c r="D380" s="210"/>
      <c r="E380" s="210"/>
      <c r="F380" s="210"/>
      <c r="G380" s="210"/>
      <c r="H380" s="210"/>
      <c r="I380" s="210"/>
      <c r="J380" s="210"/>
      <c r="K380" s="210"/>
      <c r="L380" s="210"/>
      <c r="M380" s="210"/>
      <c r="N380" s="210"/>
      <c r="O380" s="210"/>
      <c r="P380" s="210"/>
      <c r="Q380" s="210"/>
      <c r="R380" s="210"/>
      <c r="S380" s="210"/>
      <c r="T380" s="210"/>
      <c r="U380" s="210"/>
      <c r="V380" s="210"/>
      <c r="W380" s="210"/>
      <c r="X380" s="210"/>
      <c r="Y380" s="210"/>
      <c r="Z380" s="210"/>
      <c r="AA380" s="210"/>
      <c r="AB380" s="210"/>
      <c r="AC380" s="210"/>
      <c r="AD380" s="210"/>
      <c r="AE380" s="210"/>
      <c r="AF380" s="210"/>
      <c r="AG380" s="210"/>
      <c r="AH380" s="210"/>
      <c r="AI380" s="210"/>
      <c r="AJ380" s="210"/>
      <c r="AK380" s="210"/>
      <c r="AL380" s="210"/>
      <c r="AM380" s="210"/>
      <c r="AN380" s="210"/>
      <c r="AO380" s="210"/>
      <c r="AP380" s="210"/>
      <c r="AQ380" s="210"/>
      <c r="AR380" s="210"/>
      <c r="AS380" s="210"/>
      <c r="AT380" s="210"/>
      <c r="AU380" s="210"/>
      <c r="AV380" s="210"/>
      <c r="AW380" s="210"/>
      <c r="AX380" s="210"/>
      <c r="AY380" s="210"/>
      <c r="AZ380" s="210"/>
      <c r="BA380" s="210"/>
      <c r="BB380" s="210"/>
      <c r="BC380" s="210"/>
      <c r="BD380" s="210"/>
      <c r="BE380" s="210"/>
      <c r="BF380" s="210"/>
      <c r="BG380" s="210"/>
      <c r="BH380" s="210"/>
      <c r="BI380" s="210"/>
      <c r="BJ380" s="210"/>
    </row>
    <row r="381" spans="1:62" ht="15" x14ac:dyDescent="0.2">
      <c r="A381" s="210"/>
      <c r="B381" s="210"/>
      <c r="C381" s="210"/>
      <c r="D381" s="210"/>
      <c r="E381" s="210"/>
      <c r="F381" s="210"/>
      <c r="G381" s="210"/>
      <c r="H381" s="210"/>
      <c r="I381" s="210"/>
      <c r="J381" s="210"/>
      <c r="K381" s="210"/>
      <c r="L381" s="210"/>
      <c r="M381" s="210"/>
      <c r="N381" s="210"/>
      <c r="O381" s="210"/>
      <c r="P381" s="210"/>
      <c r="Q381" s="210"/>
      <c r="R381" s="210"/>
      <c r="S381" s="210"/>
      <c r="T381" s="210"/>
      <c r="U381" s="210"/>
      <c r="V381" s="210"/>
      <c r="W381" s="210"/>
      <c r="X381" s="210"/>
      <c r="Y381" s="210"/>
      <c r="Z381" s="210"/>
      <c r="AA381" s="210"/>
      <c r="AB381" s="210"/>
      <c r="AC381" s="210"/>
      <c r="AD381" s="210"/>
      <c r="AE381" s="210"/>
      <c r="AF381" s="210"/>
      <c r="AG381" s="210"/>
      <c r="AH381" s="210"/>
      <c r="AI381" s="210"/>
      <c r="AJ381" s="210"/>
      <c r="AK381" s="210"/>
      <c r="AL381" s="210"/>
      <c r="AM381" s="210"/>
      <c r="AN381" s="210"/>
      <c r="AO381" s="210"/>
      <c r="AP381" s="210"/>
      <c r="AQ381" s="210"/>
      <c r="AR381" s="210"/>
      <c r="AS381" s="210"/>
      <c r="AT381" s="210"/>
      <c r="AU381" s="210"/>
      <c r="AV381" s="210"/>
      <c r="AW381" s="210"/>
      <c r="AX381" s="210"/>
      <c r="AY381" s="210"/>
      <c r="AZ381" s="210"/>
      <c r="BA381" s="210"/>
      <c r="BB381" s="210"/>
      <c r="BC381" s="210"/>
      <c r="BD381" s="210"/>
      <c r="BE381" s="210"/>
      <c r="BF381" s="210"/>
      <c r="BG381" s="210"/>
      <c r="BH381" s="210"/>
      <c r="BI381" s="210"/>
      <c r="BJ381" s="210"/>
    </row>
    <row r="382" spans="1:62" ht="15" x14ac:dyDescent="0.2">
      <c r="A382" s="210"/>
      <c r="B382" s="210"/>
      <c r="C382" s="210"/>
      <c r="D382" s="210"/>
      <c r="E382" s="210"/>
      <c r="F382" s="210"/>
      <c r="G382" s="210"/>
      <c r="H382" s="210"/>
      <c r="I382" s="210"/>
      <c r="J382" s="210"/>
      <c r="K382" s="210"/>
      <c r="L382" s="210"/>
      <c r="M382" s="210"/>
      <c r="N382" s="210"/>
      <c r="O382" s="210"/>
      <c r="P382" s="210"/>
      <c r="Q382" s="210"/>
      <c r="R382" s="210"/>
      <c r="S382" s="210"/>
      <c r="T382" s="210"/>
      <c r="U382" s="210"/>
      <c r="V382" s="210"/>
      <c r="W382" s="210"/>
      <c r="X382" s="210"/>
      <c r="Y382" s="210"/>
      <c r="Z382" s="210"/>
      <c r="AA382" s="210"/>
      <c r="AB382" s="210"/>
      <c r="AC382" s="210"/>
      <c r="AD382" s="210"/>
      <c r="AE382" s="210"/>
      <c r="AF382" s="210"/>
      <c r="AG382" s="210"/>
      <c r="AH382" s="210"/>
      <c r="AI382" s="210"/>
      <c r="AJ382" s="210"/>
      <c r="AK382" s="210"/>
      <c r="AL382" s="210"/>
      <c r="AM382" s="210"/>
      <c r="AN382" s="210"/>
      <c r="AO382" s="210"/>
      <c r="AP382" s="210"/>
      <c r="AQ382" s="210"/>
      <c r="AR382" s="210"/>
      <c r="AS382" s="210"/>
      <c r="AT382" s="210"/>
      <c r="AU382" s="210"/>
      <c r="AV382" s="210"/>
      <c r="AW382" s="210"/>
      <c r="AX382" s="210"/>
      <c r="AY382" s="210"/>
      <c r="AZ382" s="210"/>
      <c r="BA382" s="210"/>
      <c r="BB382" s="210"/>
      <c r="BC382" s="210"/>
      <c r="BD382" s="210"/>
      <c r="BE382" s="210"/>
      <c r="BF382" s="210"/>
      <c r="BG382" s="210"/>
      <c r="BH382" s="210"/>
      <c r="BI382" s="210"/>
      <c r="BJ382" s="210"/>
    </row>
    <row r="383" spans="1:62" ht="15" x14ac:dyDescent="0.2">
      <c r="A383" s="210"/>
      <c r="B383" s="210"/>
      <c r="C383" s="210"/>
      <c r="D383" s="210"/>
      <c r="E383" s="210"/>
      <c r="F383" s="210"/>
      <c r="G383" s="210"/>
      <c r="H383" s="210"/>
      <c r="I383" s="210"/>
      <c r="J383" s="210"/>
      <c r="K383" s="210"/>
      <c r="L383" s="210"/>
      <c r="M383" s="210"/>
      <c r="N383" s="210"/>
      <c r="O383" s="210"/>
      <c r="P383" s="210"/>
      <c r="Q383" s="210"/>
      <c r="R383" s="210"/>
      <c r="S383" s="210"/>
      <c r="T383" s="210"/>
      <c r="U383" s="210"/>
      <c r="V383" s="210"/>
      <c r="W383" s="210"/>
      <c r="X383" s="210"/>
      <c r="Y383" s="210"/>
      <c r="Z383" s="210"/>
      <c r="AA383" s="210"/>
      <c r="AB383" s="210"/>
      <c r="AC383" s="210"/>
      <c r="AD383" s="210"/>
      <c r="AE383" s="210"/>
      <c r="AF383" s="210"/>
      <c r="AG383" s="210"/>
      <c r="AH383" s="210"/>
      <c r="AI383" s="210"/>
      <c r="AJ383" s="210"/>
      <c r="AK383" s="210"/>
      <c r="AL383" s="210"/>
      <c r="AM383" s="210"/>
      <c r="AN383" s="210"/>
      <c r="AO383" s="210"/>
      <c r="AP383" s="210"/>
      <c r="AQ383" s="210"/>
      <c r="AR383" s="210"/>
      <c r="AS383" s="210"/>
      <c r="AT383" s="210"/>
      <c r="AU383" s="210"/>
      <c r="AV383" s="210"/>
      <c r="AW383" s="210"/>
      <c r="AX383" s="210"/>
      <c r="AY383" s="210"/>
      <c r="AZ383" s="210"/>
      <c r="BA383" s="210"/>
      <c r="BB383" s="210"/>
      <c r="BC383" s="210"/>
      <c r="BD383" s="210"/>
      <c r="BE383" s="210"/>
      <c r="BF383" s="210"/>
      <c r="BG383" s="210"/>
      <c r="BH383" s="210"/>
      <c r="BI383" s="210"/>
      <c r="BJ383" s="210"/>
    </row>
    <row r="384" spans="1:62" ht="15" x14ac:dyDescent="0.2">
      <c r="A384" s="210"/>
      <c r="B384" s="210"/>
      <c r="C384" s="210"/>
      <c r="D384" s="210"/>
      <c r="E384" s="210"/>
      <c r="F384" s="210"/>
      <c r="G384" s="210"/>
      <c r="H384" s="210"/>
      <c r="I384" s="210"/>
      <c r="J384" s="210"/>
      <c r="K384" s="210"/>
      <c r="L384" s="210"/>
      <c r="M384" s="210"/>
      <c r="N384" s="210"/>
      <c r="O384" s="210"/>
      <c r="P384" s="210"/>
      <c r="Q384" s="210"/>
      <c r="R384" s="210"/>
      <c r="S384" s="210"/>
      <c r="T384" s="210"/>
      <c r="U384" s="210"/>
      <c r="V384" s="210"/>
      <c r="W384" s="210"/>
      <c r="X384" s="210"/>
      <c r="Y384" s="210"/>
      <c r="Z384" s="210"/>
      <c r="AA384" s="210"/>
      <c r="AB384" s="210"/>
      <c r="AC384" s="210"/>
      <c r="AD384" s="210"/>
      <c r="AE384" s="210"/>
      <c r="AF384" s="210"/>
      <c r="AG384" s="210"/>
      <c r="AH384" s="210"/>
      <c r="AI384" s="210"/>
      <c r="AJ384" s="210"/>
      <c r="AK384" s="210"/>
      <c r="AL384" s="210"/>
      <c r="AM384" s="210"/>
      <c r="AN384" s="210"/>
      <c r="AO384" s="210"/>
      <c r="AP384" s="210"/>
      <c r="AQ384" s="210"/>
      <c r="AR384" s="210"/>
      <c r="AS384" s="210"/>
      <c r="AT384" s="210"/>
      <c r="AU384" s="210"/>
      <c r="AV384" s="210"/>
      <c r="AW384" s="210"/>
      <c r="AX384" s="210"/>
      <c r="AY384" s="210"/>
      <c r="AZ384" s="210"/>
      <c r="BA384" s="210"/>
      <c r="BB384" s="210"/>
      <c r="BC384" s="210"/>
      <c r="BD384" s="210"/>
      <c r="BE384" s="210"/>
      <c r="BF384" s="210"/>
      <c r="BG384" s="210"/>
      <c r="BH384" s="210"/>
      <c r="BI384" s="210"/>
      <c r="BJ384" s="210"/>
    </row>
    <row r="385" spans="1:62" ht="15" x14ac:dyDescent="0.2">
      <c r="A385" s="210"/>
      <c r="B385" s="210"/>
      <c r="C385" s="210"/>
      <c r="D385" s="210"/>
      <c r="E385" s="210"/>
      <c r="F385" s="210"/>
      <c r="G385" s="210"/>
      <c r="H385" s="210"/>
      <c r="I385" s="210"/>
      <c r="J385" s="210"/>
      <c r="K385" s="210"/>
      <c r="L385" s="210"/>
      <c r="M385" s="210"/>
      <c r="N385" s="210"/>
      <c r="O385" s="210"/>
      <c r="P385" s="210"/>
      <c r="Q385" s="210"/>
      <c r="R385" s="210"/>
      <c r="S385" s="210"/>
      <c r="T385" s="210"/>
      <c r="U385" s="210"/>
      <c r="V385" s="210"/>
      <c r="W385" s="210"/>
      <c r="X385" s="210"/>
      <c r="Y385" s="210"/>
      <c r="Z385" s="210"/>
      <c r="AA385" s="210"/>
      <c r="AB385" s="210"/>
      <c r="AC385" s="210"/>
      <c r="AD385" s="210"/>
      <c r="AE385" s="210"/>
      <c r="AF385" s="210"/>
      <c r="AG385" s="210"/>
      <c r="AH385" s="210"/>
      <c r="AI385" s="210"/>
      <c r="AJ385" s="210"/>
      <c r="AK385" s="210"/>
      <c r="AL385" s="210"/>
      <c r="AM385" s="210"/>
      <c r="AN385" s="210"/>
      <c r="AO385" s="210"/>
      <c r="AP385" s="210"/>
      <c r="AQ385" s="210"/>
      <c r="AR385" s="210"/>
      <c r="AS385" s="210"/>
      <c r="AT385" s="210"/>
      <c r="AU385" s="210"/>
      <c r="AV385" s="210"/>
      <c r="AW385" s="210"/>
      <c r="AX385" s="210"/>
      <c r="AY385" s="210"/>
      <c r="AZ385" s="210"/>
      <c r="BA385" s="210"/>
      <c r="BB385" s="210"/>
      <c r="BC385" s="210"/>
      <c r="BD385" s="210"/>
      <c r="BE385" s="210"/>
      <c r="BF385" s="210"/>
      <c r="BG385" s="210"/>
      <c r="BH385" s="210"/>
      <c r="BI385" s="210"/>
      <c r="BJ385" s="210"/>
    </row>
    <row r="386" spans="1:62" ht="15" x14ac:dyDescent="0.2">
      <c r="A386" s="210"/>
      <c r="B386" s="210"/>
      <c r="C386" s="210"/>
      <c r="D386" s="210"/>
      <c r="E386" s="210"/>
      <c r="F386" s="210"/>
      <c r="G386" s="210"/>
      <c r="H386" s="210"/>
      <c r="I386" s="210"/>
      <c r="J386" s="210"/>
      <c r="K386" s="210"/>
      <c r="L386" s="210"/>
      <c r="M386" s="210"/>
      <c r="N386" s="210"/>
      <c r="O386" s="210"/>
      <c r="P386" s="210"/>
      <c r="Q386" s="210"/>
      <c r="R386" s="210"/>
      <c r="S386" s="210"/>
      <c r="T386" s="210"/>
      <c r="U386" s="210"/>
      <c r="V386" s="210"/>
      <c r="W386" s="210"/>
      <c r="X386" s="210"/>
      <c r="Y386" s="210"/>
      <c r="Z386" s="210"/>
      <c r="AA386" s="210"/>
      <c r="AB386" s="210"/>
      <c r="AC386" s="210"/>
      <c r="AD386" s="210"/>
      <c r="AE386" s="210"/>
      <c r="AF386" s="210"/>
      <c r="AG386" s="210"/>
      <c r="AH386" s="210"/>
      <c r="AI386" s="210"/>
      <c r="AJ386" s="210"/>
      <c r="AK386" s="210"/>
      <c r="AL386" s="210"/>
      <c r="AM386" s="210"/>
      <c r="AN386" s="210"/>
      <c r="AO386" s="210"/>
      <c r="AP386" s="210"/>
      <c r="AQ386" s="210"/>
      <c r="AR386" s="210"/>
      <c r="AS386" s="210"/>
      <c r="AT386" s="210"/>
      <c r="AU386" s="210"/>
      <c r="AV386" s="210"/>
      <c r="AW386" s="210"/>
      <c r="AX386" s="210"/>
      <c r="AY386" s="210"/>
      <c r="AZ386" s="210"/>
      <c r="BA386" s="210"/>
      <c r="BB386" s="210"/>
      <c r="BC386" s="210"/>
      <c r="BD386" s="210"/>
      <c r="BE386" s="210"/>
      <c r="BF386" s="210"/>
      <c r="BG386" s="210"/>
      <c r="BH386" s="210"/>
      <c r="BI386" s="210"/>
      <c r="BJ386" s="210"/>
    </row>
    <row r="387" spans="1:62" ht="15" x14ac:dyDescent="0.2">
      <c r="A387" s="210"/>
      <c r="B387" s="210"/>
      <c r="C387" s="210"/>
      <c r="D387" s="210"/>
      <c r="E387" s="210"/>
      <c r="F387" s="210"/>
      <c r="G387" s="210"/>
      <c r="H387" s="210"/>
      <c r="I387" s="210"/>
      <c r="J387" s="210"/>
      <c r="K387" s="210"/>
      <c r="L387" s="210"/>
      <c r="M387" s="210"/>
      <c r="N387" s="210"/>
      <c r="O387" s="210"/>
      <c r="P387" s="210"/>
      <c r="Q387" s="210"/>
      <c r="R387" s="210"/>
      <c r="S387" s="210"/>
      <c r="T387" s="210"/>
      <c r="U387" s="210"/>
      <c r="V387" s="210"/>
      <c r="W387" s="210"/>
      <c r="X387" s="210"/>
      <c r="Y387" s="210"/>
      <c r="Z387" s="210"/>
      <c r="AA387" s="210"/>
      <c r="AB387" s="210"/>
      <c r="AC387" s="210"/>
      <c r="AD387" s="210"/>
      <c r="AE387" s="210"/>
      <c r="AF387" s="210"/>
      <c r="AG387" s="210"/>
      <c r="AH387" s="210"/>
      <c r="AI387" s="210"/>
      <c r="AJ387" s="210"/>
      <c r="AK387" s="210"/>
      <c r="AL387" s="210"/>
      <c r="AM387" s="210"/>
      <c r="AN387" s="210"/>
      <c r="AO387" s="210"/>
      <c r="AP387" s="210"/>
      <c r="AQ387" s="210"/>
      <c r="AR387" s="210"/>
      <c r="AS387" s="210"/>
      <c r="AT387" s="210"/>
      <c r="AU387" s="210"/>
      <c r="AV387" s="210"/>
      <c r="AW387" s="210"/>
      <c r="AX387" s="210"/>
      <c r="AY387" s="210"/>
      <c r="AZ387" s="210"/>
      <c r="BA387" s="210"/>
      <c r="BB387" s="210"/>
      <c r="BC387" s="210"/>
      <c r="BD387" s="210"/>
      <c r="BE387" s="210"/>
      <c r="BF387" s="210"/>
      <c r="BG387" s="210"/>
      <c r="BH387" s="210"/>
      <c r="BI387" s="210"/>
      <c r="BJ387" s="210"/>
    </row>
    <row r="388" spans="1:62" ht="15" x14ac:dyDescent="0.2">
      <c r="A388" s="210"/>
      <c r="B388" s="210"/>
      <c r="C388" s="210"/>
      <c r="D388" s="210"/>
      <c r="E388" s="210"/>
      <c r="F388" s="210"/>
      <c r="G388" s="210"/>
      <c r="H388" s="210"/>
      <c r="I388" s="210"/>
      <c r="J388" s="210"/>
      <c r="K388" s="210"/>
      <c r="L388" s="210"/>
      <c r="M388" s="210"/>
      <c r="N388" s="210"/>
      <c r="O388" s="210"/>
      <c r="P388" s="210"/>
      <c r="Q388" s="210"/>
      <c r="R388" s="210"/>
      <c r="S388" s="210"/>
      <c r="T388" s="210"/>
      <c r="U388" s="210"/>
      <c r="V388" s="210"/>
      <c r="W388" s="210"/>
      <c r="X388" s="210"/>
      <c r="Y388" s="210"/>
      <c r="Z388" s="210"/>
      <c r="AA388" s="210"/>
      <c r="AB388" s="210"/>
      <c r="AC388" s="210"/>
      <c r="AD388" s="210"/>
      <c r="AE388" s="210"/>
      <c r="AF388" s="210"/>
      <c r="AG388" s="210"/>
      <c r="AH388" s="210"/>
      <c r="AI388" s="210"/>
      <c r="AJ388" s="210"/>
      <c r="AK388" s="210"/>
      <c r="AL388" s="210"/>
      <c r="AM388" s="210"/>
      <c r="AN388" s="210"/>
      <c r="AO388" s="210"/>
      <c r="AP388" s="210"/>
      <c r="AQ388" s="210"/>
      <c r="AR388" s="210"/>
      <c r="AS388" s="210"/>
      <c r="AT388" s="210"/>
      <c r="AU388" s="210"/>
      <c r="AV388" s="210"/>
      <c r="AW388" s="210"/>
      <c r="AX388" s="210"/>
      <c r="AY388" s="210"/>
      <c r="AZ388" s="210"/>
      <c r="BA388" s="210"/>
      <c r="BB388" s="210"/>
      <c r="BC388" s="210"/>
      <c r="BD388" s="210"/>
      <c r="BE388" s="210"/>
      <c r="BF388" s="210"/>
      <c r="BG388" s="210"/>
      <c r="BH388" s="210"/>
      <c r="BI388" s="210"/>
      <c r="BJ388" s="210"/>
    </row>
    <row r="389" spans="1:62" ht="15" x14ac:dyDescent="0.2">
      <c r="A389" s="210"/>
      <c r="B389" s="210"/>
      <c r="C389" s="210"/>
      <c r="D389" s="210"/>
      <c r="E389" s="210"/>
      <c r="F389" s="210"/>
      <c r="G389" s="210"/>
      <c r="H389" s="210"/>
      <c r="I389" s="210"/>
      <c r="J389" s="210"/>
      <c r="K389" s="210"/>
      <c r="L389" s="210"/>
      <c r="M389" s="210"/>
      <c r="N389" s="210"/>
      <c r="O389" s="210"/>
      <c r="P389" s="210"/>
      <c r="Q389" s="210"/>
      <c r="R389" s="210"/>
      <c r="S389" s="210"/>
      <c r="T389" s="210"/>
      <c r="U389" s="210"/>
      <c r="V389" s="210"/>
      <c r="W389" s="210"/>
      <c r="X389" s="210"/>
      <c r="Y389" s="210"/>
      <c r="Z389" s="210"/>
      <c r="AA389" s="210"/>
      <c r="AB389" s="210"/>
      <c r="AC389" s="210"/>
      <c r="AD389" s="210"/>
      <c r="AE389" s="210"/>
      <c r="AF389" s="210"/>
      <c r="AG389" s="210"/>
      <c r="AH389" s="210"/>
      <c r="AI389" s="210"/>
      <c r="AJ389" s="210"/>
      <c r="AK389" s="210"/>
      <c r="AL389" s="210"/>
      <c r="AM389" s="210"/>
      <c r="AN389" s="210"/>
      <c r="AO389" s="210"/>
      <c r="AP389" s="210"/>
      <c r="AQ389" s="210"/>
      <c r="AR389" s="210"/>
      <c r="AS389" s="210"/>
      <c r="AT389" s="210"/>
      <c r="AU389" s="210"/>
      <c r="AV389" s="210"/>
      <c r="AW389" s="210"/>
      <c r="AX389" s="210"/>
      <c r="AY389" s="210"/>
      <c r="AZ389" s="210"/>
      <c r="BA389" s="210"/>
      <c r="BB389" s="210"/>
      <c r="BC389" s="210"/>
      <c r="BD389" s="210"/>
      <c r="BE389" s="210"/>
      <c r="BF389" s="210"/>
      <c r="BG389" s="210"/>
      <c r="BH389" s="210"/>
      <c r="BI389" s="210"/>
      <c r="BJ389" s="210"/>
    </row>
    <row r="390" spans="1:62" ht="15" x14ac:dyDescent="0.2">
      <c r="A390" s="210"/>
      <c r="B390" s="210"/>
      <c r="C390" s="210"/>
      <c r="D390" s="210"/>
      <c r="E390" s="210"/>
      <c r="F390" s="210"/>
      <c r="G390" s="210"/>
      <c r="H390" s="210"/>
      <c r="I390" s="210"/>
      <c r="J390" s="210"/>
      <c r="K390" s="210"/>
      <c r="L390" s="210"/>
      <c r="M390" s="210"/>
      <c r="N390" s="210"/>
      <c r="O390" s="210"/>
      <c r="P390" s="210"/>
      <c r="Q390" s="210"/>
      <c r="R390" s="210"/>
      <c r="S390" s="210"/>
      <c r="T390" s="210"/>
      <c r="U390" s="210"/>
      <c r="V390" s="210"/>
      <c r="W390" s="210"/>
      <c r="X390" s="210"/>
      <c r="Y390" s="210"/>
      <c r="Z390" s="210"/>
      <c r="AA390" s="210"/>
      <c r="AB390" s="210"/>
      <c r="AC390" s="210"/>
      <c r="AD390" s="210"/>
      <c r="AE390" s="210"/>
      <c r="AF390" s="210"/>
      <c r="AG390" s="210"/>
      <c r="AH390" s="210"/>
      <c r="AI390" s="210"/>
      <c r="AJ390" s="210"/>
      <c r="AK390" s="210"/>
      <c r="AL390" s="210"/>
      <c r="AM390" s="210"/>
      <c r="AN390" s="210"/>
      <c r="AO390" s="210"/>
      <c r="AP390" s="210"/>
      <c r="AQ390" s="210"/>
      <c r="AR390" s="210"/>
      <c r="AS390" s="210"/>
      <c r="AT390" s="210"/>
      <c r="AU390" s="210"/>
      <c r="AV390" s="210"/>
      <c r="AW390" s="210"/>
      <c r="AX390" s="210"/>
      <c r="AY390" s="210"/>
      <c r="AZ390" s="210"/>
      <c r="BA390" s="210"/>
      <c r="BB390" s="210"/>
      <c r="BC390" s="210"/>
      <c r="BD390" s="210"/>
      <c r="BE390" s="210"/>
      <c r="BF390" s="210"/>
      <c r="BG390" s="210"/>
      <c r="BH390" s="210"/>
      <c r="BI390" s="210"/>
      <c r="BJ390" s="210"/>
    </row>
    <row r="391" spans="1:62" ht="15" x14ac:dyDescent="0.2">
      <c r="A391" s="210"/>
      <c r="B391" s="210"/>
      <c r="C391" s="210"/>
      <c r="D391" s="210"/>
      <c r="E391" s="210"/>
      <c r="F391" s="210"/>
      <c r="G391" s="210"/>
      <c r="H391" s="210"/>
      <c r="I391" s="210"/>
      <c r="J391" s="210"/>
      <c r="K391" s="210"/>
      <c r="L391" s="210"/>
      <c r="M391" s="210"/>
      <c r="N391" s="210"/>
      <c r="O391" s="210"/>
      <c r="P391" s="210"/>
      <c r="Q391" s="210"/>
      <c r="R391" s="210"/>
      <c r="S391" s="210"/>
      <c r="T391" s="210"/>
      <c r="U391" s="210"/>
      <c r="V391" s="210"/>
      <c r="W391" s="210"/>
      <c r="X391" s="210"/>
      <c r="Y391" s="210"/>
      <c r="Z391" s="210"/>
      <c r="AA391" s="210"/>
      <c r="AB391" s="210"/>
      <c r="AC391" s="210"/>
      <c r="AD391" s="210"/>
      <c r="AE391" s="210"/>
      <c r="AF391" s="210"/>
      <c r="AG391" s="210"/>
      <c r="AH391" s="210"/>
      <c r="AI391" s="210"/>
      <c r="AJ391" s="210"/>
      <c r="AK391" s="210"/>
      <c r="AL391" s="210"/>
      <c r="AM391" s="210"/>
      <c r="AN391" s="210"/>
      <c r="AO391" s="210"/>
      <c r="AP391" s="210"/>
      <c r="AQ391" s="210"/>
      <c r="AR391" s="210"/>
      <c r="AS391" s="210"/>
      <c r="AT391" s="210"/>
      <c r="AU391" s="210"/>
      <c r="AV391" s="210"/>
      <c r="AW391" s="210"/>
      <c r="AX391" s="210"/>
      <c r="AY391" s="210"/>
      <c r="AZ391" s="210"/>
      <c r="BA391" s="210"/>
      <c r="BB391" s="210"/>
      <c r="BC391" s="210"/>
      <c r="BD391" s="210"/>
      <c r="BE391" s="210"/>
      <c r="BF391" s="210"/>
      <c r="BG391" s="210"/>
      <c r="BH391" s="210"/>
      <c r="BI391" s="210"/>
      <c r="BJ391" s="210"/>
    </row>
    <row r="392" spans="1:62" ht="15" x14ac:dyDescent="0.2">
      <c r="A392" s="210"/>
      <c r="B392" s="210"/>
      <c r="C392" s="210"/>
      <c r="D392" s="210"/>
      <c r="E392" s="210"/>
      <c r="F392" s="210"/>
      <c r="G392" s="210"/>
      <c r="H392" s="210"/>
      <c r="I392" s="210"/>
      <c r="J392" s="210"/>
      <c r="K392" s="210"/>
      <c r="L392" s="210"/>
      <c r="M392" s="210"/>
      <c r="N392" s="210"/>
      <c r="O392" s="210"/>
      <c r="P392" s="210"/>
      <c r="Q392" s="210"/>
      <c r="R392" s="210"/>
      <c r="S392" s="210"/>
      <c r="T392" s="210"/>
      <c r="U392" s="210"/>
      <c r="V392" s="210"/>
      <c r="W392" s="210"/>
      <c r="X392" s="210"/>
      <c r="Y392" s="210"/>
      <c r="Z392" s="210"/>
      <c r="AA392" s="210"/>
      <c r="AB392" s="210"/>
      <c r="AC392" s="210"/>
      <c r="AD392" s="210"/>
      <c r="AE392" s="210"/>
      <c r="AF392" s="210"/>
      <c r="AG392" s="210"/>
      <c r="AH392" s="210"/>
      <c r="AI392" s="210"/>
      <c r="AJ392" s="210"/>
      <c r="AK392" s="210"/>
      <c r="AL392" s="210"/>
      <c r="AM392" s="210"/>
      <c r="AN392" s="210"/>
      <c r="AO392" s="210"/>
      <c r="AP392" s="210"/>
      <c r="AQ392" s="210"/>
      <c r="AR392" s="210"/>
      <c r="AS392" s="210"/>
      <c r="AT392" s="210"/>
      <c r="AU392" s="210"/>
      <c r="AV392" s="210"/>
      <c r="AW392" s="210"/>
      <c r="AX392" s="210"/>
      <c r="AY392" s="210"/>
      <c r="AZ392" s="210"/>
      <c r="BA392" s="210"/>
      <c r="BB392" s="210"/>
      <c r="BC392" s="210"/>
      <c r="BD392" s="210"/>
      <c r="BE392" s="210"/>
      <c r="BF392" s="210"/>
      <c r="BG392" s="210"/>
      <c r="BH392" s="210"/>
      <c r="BI392" s="210"/>
      <c r="BJ392" s="210"/>
    </row>
    <row r="393" spans="1:62" ht="15" x14ac:dyDescent="0.2">
      <c r="A393" s="210"/>
      <c r="B393" s="210"/>
      <c r="C393" s="210"/>
      <c r="D393" s="210"/>
      <c r="E393" s="210"/>
      <c r="F393" s="210"/>
      <c r="G393" s="210"/>
      <c r="H393" s="210"/>
      <c r="I393" s="210"/>
      <c r="J393" s="210"/>
      <c r="K393" s="210"/>
      <c r="L393" s="210"/>
      <c r="M393" s="210"/>
      <c r="N393" s="210"/>
      <c r="O393" s="210"/>
      <c r="P393" s="210"/>
      <c r="Q393" s="210"/>
      <c r="R393" s="210"/>
      <c r="S393" s="210"/>
      <c r="T393" s="210"/>
      <c r="U393" s="210"/>
      <c r="V393" s="210"/>
      <c r="W393" s="210"/>
      <c r="X393" s="210"/>
      <c r="Y393" s="210"/>
      <c r="Z393" s="210"/>
      <c r="AA393" s="210"/>
      <c r="AB393" s="210"/>
      <c r="AC393" s="210"/>
      <c r="AD393" s="210"/>
      <c r="AE393" s="210"/>
      <c r="AF393" s="210"/>
      <c r="AG393" s="210"/>
      <c r="AH393" s="210"/>
      <c r="AI393" s="210"/>
      <c r="AJ393" s="210"/>
      <c r="AK393" s="210"/>
      <c r="AL393" s="210"/>
      <c r="AM393" s="210"/>
      <c r="AN393" s="210"/>
      <c r="AO393" s="210"/>
      <c r="AP393" s="210"/>
      <c r="AQ393" s="210"/>
      <c r="AR393" s="210"/>
      <c r="AS393" s="210"/>
      <c r="AT393" s="210"/>
      <c r="AU393" s="210"/>
      <c r="AV393" s="210"/>
      <c r="AW393" s="210"/>
      <c r="AX393" s="210"/>
      <c r="AY393" s="210"/>
      <c r="AZ393" s="210"/>
      <c r="BA393" s="210"/>
      <c r="BB393" s="210"/>
      <c r="BC393" s="210"/>
      <c r="BD393" s="210"/>
      <c r="BE393" s="210"/>
      <c r="BF393" s="210"/>
      <c r="BG393" s="210"/>
      <c r="BH393" s="210"/>
      <c r="BI393" s="210"/>
      <c r="BJ393" s="210"/>
    </row>
    <row r="394" spans="1:62" ht="15" x14ac:dyDescent="0.2">
      <c r="A394" s="210"/>
      <c r="B394" s="210"/>
      <c r="C394" s="210"/>
      <c r="D394" s="210"/>
      <c r="E394" s="210"/>
      <c r="F394" s="210"/>
      <c r="G394" s="210"/>
      <c r="H394" s="210"/>
      <c r="I394" s="210"/>
      <c r="J394" s="210"/>
      <c r="K394" s="210"/>
      <c r="L394" s="210"/>
      <c r="M394" s="210"/>
      <c r="N394" s="210"/>
      <c r="O394" s="210"/>
      <c r="P394" s="210"/>
      <c r="Q394" s="210"/>
      <c r="R394" s="210"/>
      <c r="S394" s="210"/>
      <c r="T394" s="210"/>
      <c r="U394" s="210"/>
      <c r="V394" s="210"/>
      <c r="W394" s="210"/>
      <c r="X394" s="210"/>
      <c r="Y394" s="210"/>
      <c r="Z394" s="210"/>
      <c r="AA394" s="210"/>
      <c r="AB394" s="210"/>
      <c r="AC394" s="210"/>
      <c r="AD394" s="210"/>
      <c r="AE394" s="210"/>
      <c r="AF394" s="210"/>
      <c r="AG394" s="210"/>
      <c r="AH394" s="210"/>
      <c r="AI394" s="210"/>
      <c r="AJ394" s="210"/>
      <c r="AK394" s="210"/>
      <c r="AL394" s="210"/>
      <c r="AM394" s="210"/>
      <c r="AN394" s="210"/>
      <c r="AO394" s="210"/>
      <c r="AP394" s="210"/>
      <c r="AQ394" s="210"/>
      <c r="AR394" s="210"/>
      <c r="AS394" s="210"/>
      <c r="AT394" s="210"/>
      <c r="AU394" s="210"/>
      <c r="AV394" s="210"/>
      <c r="AW394" s="210"/>
      <c r="AX394" s="210"/>
      <c r="AY394" s="210"/>
      <c r="AZ394" s="210"/>
      <c r="BA394" s="210"/>
      <c r="BB394" s="210"/>
      <c r="BC394" s="210"/>
      <c r="BD394" s="210"/>
      <c r="BE394" s="210"/>
      <c r="BF394" s="210"/>
      <c r="BG394" s="210"/>
      <c r="BH394" s="210"/>
      <c r="BI394" s="210"/>
      <c r="BJ394" s="210"/>
    </row>
    <row r="395" spans="1:62" ht="15" x14ac:dyDescent="0.2">
      <c r="A395" s="210"/>
      <c r="B395" s="210"/>
      <c r="C395" s="210"/>
      <c r="D395" s="210"/>
      <c r="E395" s="210"/>
      <c r="F395" s="210"/>
      <c r="G395" s="210"/>
      <c r="H395" s="210"/>
      <c r="I395" s="210"/>
      <c r="J395" s="210"/>
      <c r="K395" s="210"/>
      <c r="L395" s="210"/>
      <c r="M395" s="210"/>
      <c r="N395" s="210"/>
      <c r="O395" s="210"/>
      <c r="P395" s="210"/>
      <c r="Q395" s="210"/>
      <c r="R395" s="210"/>
      <c r="S395" s="210"/>
      <c r="T395" s="210"/>
      <c r="U395" s="210"/>
      <c r="V395" s="210"/>
      <c r="W395" s="210"/>
      <c r="X395" s="210"/>
      <c r="Y395" s="210"/>
      <c r="Z395" s="210"/>
      <c r="AA395" s="210"/>
      <c r="AB395" s="210"/>
      <c r="AC395" s="210"/>
      <c r="AD395" s="210"/>
      <c r="AE395" s="210"/>
      <c r="AF395" s="210"/>
      <c r="AG395" s="210"/>
      <c r="AH395" s="210"/>
      <c r="AI395" s="210"/>
      <c r="AJ395" s="210"/>
      <c r="AK395" s="210"/>
      <c r="AL395" s="210"/>
      <c r="AM395" s="210"/>
      <c r="AN395" s="210"/>
      <c r="AO395" s="210"/>
      <c r="AP395" s="210"/>
      <c r="AQ395" s="210"/>
      <c r="AR395" s="210"/>
      <c r="AS395" s="210"/>
      <c r="AT395" s="210"/>
      <c r="AU395" s="210"/>
      <c r="AV395" s="210"/>
      <c r="AW395" s="210"/>
      <c r="AX395" s="210"/>
      <c r="AY395" s="210"/>
      <c r="AZ395" s="210"/>
      <c r="BA395" s="210"/>
      <c r="BB395" s="210"/>
      <c r="BC395" s="210"/>
      <c r="BD395" s="210"/>
      <c r="BE395" s="210"/>
      <c r="BF395" s="210"/>
      <c r="BG395" s="210"/>
      <c r="BH395" s="210"/>
      <c r="BI395" s="210"/>
      <c r="BJ395" s="210"/>
    </row>
    <row r="396" spans="1:62" ht="15" x14ac:dyDescent="0.2">
      <c r="A396" s="210"/>
      <c r="B396" s="210"/>
      <c r="C396" s="210"/>
      <c r="D396" s="210"/>
      <c r="E396" s="210"/>
      <c r="F396" s="210"/>
      <c r="G396" s="210"/>
      <c r="H396" s="210"/>
      <c r="I396" s="210"/>
      <c r="J396" s="210"/>
      <c r="K396" s="210"/>
      <c r="L396" s="210"/>
      <c r="M396" s="210"/>
      <c r="N396" s="210"/>
      <c r="O396" s="210"/>
      <c r="P396" s="210"/>
      <c r="Q396" s="210"/>
      <c r="R396" s="210"/>
      <c r="S396" s="210"/>
      <c r="T396" s="210"/>
      <c r="U396" s="210"/>
      <c r="V396" s="210"/>
      <c r="W396" s="210"/>
      <c r="X396" s="210"/>
      <c r="Y396" s="210"/>
      <c r="Z396" s="210"/>
      <c r="AA396" s="210"/>
      <c r="AB396" s="210"/>
      <c r="AC396" s="210"/>
      <c r="AD396" s="210"/>
      <c r="AE396" s="210"/>
      <c r="AF396" s="210"/>
      <c r="AG396" s="210"/>
      <c r="AH396" s="210"/>
      <c r="AI396" s="210"/>
      <c r="AJ396" s="210"/>
      <c r="AK396" s="210"/>
      <c r="AL396" s="210"/>
      <c r="AM396" s="210"/>
      <c r="AN396" s="210"/>
      <c r="AO396" s="210"/>
      <c r="AP396" s="210"/>
      <c r="AQ396" s="210"/>
      <c r="AR396" s="210"/>
      <c r="AS396" s="210"/>
      <c r="AT396" s="210"/>
      <c r="AU396" s="210"/>
      <c r="AV396" s="210"/>
      <c r="AW396" s="210"/>
      <c r="AX396" s="210"/>
      <c r="AY396" s="210"/>
      <c r="AZ396" s="210"/>
      <c r="BA396" s="210"/>
      <c r="BB396" s="210"/>
      <c r="BC396" s="210"/>
      <c r="BD396" s="210"/>
      <c r="BE396" s="210"/>
      <c r="BF396" s="210"/>
      <c r="BG396" s="210"/>
      <c r="BH396" s="210"/>
      <c r="BI396" s="210"/>
      <c r="BJ396" s="210"/>
    </row>
    <row r="397" spans="1:62" ht="15" x14ac:dyDescent="0.2">
      <c r="A397" s="210"/>
      <c r="B397" s="210"/>
      <c r="C397" s="210"/>
      <c r="D397" s="210"/>
      <c r="E397" s="210"/>
      <c r="F397" s="210"/>
      <c r="G397" s="210"/>
      <c r="H397" s="210"/>
      <c r="I397" s="210"/>
      <c r="J397" s="210"/>
      <c r="K397" s="210"/>
      <c r="L397" s="210"/>
      <c r="M397" s="210"/>
      <c r="N397" s="210"/>
      <c r="O397" s="210"/>
      <c r="P397" s="210"/>
      <c r="Q397" s="210"/>
      <c r="R397" s="210"/>
      <c r="S397" s="210"/>
      <c r="T397" s="210"/>
      <c r="U397" s="210"/>
      <c r="V397" s="210"/>
      <c r="W397" s="210"/>
      <c r="X397" s="210"/>
      <c r="Y397" s="210"/>
      <c r="Z397" s="210"/>
      <c r="AA397" s="210"/>
      <c r="AB397" s="210"/>
      <c r="AC397" s="210"/>
      <c r="AD397" s="210"/>
      <c r="AE397" s="210"/>
      <c r="AF397" s="210"/>
      <c r="AG397" s="210"/>
      <c r="AH397" s="210"/>
      <c r="AI397" s="210"/>
      <c r="AJ397" s="210"/>
      <c r="AK397" s="210"/>
      <c r="AL397" s="210"/>
      <c r="AM397" s="210"/>
      <c r="AN397" s="210"/>
      <c r="AO397" s="210"/>
      <c r="AP397" s="210"/>
      <c r="AQ397" s="210"/>
      <c r="AR397" s="210"/>
      <c r="AS397" s="210"/>
      <c r="AT397" s="210"/>
      <c r="AU397" s="210"/>
      <c r="AV397" s="210"/>
      <c r="AW397" s="210"/>
      <c r="AX397" s="210"/>
      <c r="AY397" s="210"/>
      <c r="AZ397" s="210"/>
      <c r="BA397" s="210"/>
      <c r="BB397" s="210"/>
      <c r="BC397" s="210"/>
      <c r="BD397" s="210"/>
      <c r="BE397" s="210"/>
      <c r="BF397" s="210"/>
      <c r="BG397" s="210"/>
      <c r="BH397" s="210"/>
      <c r="BI397" s="210"/>
      <c r="BJ397" s="210"/>
    </row>
    <row r="398" spans="1:62" ht="15" x14ac:dyDescent="0.2">
      <c r="A398" s="210"/>
      <c r="B398" s="210"/>
      <c r="C398" s="210"/>
      <c r="D398" s="210"/>
      <c r="E398" s="210"/>
      <c r="F398" s="210"/>
      <c r="G398" s="210"/>
      <c r="H398" s="210"/>
      <c r="I398" s="210"/>
      <c r="J398" s="210"/>
      <c r="K398" s="210"/>
      <c r="L398" s="210"/>
      <c r="M398" s="210"/>
      <c r="N398" s="210"/>
      <c r="O398" s="210"/>
      <c r="P398" s="210"/>
      <c r="Q398" s="210"/>
      <c r="R398" s="210"/>
      <c r="S398" s="210"/>
      <c r="T398" s="210"/>
      <c r="U398" s="210"/>
      <c r="V398" s="210"/>
      <c r="W398" s="210"/>
      <c r="X398" s="210"/>
      <c r="Y398" s="210"/>
      <c r="Z398" s="210"/>
      <c r="AA398" s="210"/>
      <c r="AB398" s="210"/>
      <c r="AC398" s="210"/>
      <c r="AD398" s="210"/>
      <c r="AE398" s="210"/>
      <c r="AF398" s="210"/>
      <c r="AG398" s="210"/>
      <c r="AH398" s="210"/>
      <c r="AI398" s="210"/>
      <c r="AJ398" s="210"/>
      <c r="AK398" s="210"/>
      <c r="AL398" s="210"/>
      <c r="AM398" s="210"/>
      <c r="AN398" s="210"/>
      <c r="AO398" s="210"/>
      <c r="AP398" s="210"/>
      <c r="AQ398" s="210"/>
      <c r="AR398" s="210"/>
      <c r="AS398" s="210"/>
      <c r="AT398" s="210"/>
      <c r="AU398" s="210"/>
      <c r="AV398" s="210"/>
      <c r="AW398" s="210"/>
      <c r="AX398" s="210"/>
      <c r="AY398" s="210"/>
      <c r="AZ398" s="210"/>
      <c r="BA398" s="210"/>
      <c r="BB398" s="210"/>
      <c r="BC398" s="210"/>
      <c r="BD398" s="210"/>
      <c r="BE398" s="210"/>
      <c r="BF398" s="210"/>
      <c r="BG398" s="210"/>
      <c r="BH398" s="210"/>
      <c r="BI398" s="210"/>
      <c r="BJ398" s="210"/>
    </row>
    <row r="399" spans="1:62" ht="15" x14ac:dyDescent="0.2">
      <c r="A399" s="210"/>
      <c r="B399" s="210"/>
      <c r="C399" s="210"/>
      <c r="D399" s="210"/>
      <c r="E399" s="210"/>
      <c r="F399" s="210"/>
      <c r="G399" s="210"/>
      <c r="H399" s="210"/>
      <c r="I399" s="210"/>
      <c r="J399" s="210"/>
      <c r="K399" s="210"/>
      <c r="L399" s="210"/>
      <c r="M399" s="210"/>
      <c r="N399" s="210"/>
      <c r="O399" s="210"/>
      <c r="P399" s="210"/>
      <c r="Q399" s="210"/>
      <c r="R399" s="210"/>
      <c r="S399" s="210"/>
      <c r="T399" s="210"/>
      <c r="U399" s="210"/>
      <c r="V399" s="210"/>
      <c r="W399" s="210"/>
      <c r="X399" s="210"/>
      <c r="Y399" s="210"/>
      <c r="Z399" s="210"/>
      <c r="AA399" s="210"/>
      <c r="AB399" s="210"/>
      <c r="AC399" s="210"/>
      <c r="AD399" s="210"/>
      <c r="AE399" s="210"/>
      <c r="AF399" s="210"/>
      <c r="AG399" s="210"/>
      <c r="AH399" s="210"/>
      <c r="AI399" s="210"/>
      <c r="AJ399" s="210"/>
      <c r="AK399" s="210"/>
      <c r="AL399" s="210"/>
      <c r="AM399" s="210"/>
      <c r="AN399" s="210"/>
      <c r="AO399" s="210"/>
      <c r="AP399" s="210"/>
      <c r="AQ399" s="210"/>
      <c r="AR399" s="210"/>
      <c r="AS399" s="210"/>
      <c r="AT399" s="210"/>
      <c r="AU399" s="210"/>
      <c r="AV399" s="210"/>
      <c r="AW399" s="210"/>
      <c r="AX399" s="210"/>
      <c r="AY399" s="210"/>
      <c r="AZ399" s="210"/>
      <c r="BA399" s="210"/>
      <c r="BB399" s="210"/>
      <c r="BC399" s="210"/>
      <c r="BD399" s="210"/>
      <c r="BE399" s="210"/>
      <c r="BF399" s="210"/>
      <c r="BG399" s="210"/>
      <c r="BH399" s="210"/>
      <c r="BI399" s="210"/>
      <c r="BJ399" s="210"/>
    </row>
    <row r="400" spans="1:62" ht="15" x14ac:dyDescent="0.2">
      <c r="A400" s="210"/>
      <c r="B400" s="210"/>
      <c r="C400" s="210"/>
      <c r="D400" s="210"/>
      <c r="E400" s="210"/>
      <c r="F400" s="210"/>
      <c r="G400" s="210"/>
      <c r="H400" s="210"/>
      <c r="I400" s="210"/>
      <c r="J400" s="210"/>
      <c r="K400" s="210"/>
      <c r="L400" s="210"/>
      <c r="M400" s="210"/>
      <c r="N400" s="210"/>
      <c r="O400" s="210"/>
      <c r="P400" s="210"/>
      <c r="Q400" s="210"/>
      <c r="R400" s="210"/>
      <c r="S400" s="210"/>
      <c r="T400" s="210"/>
      <c r="U400" s="210"/>
      <c r="V400" s="210"/>
      <c r="W400" s="210"/>
      <c r="X400" s="210"/>
      <c r="Y400" s="210"/>
      <c r="Z400" s="210"/>
      <c r="AA400" s="210"/>
      <c r="AB400" s="210"/>
      <c r="AC400" s="210"/>
      <c r="AD400" s="210"/>
      <c r="AE400" s="210"/>
      <c r="AF400" s="210"/>
      <c r="AG400" s="210"/>
      <c r="AH400" s="210"/>
      <c r="AI400" s="210"/>
      <c r="AJ400" s="210"/>
      <c r="AK400" s="210"/>
      <c r="AL400" s="210"/>
      <c r="AM400" s="210"/>
      <c r="AN400" s="210"/>
      <c r="AO400" s="210"/>
      <c r="AP400" s="210"/>
      <c r="AQ400" s="210"/>
      <c r="AR400" s="210"/>
      <c r="AS400" s="210"/>
      <c r="AT400" s="210"/>
      <c r="AU400" s="210"/>
      <c r="AV400" s="210"/>
      <c r="AW400" s="210"/>
      <c r="AX400" s="210"/>
      <c r="AY400" s="210"/>
      <c r="AZ400" s="210"/>
      <c r="BA400" s="210"/>
      <c r="BB400" s="210"/>
      <c r="BC400" s="210"/>
      <c r="BD400" s="210"/>
      <c r="BE400" s="210"/>
      <c r="BF400" s="210"/>
      <c r="BG400" s="210"/>
      <c r="BH400" s="210"/>
      <c r="BI400" s="210"/>
      <c r="BJ400" s="210"/>
    </row>
    <row r="401" spans="1:62" ht="15" x14ac:dyDescent="0.2">
      <c r="A401" s="210"/>
      <c r="B401" s="210"/>
      <c r="C401" s="210"/>
      <c r="D401" s="210"/>
      <c r="E401" s="210"/>
      <c r="F401" s="210"/>
      <c r="G401" s="210"/>
      <c r="H401" s="210"/>
      <c r="I401" s="210"/>
      <c r="J401" s="210"/>
      <c r="K401" s="210"/>
      <c r="L401" s="210"/>
      <c r="M401" s="210"/>
      <c r="N401" s="210"/>
      <c r="O401" s="210"/>
      <c r="P401" s="210"/>
      <c r="Q401" s="210"/>
      <c r="R401" s="210"/>
      <c r="S401" s="210"/>
      <c r="T401" s="210"/>
      <c r="U401" s="210"/>
      <c r="V401" s="210"/>
      <c r="W401" s="210"/>
      <c r="X401" s="210"/>
      <c r="Y401" s="210"/>
      <c r="Z401" s="210"/>
      <c r="AA401" s="210"/>
      <c r="AB401" s="210"/>
      <c r="AC401" s="210"/>
      <c r="AD401" s="210"/>
      <c r="AE401" s="210"/>
      <c r="AF401" s="210"/>
      <c r="AG401" s="210"/>
      <c r="AH401" s="210"/>
      <c r="AI401" s="210"/>
      <c r="AJ401" s="210"/>
      <c r="AK401" s="210"/>
      <c r="AL401" s="210"/>
      <c r="AM401" s="210"/>
      <c r="AN401" s="210"/>
      <c r="AO401" s="210"/>
      <c r="AP401" s="210"/>
      <c r="AQ401" s="210"/>
      <c r="AR401" s="210"/>
      <c r="AS401" s="210"/>
      <c r="AT401" s="210"/>
      <c r="AU401" s="210"/>
      <c r="AV401" s="210"/>
      <c r="AW401" s="210"/>
      <c r="AX401" s="210"/>
      <c r="AY401" s="210"/>
      <c r="AZ401" s="210"/>
      <c r="BA401" s="210"/>
      <c r="BB401" s="210"/>
      <c r="BC401" s="210"/>
      <c r="BD401" s="210"/>
      <c r="BE401" s="210"/>
      <c r="BF401" s="210"/>
      <c r="BG401" s="210"/>
      <c r="BH401" s="210"/>
      <c r="BI401" s="210"/>
      <c r="BJ401" s="210"/>
    </row>
    <row r="402" spans="1:62" ht="15" x14ac:dyDescent="0.2">
      <c r="A402" s="210"/>
      <c r="B402" s="210"/>
      <c r="C402" s="210"/>
      <c r="D402" s="210"/>
      <c r="E402" s="210"/>
      <c r="F402" s="210"/>
      <c r="G402" s="210"/>
      <c r="H402" s="210"/>
      <c r="I402" s="210"/>
      <c r="J402" s="210"/>
      <c r="K402" s="210"/>
      <c r="L402" s="210"/>
      <c r="M402" s="210"/>
      <c r="N402" s="210"/>
      <c r="O402" s="210"/>
      <c r="P402" s="210"/>
      <c r="Q402" s="210"/>
      <c r="R402" s="210"/>
      <c r="S402" s="210"/>
      <c r="T402" s="210"/>
      <c r="U402" s="210"/>
      <c r="V402" s="210"/>
      <c r="W402" s="210"/>
      <c r="X402" s="210"/>
      <c r="Y402" s="210"/>
      <c r="Z402" s="210"/>
      <c r="AA402" s="210"/>
      <c r="AB402" s="210"/>
      <c r="AC402" s="210"/>
      <c r="AD402" s="210"/>
      <c r="AE402" s="210"/>
      <c r="AF402" s="210"/>
      <c r="AG402" s="210"/>
      <c r="AH402" s="210"/>
      <c r="AI402" s="210"/>
      <c r="AJ402" s="210"/>
      <c r="AK402" s="210"/>
      <c r="AL402" s="210"/>
      <c r="AM402" s="210"/>
      <c r="AN402" s="210"/>
      <c r="AO402" s="210"/>
      <c r="AP402" s="210"/>
      <c r="AQ402" s="210"/>
      <c r="AR402" s="210"/>
      <c r="AS402" s="210"/>
      <c r="AT402" s="210"/>
      <c r="AU402" s="210"/>
      <c r="AV402" s="210"/>
      <c r="AW402" s="210"/>
      <c r="AX402" s="210"/>
      <c r="AY402" s="210"/>
      <c r="AZ402" s="210"/>
      <c r="BA402" s="210"/>
      <c r="BB402" s="210"/>
      <c r="BC402" s="210"/>
      <c r="BD402" s="210"/>
      <c r="BE402" s="210"/>
      <c r="BF402" s="210"/>
      <c r="BG402" s="210"/>
      <c r="BH402" s="210"/>
      <c r="BI402" s="210"/>
      <c r="BJ402" s="210"/>
    </row>
    <row r="403" spans="1:62" ht="15" x14ac:dyDescent="0.2">
      <c r="A403" s="210"/>
      <c r="B403" s="210"/>
      <c r="C403" s="210"/>
      <c r="D403" s="210"/>
      <c r="E403" s="210"/>
      <c r="F403" s="210"/>
      <c r="G403" s="210"/>
      <c r="H403" s="210"/>
      <c r="I403" s="210"/>
      <c r="J403" s="210"/>
      <c r="K403" s="210"/>
      <c r="L403" s="210"/>
      <c r="M403" s="210"/>
      <c r="N403" s="210"/>
      <c r="O403" s="210"/>
      <c r="P403" s="210"/>
      <c r="Q403" s="210"/>
      <c r="R403" s="210"/>
      <c r="S403" s="210"/>
      <c r="T403" s="210"/>
      <c r="U403" s="210"/>
      <c r="V403" s="210"/>
      <c r="W403" s="210"/>
      <c r="X403" s="210"/>
      <c r="Y403" s="210"/>
      <c r="Z403" s="210"/>
      <c r="AA403" s="210"/>
      <c r="AB403" s="210"/>
      <c r="AC403" s="210"/>
      <c r="AD403" s="210"/>
      <c r="AE403" s="210"/>
      <c r="AF403" s="210"/>
      <c r="AG403" s="210"/>
      <c r="AH403" s="210"/>
      <c r="AI403" s="210"/>
      <c r="AJ403" s="210"/>
      <c r="AK403" s="210"/>
      <c r="AL403" s="210"/>
      <c r="AM403" s="210"/>
      <c r="AN403" s="210"/>
      <c r="AO403" s="210"/>
      <c r="AP403" s="210"/>
      <c r="AQ403" s="210"/>
      <c r="AR403" s="210"/>
      <c r="AS403" s="210"/>
      <c r="AT403" s="210"/>
      <c r="AU403" s="210"/>
      <c r="AV403" s="210"/>
      <c r="AW403" s="210"/>
      <c r="AX403" s="210"/>
      <c r="AY403" s="210"/>
      <c r="AZ403" s="210"/>
      <c r="BA403" s="210"/>
      <c r="BB403" s="210"/>
      <c r="BC403" s="210"/>
      <c r="BD403" s="210"/>
      <c r="BE403" s="210"/>
      <c r="BF403" s="210"/>
      <c r="BG403" s="210"/>
      <c r="BH403" s="210"/>
      <c r="BI403" s="210"/>
      <c r="BJ403" s="210"/>
    </row>
    <row r="404" spans="1:62" ht="15" x14ac:dyDescent="0.2">
      <c r="A404" s="210"/>
      <c r="B404" s="210"/>
      <c r="C404" s="210"/>
      <c r="D404" s="210"/>
      <c r="E404" s="210"/>
      <c r="F404" s="210"/>
      <c r="G404" s="210"/>
      <c r="H404" s="210"/>
      <c r="I404" s="210"/>
      <c r="J404" s="210"/>
      <c r="K404" s="210"/>
      <c r="L404" s="210"/>
      <c r="M404" s="210"/>
      <c r="N404" s="210"/>
      <c r="O404" s="210"/>
      <c r="P404" s="210"/>
      <c r="Q404" s="210"/>
      <c r="R404" s="210"/>
      <c r="S404" s="210"/>
      <c r="T404" s="210"/>
      <c r="U404" s="210"/>
      <c r="V404" s="210"/>
      <c r="W404" s="210"/>
      <c r="X404" s="210"/>
      <c r="Y404" s="210"/>
      <c r="Z404" s="210"/>
      <c r="AA404" s="210"/>
      <c r="AB404" s="210"/>
      <c r="AC404" s="210"/>
      <c r="AD404" s="210"/>
      <c r="AE404" s="210"/>
      <c r="AF404" s="210"/>
      <c r="AG404" s="210"/>
      <c r="AH404" s="210"/>
      <c r="AI404" s="210"/>
      <c r="AJ404" s="210"/>
      <c r="AK404" s="210"/>
      <c r="AL404" s="210"/>
      <c r="AM404" s="210"/>
      <c r="AN404" s="210"/>
      <c r="AO404" s="210"/>
      <c r="AP404" s="210"/>
      <c r="AQ404" s="210"/>
      <c r="AR404" s="210"/>
      <c r="AS404" s="210"/>
      <c r="AT404" s="210"/>
      <c r="AU404" s="210"/>
      <c r="AV404" s="210"/>
      <c r="AW404" s="210"/>
      <c r="AX404" s="210"/>
      <c r="AY404" s="210"/>
      <c r="AZ404" s="210"/>
      <c r="BA404" s="210"/>
      <c r="BB404" s="210"/>
      <c r="BC404" s="210"/>
      <c r="BD404" s="210"/>
      <c r="BE404" s="210"/>
      <c r="BF404" s="210"/>
      <c r="BG404" s="210"/>
      <c r="BH404" s="210"/>
      <c r="BI404" s="210"/>
      <c r="BJ404" s="210"/>
    </row>
    <row r="405" spans="1:62" ht="15" x14ac:dyDescent="0.2">
      <c r="A405" s="210"/>
      <c r="B405" s="210"/>
      <c r="C405" s="210"/>
      <c r="D405" s="210"/>
      <c r="E405" s="210"/>
      <c r="F405" s="210"/>
      <c r="G405" s="210"/>
      <c r="H405" s="210"/>
      <c r="I405" s="210"/>
      <c r="J405" s="210"/>
      <c r="K405" s="210"/>
      <c r="L405" s="210"/>
      <c r="M405" s="210"/>
      <c r="N405" s="210"/>
      <c r="O405" s="210"/>
      <c r="P405" s="210"/>
      <c r="Q405" s="210"/>
      <c r="R405" s="210"/>
      <c r="S405" s="210"/>
      <c r="T405" s="210"/>
      <c r="U405" s="210"/>
      <c r="V405" s="210"/>
      <c r="W405" s="210"/>
      <c r="X405" s="210"/>
      <c r="Y405" s="210"/>
      <c r="Z405" s="210"/>
      <c r="AA405" s="210"/>
      <c r="AB405" s="210"/>
      <c r="AC405" s="210"/>
      <c r="AD405" s="210"/>
      <c r="AE405" s="210"/>
      <c r="AF405" s="210"/>
      <c r="AG405" s="210"/>
      <c r="AH405" s="210"/>
      <c r="AI405" s="210"/>
      <c r="AJ405" s="210"/>
      <c r="AK405" s="210"/>
      <c r="AL405" s="210"/>
      <c r="AM405" s="210"/>
      <c r="AN405" s="210"/>
      <c r="AO405" s="210"/>
      <c r="AP405" s="210"/>
      <c r="AQ405" s="210"/>
      <c r="AR405" s="210"/>
      <c r="AS405" s="210"/>
      <c r="AT405" s="210"/>
      <c r="AU405" s="210"/>
      <c r="AV405" s="210"/>
      <c r="AW405" s="210"/>
      <c r="AX405" s="210"/>
      <c r="AY405" s="210"/>
      <c r="AZ405" s="210"/>
      <c r="BA405" s="210"/>
      <c r="BB405" s="210"/>
      <c r="BC405" s="210"/>
      <c r="BD405" s="210"/>
      <c r="BE405" s="210"/>
      <c r="BF405" s="210"/>
      <c r="BG405" s="210"/>
      <c r="BH405" s="210"/>
      <c r="BI405" s="210"/>
      <c r="BJ405" s="210"/>
    </row>
    <row r="406" spans="1:62" ht="15" x14ac:dyDescent="0.2">
      <c r="A406" s="210"/>
      <c r="B406" s="210"/>
      <c r="C406" s="210"/>
      <c r="D406" s="210"/>
      <c r="E406" s="210"/>
      <c r="F406" s="210"/>
      <c r="G406" s="210"/>
      <c r="H406" s="210"/>
      <c r="I406" s="210"/>
      <c r="J406" s="210"/>
      <c r="K406" s="210"/>
      <c r="L406" s="210"/>
      <c r="M406" s="210"/>
      <c r="N406" s="210"/>
      <c r="O406" s="210"/>
      <c r="P406" s="210"/>
      <c r="Q406" s="210"/>
      <c r="R406" s="210"/>
      <c r="S406" s="210"/>
      <c r="T406" s="210"/>
      <c r="U406" s="210"/>
      <c r="V406" s="210"/>
      <c r="W406" s="210"/>
      <c r="X406" s="210"/>
      <c r="Y406" s="210"/>
      <c r="Z406" s="210"/>
      <c r="AA406" s="210"/>
      <c r="AB406" s="210"/>
      <c r="AC406" s="210"/>
      <c r="AD406" s="210"/>
      <c r="AE406" s="210"/>
      <c r="AF406" s="210"/>
      <c r="AG406" s="210"/>
      <c r="AH406" s="210"/>
      <c r="AI406" s="210"/>
      <c r="AJ406" s="210"/>
      <c r="AK406" s="210"/>
      <c r="AL406" s="210"/>
      <c r="AM406" s="210"/>
      <c r="AN406" s="210"/>
      <c r="AO406" s="210"/>
      <c r="AP406" s="210"/>
      <c r="AQ406" s="210"/>
      <c r="AR406" s="210"/>
      <c r="AS406" s="210"/>
      <c r="AT406" s="210"/>
      <c r="AU406" s="210"/>
      <c r="AV406" s="210"/>
      <c r="AW406" s="210"/>
      <c r="AX406" s="210"/>
      <c r="AY406" s="210"/>
      <c r="AZ406" s="210"/>
      <c r="BA406" s="210"/>
      <c r="BB406" s="210"/>
      <c r="BC406" s="210"/>
      <c r="BD406" s="210"/>
      <c r="BE406" s="210"/>
      <c r="BF406" s="210"/>
      <c r="BG406" s="210"/>
      <c r="BH406" s="210"/>
      <c r="BI406" s="210"/>
      <c r="BJ406" s="210"/>
    </row>
    <row r="407" spans="1:62" ht="15" x14ac:dyDescent="0.2">
      <c r="A407" s="210"/>
      <c r="B407" s="210"/>
      <c r="C407" s="210"/>
      <c r="D407" s="210"/>
      <c r="E407" s="210"/>
      <c r="F407" s="210"/>
      <c r="G407" s="210"/>
      <c r="H407" s="210"/>
      <c r="I407" s="210"/>
      <c r="J407" s="210"/>
      <c r="K407" s="210"/>
      <c r="L407" s="210"/>
      <c r="M407" s="210"/>
      <c r="N407" s="210"/>
      <c r="O407" s="210"/>
      <c r="P407" s="210"/>
      <c r="Q407" s="210"/>
      <c r="R407" s="210"/>
      <c r="S407" s="210"/>
      <c r="T407" s="210"/>
      <c r="U407" s="210"/>
      <c r="V407" s="210"/>
      <c r="W407" s="210"/>
      <c r="X407" s="210"/>
      <c r="Y407" s="210"/>
      <c r="Z407" s="210"/>
      <c r="AA407" s="210"/>
      <c r="AB407" s="210"/>
      <c r="AC407" s="210"/>
      <c r="AD407" s="210"/>
      <c r="AE407" s="210"/>
      <c r="AF407" s="210"/>
      <c r="AG407" s="210"/>
      <c r="AH407" s="210"/>
      <c r="AI407" s="210"/>
      <c r="AJ407" s="210"/>
      <c r="AK407" s="210"/>
      <c r="AL407" s="210"/>
      <c r="AM407" s="210"/>
      <c r="AN407" s="210"/>
      <c r="AO407" s="210"/>
      <c r="AP407" s="210"/>
      <c r="AQ407" s="210"/>
      <c r="AR407" s="210"/>
      <c r="AS407" s="210"/>
      <c r="AT407" s="210"/>
      <c r="AU407" s="210"/>
      <c r="AV407" s="210"/>
      <c r="AW407" s="210"/>
      <c r="AX407" s="210"/>
      <c r="AY407" s="210"/>
      <c r="AZ407" s="210"/>
      <c r="BA407" s="210"/>
      <c r="BB407" s="210"/>
      <c r="BC407" s="210"/>
      <c r="BD407" s="210"/>
      <c r="BE407" s="210"/>
      <c r="BF407" s="210"/>
      <c r="BG407" s="210"/>
      <c r="BH407" s="210"/>
      <c r="BI407" s="210"/>
      <c r="BJ407" s="210"/>
    </row>
    <row r="408" spans="1:62" ht="15" x14ac:dyDescent="0.2">
      <c r="A408" s="210"/>
      <c r="B408" s="210"/>
      <c r="C408" s="210"/>
      <c r="D408" s="210"/>
      <c r="E408" s="210"/>
      <c r="F408" s="210"/>
      <c r="G408" s="210"/>
      <c r="H408" s="210"/>
      <c r="I408" s="210"/>
      <c r="J408" s="210"/>
      <c r="K408" s="210"/>
      <c r="L408" s="210"/>
      <c r="M408" s="210"/>
      <c r="N408" s="210"/>
      <c r="O408" s="210"/>
      <c r="P408" s="210"/>
      <c r="Q408" s="210"/>
      <c r="R408" s="210"/>
      <c r="S408" s="210"/>
      <c r="T408" s="210"/>
      <c r="U408" s="210"/>
      <c r="V408" s="210"/>
      <c r="W408" s="210"/>
      <c r="X408" s="210"/>
      <c r="Y408" s="210"/>
      <c r="Z408" s="210"/>
      <c r="AA408" s="210"/>
      <c r="AB408" s="210"/>
      <c r="AC408" s="210"/>
      <c r="AD408" s="210"/>
      <c r="AE408" s="210"/>
      <c r="AF408" s="210"/>
      <c r="AG408" s="210"/>
      <c r="AH408" s="210"/>
      <c r="AI408" s="210"/>
      <c r="AJ408" s="210"/>
      <c r="AK408" s="210"/>
      <c r="AL408" s="210"/>
      <c r="AM408" s="210"/>
      <c r="AN408" s="210"/>
      <c r="AO408" s="210"/>
      <c r="AP408" s="210"/>
      <c r="AQ408" s="210"/>
      <c r="AR408" s="210"/>
      <c r="AS408" s="210"/>
      <c r="AT408" s="210"/>
      <c r="AU408" s="210"/>
      <c r="AV408" s="210"/>
      <c r="AW408" s="210"/>
      <c r="AX408" s="210"/>
      <c r="AY408" s="210"/>
      <c r="AZ408" s="210"/>
      <c r="BA408" s="210"/>
      <c r="BB408" s="210"/>
      <c r="BC408" s="210"/>
      <c r="BD408" s="210"/>
      <c r="BE408" s="210"/>
      <c r="BF408" s="210"/>
      <c r="BG408" s="210"/>
      <c r="BH408" s="210"/>
      <c r="BI408" s="210"/>
      <c r="BJ408" s="210"/>
    </row>
    <row r="409" spans="1:62" ht="15" x14ac:dyDescent="0.2">
      <c r="A409" s="210"/>
      <c r="B409" s="210"/>
      <c r="C409" s="210"/>
      <c r="D409" s="210"/>
      <c r="E409" s="210"/>
      <c r="F409" s="210"/>
      <c r="G409" s="210"/>
      <c r="H409" s="210"/>
      <c r="I409" s="210"/>
      <c r="J409" s="210"/>
      <c r="K409" s="210"/>
      <c r="L409" s="210"/>
      <c r="M409" s="210"/>
      <c r="N409" s="210"/>
      <c r="O409" s="210"/>
      <c r="P409" s="210"/>
      <c r="Q409" s="210"/>
      <c r="R409" s="210"/>
      <c r="S409" s="210"/>
      <c r="T409" s="210"/>
      <c r="U409" s="210"/>
      <c r="V409" s="210"/>
      <c r="W409" s="210"/>
      <c r="X409" s="210"/>
      <c r="Y409" s="210"/>
      <c r="Z409" s="210"/>
      <c r="AA409" s="210"/>
      <c r="AB409" s="210"/>
      <c r="AC409" s="210"/>
      <c r="AD409" s="210"/>
      <c r="AE409" s="210"/>
      <c r="AF409" s="210"/>
      <c r="AG409" s="210"/>
      <c r="AH409" s="210"/>
      <c r="AI409" s="210"/>
      <c r="AJ409" s="210"/>
      <c r="AK409" s="210"/>
      <c r="AL409" s="210"/>
      <c r="AM409" s="210"/>
      <c r="AN409" s="210"/>
      <c r="AO409" s="210"/>
      <c r="AP409" s="210"/>
      <c r="AQ409" s="210"/>
      <c r="AR409" s="210"/>
      <c r="AS409" s="210"/>
      <c r="AT409" s="210"/>
      <c r="AU409" s="210"/>
      <c r="AV409" s="210"/>
      <c r="AW409" s="210"/>
      <c r="AX409" s="210"/>
      <c r="AY409" s="210"/>
      <c r="AZ409" s="210"/>
      <c r="BA409" s="210"/>
      <c r="BB409" s="210"/>
      <c r="BC409" s="210"/>
      <c r="BD409" s="210"/>
      <c r="BE409" s="210"/>
      <c r="BF409" s="210"/>
      <c r="BG409" s="210"/>
      <c r="BH409" s="210"/>
      <c r="BI409" s="210"/>
      <c r="BJ409" s="210"/>
    </row>
    <row r="410" spans="1:62" ht="15" x14ac:dyDescent="0.2">
      <c r="A410" s="210"/>
      <c r="B410" s="210"/>
      <c r="C410" s="210"/>
      <c r="D410" s="210"/>
      <c r="E410" s="210"/>
      <c r="F410" s="210"/>
      <c r="G410" s="210"/>
      <c r="H410" s="210"/>
      <c r="I410" s="210"/>
      <c r="J410" s="210"/>
      <c r="K410" s="210"/>
      <c r="L410" s="210"/>
      <c r="M410" s="210"/>
      <c r="N410" s="210"/>
      <c r="O410" s="210"/>
      <c r="P410" s="210"/>
      <c r="Q410" s="210"/>
      <c r="R410" s="210"/>
      <c r="S410" s="210"/>
      <c r="T410" s="210"/>
      <c r="U410" s="210"/>
      <c r="V410" s="210"/>
      <c r="W410" s="210"/>
      <c r="X410" s="210"/>
      <c r="Y410" s="210"/>
      <c r="Z410" s="210"/>
      <c r="AA410" s="210"/>
      <c r="AB410" s="210"/>
      <c r="AC410" s="210"/>
      <c r="AD410" s="210"/>
      <c r="AE410" s="210"/>
      <c r="AF410" s="210"/>
      <c r="AG410" s="210"/>
      <c r="AH410" s="210"/>
      <c r="AI410" s="210"/>
      <c r="AJ410" s="210"/>
      <c r="AK410" s="210"/>
      <c r="AL410" s="210"/>
      <c r="AM410" s="210"/>
      <c r="AN410" s="210"/>
      <c r="AO410" s="210"/>
      <c r="AP410" s="210"/>
      <c r="AQ410" s="210"/>
      <c r="AR410" s="210"/>
      <c r="AS410" s="210"/>
      <c r="AT410" s="210"/>
      <c r="AU410" s="210"/>
      <c r="AV410" s="210"/>
      <c r="AW410" s="210"/>
      <c r="AX410" s="210"/>
      <c r="AY410" s="210"/>
      <c r="AZ410" s="210"/>
      <c r="BA410" s="210"/>
      <c r="BB410" s="210"/>
      <c r="BC410" s="210"/>
      <c r="BD410" s="210"/>
      <c r="BE410" s="210"/>
      <c r="BF410" s="210"/>
      <c r="BG410" s="210"/>
      <c r="BH410" s="210"/>
      <c r="BI410" s="210"/>
      <c r="BJ410" s="210"/>
    </row>
    <row r="411" spans="1:62" ht="15" x14ac:dyDescent="0.2">
      <c r="A411" s="210"/>
      <c r="B411" s="210"/>
      <c r="C411" s="210"/>
      <c r="D411" s="210"/>
      <c r="E411" s="210"/>
      <c r="F411" s="210"/>
      <c r="G411" s="210"/>
      <c r="H411" s="210"/>
      <c r="I411" s="210"/>
      <c r="J411" s="210"/>
      <c r="K411" s="210"/>
      <c r="L411" s="210"/>
      <c r="M411" s="210"/>
      <c r="N411" s="210"/>
      <c r="O411" s="210"/>
      <c r="P411" s="210"/>
      <c r="Q411" s="210"/>
      <c r="R411" s="210"/>
      <c r="S411" s="210"/>
      <c r="T411" s="210"/>
      <c r="U411" s="210"/>
      <c r="V411" s="210"/>
      <c r="W411" s="210"/>
      <c r="X411" s="210"/>
      <c r="Y411" s="210"/>
      <c r="Z411" s="210"/>
      <c r="AA411" s="210"/>
      <c r="AB411" s="210"/>
      <c r="AC411" s="210"/>
      <c r="AD411" s="210"/>
      <c r="AE411" s="210"/>
      <c r="AF411" s="210"/>
      <c r="AG411" s="210"/>
      <c r="AH411" s="210"/>
      <c r="AI411" s="210"/>
      <c r="AJ411" s="210"/>
      <c r="AK411" s="210"/>
      <c r="AL411" s="210"/>
      <c r="AM411" s="210"/>
      <c r="AN411" s="210"/>
      <c r="AO411" s="210"/>
      <c r="AP411" s="210"/>
      <c r="AQ411" s="210"/>
      <c r="AR411" s="210"/>
      <c r="AS411" s="210"/>
      <c r="AT411" s="210"/>
      <c r="AU411" s="210"/>
      <c r="AV411" s="210"/>
      <c r="AW411" s="210"/>
      <c r="AX411" s="210"/>
      <c r="AY411" s="210"/>
      <c r="AZ411" s="210"/>
      <c r="BA411" s="210"/>
      <c r="BB411" s="210"/>
      <c r="BC411" s="210"/>
      <c r="BD411" s="210"/>
      <c r="BE411" s="210"/>
      <c r="BF411" s="210"/>
      <c r="BG411" s="210"/>
      <c r="BH411" s="210"/>
      <c r="BI411" s="210"/>
      <c r="BJ411" s="210"/>
    </row>
    <row r="412" spans="1:62" ht="15" x14ac:dyDescent="0.2">
      <c r="A412" s="210"/>
      <c r="B412" s="210"/>
      <c r="C412" s="210"/>
      <c r="D412" s="210"/>
      <c r="E412" s="210"/>
      <c r="F412" s="210"/>
      <c r="G412" s="210"/>
      <c r="H412" s="210"/>
      <c r="I412" s="210"/>
      <c r="J412" s="210"/>
      <c r="K412" s="210"/>
      <c r="L412" s="210"/>
      <c r="M412" s="210"/>
      <c r="N412" s="210"/>
      <c r="O412" s="210"/>
      <c r="P412" s="210"/>
      <c r="Q412" s="210"/>
      <c r="R412" s="210"/>
      <c r="S412" s="210"/>
      <c r="T412" s="210"/>
      <c r="U412" s="210"/>
      <c r="V412" s="210"/>
      <c r="W412" s="210"/>
      <c r="X412" s="210"/>
      <c r="Y412" s="210"/>
      <c r="Z412" s="210"/>
      <c r="AA412" s="210"/>
      <c r="AB412" s="210"/>
      <c r="AC412" s="210"/>
      <c r="AD412" s="210"/>
      <c r="AE412" s="210"/>
      <c r="AF412" s="210"/>
      <c r="AG412" s="210"/>
      <c r="AH412" s="210"/>
      <c r="AI412" s="210"/>
      <c r="AJ412" s="210"/>
      <c r="AK412" s="210"/>
      <c r="AL412" s="210"/>
      <c r="AM412" s="210"/>
      <c r="AN412" s="210"/>
      <c r="AO412" s="210"/>
      <c r="AP412" s="210"/>
      <c r="AQ412" s="210"/>
      <c r="AR412" s="210"/>
      <c r="AS412" s="210"/>
      <c r="AT412" s="210"/>
      <c r="AU412" s="210"/>
      <c r="AV412" s="210"/>
      <c r="AW412" s="210"/>
      <c r="AX412" s="210"/>
      <c r="AY412" s="210"/>
      <c r="AZ412" s="210"/>
      <c r="BA412" s="210"/>
      <c r="BB412" s="210"/>
      <c r="BC412" s="210"/>
      <c r="BD412" s="210"/>
      <c r="BE412" s="210"/>
      <c r="BF412" s="210"/>
      <c r="BG412" s="210"/>
      <c r="BH412" s="210"/>
      <c r="BI412" s="210"/>
      <c r="BJ412" s="210"/>
    </row>
    <row r="413" spans="1:62" ht="15" x14ac:dyDescent="0.2">
      <c r="A413" s="210"/>
      <c r="B413" s="210"/>
      <c r="C413" s="210"/>
      <c r="D413" s="210"/>
      <c r="E413" s="210"/>
      <c r="F413" s="210"/>
      <c r="G413" s="210"/>
      <c r="H413" s="210"/>
      <c r="I413" s="210"/>
      <c r="J413" s="210"/>
      <c r="K413" s="210"/>
      <c r="L413" s="210"/>
      <c r="M413" s="210"/>
      <c r="N413" s="210"/>
      <c r="O413" s="210"/>
      <c r="P413" s="210"/>
      <c r="Q413" s="210"/>
      <c r="R413" s="210"/>
      <c r="S413" s="210"/>
      <c r="T413" s="210"/>
      <c r="U413" s="210"/>
      <c r="V413" s="210"/>
      <c r="W413" s="210"/>
      <c r="X413" s="210"/>
      <c r="Y413" s="210"/>
      <c r="Z413" s="210"/>
      <c r="AA413" s="210"/>
      <c r="AB413" s="210"/>
      <c r="AC413" s="210"/>
      <c r="AD413" s="210"/>
      <c r="AE413" s="210"/>
      <c r="AF413" s="210"/>
      <c r="AG413" s="210"/>
      <c r="AH413" s="210"/>
      <c r="AI413" s="210"/>
      <c r="AJ413" s="210"/>
      <c r="AK413" s="210"/>
      <c r="AL413" s="210"/>
      <c r="AM413" s="210"/>
      <c r="AN413" s="210"/>
      <c r="AO413" s="210"/>
      <c r="AP413" s="210"/>
      <c r="AQ413" s="210"/>
      <c r="AR413" s="210"/>
      <c r="AS413" s="210"/>
      <c r="AT413" s="210"/>
      <c r="AU413" s="210"/>
      <c r="AV413" s="210"/>
      <c r="AW413" s="210"/>
      <c r="AX413" s="210"/>
      <c r="AY413" s="210"/>
      <c r="AZ413" s="210"/>
      <c r="BA413" s="210"/>
      <c r="BB413" s="210"/>
      <c r="BC413" s="210"/>
      <c r="BD413" s="210"/>
      <c r="BE413" s="210"/>
      <c r="BF413" s="210"/>
      <c r="BG413" s="210"/>
      <c r="BH413" s="210"/>
      <c r="BI413" s="210"/>
      <c r="BJ413" s="210"/>
    </row>
    <row r="414" spans="1:62" ht="15" x14ac:dyDescent="0.2">
      <c r="A414" s="210"/>
      <c r="B414" s="210"/>
      <c r="C414" s="210"/>
      <c r="D414" s="210"/>
      <c r="E414" s="210"/>
      <c r="F414" s="210"/>
      <c r="G414" s="210"/>
      <c r="H414" s="210"/>
      <c r="I414" s="210"/>
      <c r="J414" s="210"/>
      <c r="K414" s="210"/>
      <c r="L414" s="210"/>
      <c r="M414" s="210"/>
      <c r="N414" s="210"/>
      <c r="O414" s="210"/>
      <c r="P414" s="210"/>
      <c r="Q414" s="210"/>
      <c r="R414" s="210"/>
      <c r="S414" s="210"/>
      <c r="T414" s="210"/>
      <c r="U414" s="210"/>
      <c r="V414" s="210"/>
      <c r="W414" s="210"/>
      <c r="X414" s="210"/>
      <c r="Y414" s="210"/>
      <c r="Z414" s="210"/>
      <c r="AA414" s="210"/>
      <c r="AB414" s="210"/>
      <c r="AC414" s="210"/>
      <c r="AD414" s="210"/>
      <c r="AE414" s="210"/>
      <c r="AF414" s="210"/>
      <c r="AG414" s="210"/>
      <c r="AH414" s="210"/>
      <c r="AI414" s="210"/>
      <c r="AJ414" s="210"/>
      <c r="AK414" s="210"/>
      <c r="AL414" s="210"/>
      <c r="AM414" s="210"/>
      <c r="AN414" s="210"/>
      <c r="AO414" s="210"/>
      <c r="AP414" s="210"/>
      <c r="AQ414" s="210"/>
      <c r="AR414" s="210"/>
      <c r="AS414" s="210"/>
      <c r="AT414" s="210"/>
      <c r="AU414" s="210"/>
      <c r="AV414" s="210"/>
      <c r="AW414" s="210"/>
      <c r="AX414" s="210"/>
      <c r="AY414" s="210"/>
      <c r="AZ414" s="210"/>
      <c r="BA414" s="210"/>
      <c r="BB414" s="210"/>
      <c r="BC414" s="210"/>
      <c r="BD414" s="210"/>
      <c r="BE414" s="210"/>
      <c r="BF414" s="210"/>
      <c r="BG414" s="210"/>
      <c r="BH414" s="210"/>
      <c r="BI414" s="210"/>
      <c r="BJ414" s="210"/>
    </row>
    <row r="415" spans="1:62" ht="15" x14ac:dyDescent="0.2">
      <c r="A415" s="210"/>
      <c r="B415" s="210"/>
      <c r="C415" s="210"/>
      <c r="D415" s="210"/>
      <c r="E415" s="210"/>
      <c r="F415" s="210"/>
      <c r="G415" s="210"/>
      <c r="H415" s="210"/>
      <c r="I415" s="210"/>
      <c r="J415" s="210"/>
      <c r="K415" s="210"/>
      <c r="L415" s="210"/>
      <c r="M415" s="210"/>
      <c r="N415" s="210"/>
      <c r="O415" s="210"/>
      <c r="P415" s="210"/>
      <c r="Q415" s="210"/>
      <c r="R415" s="210"/>
      <c r="S415" s="210"/>
      <c r="T415" s="210"/>
      <c r="U415" s="210"/>
      <c r="V415" s="210"/>
      <c r="W415" s="210"/>
      <c r="X415" s="210"/>
      <c r="Y415" s="210"/>
      <c r="Z415" s="210"/>
      <c r="AA415" s="210"/>
      <c r="AB415" s="210"/>
      <c r="AC415" s="210"/>
      <c r="AD415" s="210"/>
      <c r="AE415" s="210"/>
      <c r="AF415" s="210"/>
      <c r="AG415" s="210"/>
      <c r="AH415" s="210"/>
      <c r="AI415" s="210"/>
      <c r="AJ415" s="210"/>
      <c r="AK415" s="210"/>
      <c r="AL415" s="210"/>
      <c r="AM415" s="210"/>
      <c r="AN415" s="210"/>
      <c r="AO415" s="210"/>
      <c r="AP415" s="210"/>
      <c r="AQ415" s="210"/>
      <c r="AR415" s="210"/>
      <c r="AS415" s="210"/>
      <c r="AT415" s="210"/>
      <c r="AU415" s="210"/>
      <c r="AV415" s="210"/>
      <c r="AW415" s="210"/>
      <c r="AX415" s="210"/>
      <c r="AY415" s="210"/>
      <c r="AZ415" s="210"/>
      <c r="BA415" s="210"/>
      <c r="BB415" s="210"/>
      <c r="BC415" s="210"/>
      <c r="BD415" s="210"/>
      <c r="BE415" s="210"/>
      <c r="BF415" s="210"/>
      <c r="BG415" s="210"/>
      <c r="BH415" s="210"/>
      <c r="BI415" s="210"/>
      <c r="BJ415" s="210"/>
    </row>
    <row r="416" spans="1:62" ht="15" x14ac:dyDescent="0.2">
      <c r="A416" s="210"/>
      <c r="B416" s="210"/>
      <c r="C416" s="210"/>
      <c r="D416" s="210"/>
      <c r="E416" s="210"/>
      <c r="F416" s="210"/>
      <c r="G416" s="210"/>
      <c r="H416" s="210"/>
      <c r="I416" s="210"/>
      <c r="J416" s="210"/>
      <c r="K416" s="210"/>
      <c r="L416" s="210"/>
      <c r="M416" s="210"/>
      <c r="N416" s="210"/>
      <c r="O416" s="210"/>
      <c r="P416" s="210"/>
      <c r="Q416" s="210"/>
      <c r="R416" s="210"/>
      <c r="S416" s="210"/>
      <c r="T416" s="210"/>
      <c r="U416" s="210"/>
      <c r="V416" s="210"/>
      <c r="W416" s="210"/>
      <c r="X416" s="210"/>
      <c r="Y416" s="210"/>
      <c r="Z416" s="210"/>
      <c r="AA416" s="210"/>
      <c r="AB416" s="210"/>
      <c r="AC416" s="210"/>
      <c r="AD416" s="210"/>
      <c r="AE416" s="210"/>
      <c r="AF416" s="210"/>
      <c r="AG416" s="210"/>
      <c r="AH416" s="210"/>
      <c r="AI416" s="210"/>
      <c r="AJ416" s="210"/>
      <c r="AK416" s="210"/>
      <c r="AL416" s="210"/>
      <c r="AM416" s="210"/>
      <c r="AN416" s="210"/>
      <c r="AO416" s="210"/>
      <c r="AP416" s="210"/>
      <c r="AQ416" s="210"/>
      <c r="AR416" s="210"/>
      <c r="AS416" s="210"/>
      <c r="AT416" s="210"/>
      <c r="AU416" s="210"/>
      <c r="AV416" s="210"/>
      <c r="AW416" s="210"/>
      <c r="AX416" s="210"/>
      <c r="AY416" s="210"/>
      <c r="AZ416" s="210"/>
      <c r="BA416" s="210"/>
      <c r="BB416" s="210"/>
      <c r="BC416" s="210"/>
      <c r="BD416" s="210"/>
      <c r="BE416" s="210"/>
      <c r="BF416" s="210"/>
      <c r="BG416" s="210"/>
      <c r="BH416" s="210"/>
      <c r="BI416" s="210"/>
      <c r="BJ416" s="210"/>
    </row>
    <row r="417" spans="1:62" ht="15" x14ac:dyDescent="0.2">
      <c r="A417" s="210"/>
      <c r="B417" s="210"/>
      <c r="C417" s="210"/>
      <c r="D417" s="210"/>
      <c r="E417" s="210"/>
      <c r="F417" s="210"/>
      <c r="G417" s="210"/>
      <c r="H417" s="210"/>
      <c r="I417" s="210"/>
      <c r="J417" s="210"/>
      <c r="K417" s="210"/>
      <c r="L417" s="210"/>
      <c r="M417" s="210"/>
      <c r="N417" s="210"/>
      <c r="O417" s="210"/>
      <c r="P417" s="210"/>
      <c r="Q417" s="210"/>
      <c r="R417" s="210"/>
      <c r="S417" s="210"/>
      <c r="T417" s="210"/>
      <c r="U417" s="210"/>
      <c r="V417" s="210"/>
      <c r="W417" s="210"/>
      <c r="X417" s="210"/>
      <c r="Y417" s="210"/>
      <c r="Z417" s="210"/>
      <c r="AA417" s="210"/>
      <c r="AB417" s="210"/>
      <c r="AC417" s="210"/>
      <c r="AD417" s="210"/>
      <c r="AE417" s="210"/>
      <c r="AF417" s="210"/>
      <c r="AG417" s="210"/>
      <c r="AH417" s="210"/>
      <c r="AI417" s="210"/>
      <c r="AJ417" s="210"/>
      <c r="AK417" s="210"/>
      <c r="AL417" s="210"/>
      <c r="AM417" s="210"/>
      <c r="AN417" s="210"/>
      <c r="AO417" s="210"/>
      <c r="AP417" s="210"/>
      <c r="AQ417" s="210"/>
      <c r="AR417" s="210"/>
      <c r="AS417" s="210"/>
      <c r="AT417" s="210"/>
      <c r="AU417" s="210"/>
      <c r="AV417" s="210"/>
      <c r="AW417" s="210"/>
      <c r="AX417" s="210"/>
      <c r="AY417" s="210"/>
      <c r="AZ417" s="210"/>
      <c r="BA417" s="210"/>
      <c r="BB417" s="210"/>
      <c r="BC417" s="210"/>
      <c r="BD417" s="210"/>
      <c r="BE417" s="210"/>
      <c r="BF417" s="210"/>
      <c r="BG417" s="210"/>
      <c r="BH417" s="210"/>
      <c r="BI417" s="210"/>
      <c r="BJ417" s="210"/>
    </row>
    <row r="418" spans="1:62" ht="15" x14ac:dyDescent="0.2">
      <c r="A418" s="210"/>
      <c r="B418" s="210"/>
      <c r="C418" s="210"/>
      <c r="D418" s="210"/>
      <c r="E418" s="210"/>
      <c r="F418" s="210"/>
      <c r="G418" s="210"/>
      <c r="H418" s="210"/>
      <c r="I418" s="210"/>
      <c r="J418" s="210"/>
      <c r="K418" s="210"/>
      <c r="L418" s="210"/>
      <c r="M418" s="210"/>
      <c r="N418" s="210"/>
      <c r="O418" s="210"/>
      <c r="P418" s="210"/>
      <c r="Q418" s="210"/>
      <c r="R418" s="210"/>
      <c r="S418" s="210"/>
      <c r="T418" s="210"/>
      <c r="U418" s="210"/>
      <c r="V418" s="210"/>
      <c r="W418" s="210"/>
      <c r="X418" s="210"/>
      <c r="Y418" s="210"/>
      <c r="Z418" s="210"/>
      <c r="AA418" s="210"/>
      <c r="AB418" s="210"/>
      <c r="AC418" s="210"/>
      <c r="AD418" s="210"/>
      <c r="AE418" s="210"/>
      <c r="AF418" s="210"/>
      <c r="AG418" s="210"/>
      <c r="AH418" s="210"/>
      <c r="AI418" s="210"/>
      <c r="AJ418" s="210"/>
      <c r="AK418" s="210"/>
      <c r="AL418" s="210"/>
      <c r="AM418" s="210"/>
      <c r="AN418" s="210"/>
      <c r="AO418" s="210"/>
      <c r="AP418" s="210"/>
      <c r="AQ418" s="210"/>
      <c r="AR418" s="210"/>
      <c r="AS418" s="210"/>
      <c r="AT418" s="210"/>
      <c r="AU418" s="210"/>
      <c r="AV418" s="210"/>
      <c r="AW418" s="210"/>
      <c r="AX418" s="210"/>
      <c r="AY418" s="210"/>
      <c r="AZ418" s="210"/>
      <c r="BA418" s="210"/>
      <c r="BB418" s="210"/>
      <c r="BC418" s="210"/>
      <c r="BD418" s="210"/>
      <c r="BE418" s="210"/>
      <c r="BF418" s="210"/>
      <c r="BG418" s="210"/>
      <c r="BH418" s="210"/>
      <c r="BI418" s="210"/>
      <c r="BJ418" s="210"/>
    </row>
    <row r="419" spans="1:62" ht="15" x14ac:dyDescent="0.2">
      <c r="A419" s="210"/>
      <c r="B419" s="210"/>
      <c r="C419" s="210"/>
      <c r="D419" s="210"/>
      <c r="E419" s="210"/>
      <c r="F419" s="210"/>
      <c r="G419" s="210"/>
      <c r="H419" s="210"/>
      <c r="I419" s="210"/>
      <c r="J419" s="210"/>
      <c r="K419" s="210"/>
      <c r="L419" s="210"/>
      <c r="M419" s="210"/>
      <c r="N419" s="210"/>
      <c r="O419" s="210"/>
      <c r="P419" s="210"/>
      <c r="Q419" s="210"/>
      <c r="R419" s="210"/>
      <c r="S419" s="210"/>
      <c r="T419" s="210"/>
      <c r="U419" s="210"/>
      <c r="V419" s="210"/>
      <c r="W419" s="210"/>
      <c r="X419" s="210"/>
      <c r="Y419" s="210"/>
      <c r="Z419" s="210"/>
      <c r="AA419" s="210"/>
      <c r="AB419" s="210"/>
      <c r="AC419" s="210"/>
      <c r="AD419" s="210"/>
      <c r="AE419" s="210"/>
      <c r="AF419" s="210"/>
      <c r="AG419" s="210"/>
      <c r="AH419" s="210"/>
      <c r="AI419" s="210"/>
      <c r="AJ419" s="210"/>
      <c r="AK419" s="210"/>
      <c r="AL419" s="210"/>
      <c r="AM419" s="210"/>
      <c r="AN419" s="210"/>
      <c r="AO419" s="210"/>
      <c r="AP419" s="210"/>
      <c r="AQ419" s="210"/>
      <c r="AR419" s="210"/>
      <c r="AS419" s="210"/>
      <c r="AT419" s="210"/>
      <c r="AU419" s="210"/>
      <c r="AV419" s="210"/>
      <c r="AW419" s="210"/>
      <c r="AX419" s="210"/>
      <c r="AY419" s="210"/>
      <c r="AZ419" s="210"/>
      <c r="BA419" s="210"/>
      <c r="BB419" s="210"/>
      <c r="BC419" s="210"/>
      <c r="BD419" s="210"/>
      <c r="BE419" s="210"/>
      <c r="BF419" s="210"/>
      <c r="BG419" s="210"/>
      <c r="BH419" s="210"/>
      <c r="BI419" s="210"/>
      <c r="BJ419" s="210"/>
    </row>
    <row r="420" spans="1:62" ht="15" x14ac:dyDescent="0.2">
      <c r="A420" s="210"/>
      <c r="B420" s="210"/>
      <c r="C420" s="210"/>
      <c r="D420" s="210"/>
      <c r="E420" s="210"/>
      <c r="F420" s="210"/>
      <c r="G420" s="210"/>
      <c r="H420" s="210"/>
      <c r="I420" s="210"/>
      <c r="J420" s="210"/>
      <c r="K420" s="210"/>
      <c r="L420" s="210"/>
      <c r="M420" s="210"/>
      <c r="N420" s="210"/>
      <c r="O420" s="210"/>
      <c r="P420" s="210"/>
      <c r="Q420" s="210"/>
      <c r="R420" s="210"/>
      <c r="S420" s="210"/>
      <c r="T420" s="210"/>
      <c r="U420" s="210"/>
      <c r="V420" s="210"/>
      <c r="W420" s="210"/>
      <c r="X420" s="210"/>
      <c r="Y420" s="210"/>
      <c r="Z420" s="210"/>
      <c r="AA420" s="210"/>
      <c r="AB420" s="210"/>
      <c r="AC420" s="210"/>
      <c r="AD420" s="210"/>
      <c r="AE420" s="210"/>
      <c r="AF420" s="210"/>
      <c r="AG420" s="210"/>
      <c r="AH420" s="210"/>
      <c r="AI420" s="210"/>
      <c r="AJ420" s="210"/>
      <c r="AK420" s="210"/>
      <c r="AL420" s="210"/>
      <c r="AM420" s="210"/>
      <c r="AN420" s="210"/>
      <c r="AO420" s="210"/>
      <c r="AP420" s="210"/>
      <c r="AQ420" s="210"/>
      <c r="AR420" s="210"/>
      <c r="AS420" s="210"/>
      <c r="AT420" s="210"/>
      <c r="AU420" s="210"/>
      <c r="AV420" s="210"/>
      <c r="AW420" s="210"/>
      <c r="AX420" s="210"/>
      <c r="AY420" s="210"/>
      <c r="AZ420" s="210"/>
      <c r="BA420" s="210"/>
      <c r="BB420" s="210"/>
      <c r="BC420" s="210"/>
      <c r="BD420" s="210"/>
      <c r="BE420" s="210"/>
      <c r="BF420" s="210"/>
      <c r="BG420" s="210"/>
      <c r="BH420" s="210"/>
      <c r="BI420" s="210"/>
      <c r="BJ420" s="210"/>
    </row>
    <row r="421" spans="1:62" ht="15" x14ac:dyDescent="0.2">
      <c r="A421" s="210"/>
      <c r="B421" s="210"/>
      <c r="C421" s="210"/>
      <c r="D421" s="210"/>
      <c r="E421" s="210"/>
      <c r="F421" s="210"/>
      <c r="G421" s="210"/>
      <c r="H421" s="210"/>
      <c r="I421" s="210"/>
      <c r="J421" s="210"/>
      <c r="K421" s="210"/>
      <c r="L421" s="210"/>
      <c r="M421" s="210"/>
      <c r="N421" s="210"/>
      <c r="O421" s="210"/>
      <c r="P421" s="210"/>
      <c r="Q421" s="210"/>
      <c r="R421" s="210"/>
      <c r="S421" s="210"/>
      <c r="T421" s="210"/>
      <c r="U421" s="210"/>
      <c r="V421" s="210"/>
      <c r="W421" s="210"/>
      <c r="X421" s="210"/>
      <c r="Y421" s="210"/>
      <c r="Z421" s="210"/>
      <c r="AA421" s="210"/>
      <c r="AB421" s="210"/>
      <c r="AC421" s="210"/>
      <c r="AD421" s="210"/>
      <c r="AE421" s="210"/>
      <c r="AF421" s="210"/>
      <c r="AG421" s="210"/>
      <c r="AH421" s="210"/>
      <c r="AI421" s="210"/>
      <c r="AJ421" s="210"/>
      <c r="AK421" s="210"/>
      <c r="AL421" s="210"/>
      <c r="AM421" s="210"/>
      <c r="AN421" s="210"/>
      <c r="AO421" s="210"/>
      <c r="AP421" s="210"/>
      <c r="AQ421" s="210"/>
      <c r="AR421" s="210"/>
      <c r="AS421" s="210"/>
      <c r="AT421" s="210"/>
      <c r="AU421" s="210"/>
      <c r="AV421" s="210"/>
      <c r="AW421" s="210"/>
      <c r="AX421" s="210"/>
      <c r="AY421" s="210"/>
      <c r="AZ421" s="210"/>
      <c r="BA421" s="210"/>
      <c r="BB421" s="210"/>
      <c r="BC421" s="210"/>
      <c r="BD421" s="210"/>
      <c r="BE421" s="210"/>
      <c r="BF421" s="210"/>
      <c r="BG421" s="210"/>
      <c r="BH421" s="210"/>
      <c r="BI421" s="210"/>
      <c r="BJ421" s="210"/>
    </row>
    <row r="422" spans="1:62" ht="15" x14ac:dyDescent="0.2">
      <c r="A422" s="210"/>
      <c r="B422" s="210"/>
      <c r="C422" s="210"/>
      <c r="D422" s="210"/>
      <c r="E422" s="210"/>
      <c r="F422" s="210"/>
      <c r="G422" s="210"/>
      <c r="H422" s="210"/>
      <c r="I422" s="210"/>
      <c r="J422" s="210"/>
      <c r="K422" s="210"/>
      <c r="L422" s="210"/>
      <c r="M422" s="210"/>
      <c r="N422" s="210"/>
      <c r="O422" s="210"/>
      <c r="P422" s="210"/>
      <c r="Q422" s="210"/>
      <c r="R422" s="210"/>
      <c r="S422" s="210"/>
      <c r="T422" s="210"/>
      <c r="U422" s="210"/>
      <c r="V422" s="210"/>
      <c r="W422" s="210"/>
      <c r="X422" s="210"/>
      <c r="Y422" s="210"/>
      <c r="Z422" s="210"/>
      <c r="AA422" s="210"/>
      <c r="AB422" s="210"/>
      <c r="AC422" s="210"/>
      <c r="AD422" s="210"/>
      <c r="AE422" s="210"/>
      <c r="AF422" s="210"/>
      <c r="AG422" s="210"/>
      <c r="AH422" s="210"/>
      <c r="AI422" s="210"/>
      <c r="AJ422" s="210"/>
      <c r="AK422" s="210"/>
      <c r="AL422" s="210"/>
      <c r="AM422" s="210"/>
      <c r="AN422" s="210"/>
      <c r="AO422" s="210"/>
      <c r="AP422" s="210"/>
      <c r="AQ422" s="210"/>
      <c r="AR422" s="210"/>
      <c r="AS422" s="210"/>
      <c r="AT422" s="210"/>
      <c r="AU422" s="210"/>
      <c r="AV422" s="210"/>
      <c r="AW422" s="210"/>
      <c r="AX422" s="210"/>
      <c r="AY422" s="210"/>
      <c r="AZ422" s="210"/>
      <c r="BA422" s="210"/>
      <c r="BB422" s="210"/>
      <c r="BC422" s="210"/>
      <c r="BD422" s="210"/>
      <c r="BE422" s="210"/>
      <c r="BF422" s="210"/>
      <c r="BG422" s="210"/>
      <c r="BH422" s="210"/>
      <c r="BI422" s="210"/>
      <c r="BJ422" s="210"/>
    </row>
    <row r="423" spans="1:62" ht="15" x14ac:dyDescent="0.2">
      <c r="A423" s="210"/>
      <c r="B423" s="210"/>
      <c r="C423" s="210"/>
      <c r="D423" s="210"/>
      <c r="E423" s="210"/>
      <c r="F423" s="210"/>
      <c r="G423" s="210"/>
      <c r="H423" s="210"/>
      <c r="I423" s="210"/>
      <c r="J423" s="210"/>
      <c r="K423" s="210"/>
      <c r="L423" s="210"/>
      <c r="M423" s="210"/>
      <c r="N423" s="210"/>
      <c r="O423" s="210"/>
      <c r="P423" s="210"/>
      <c r="Q423" s="210"/>
      <c r="R423" s="210"/>
      <c r="S423" s="210"/>
      <c r="T423" s="210"/>
      <c r="U423" s="210"/>
      <c r="V423" s="210"/>
      <c r="W423" s="210"/>
      <c r="X423" s="210"/>
      <c r="Y423" s="210"/>
      <c r="Z423" s="210"/>
      <c r="AA423" s="210"/>
      <c r="AB423" s="210"/>
      <c r="AC423" s="210"/>
      <c r="AD423" s="210"/>
      <c r="AE423" s="210"/>
      <c r="AF423" s="210"/>
      <c r="AG423" s="210"/>
      <c r="AH423" s="210"/>
      <c r="AI423" s="210"/>
      <c r="AJ423" s="210"/>
      <c r="AK423" s="210"/>
      <c r="AL423" s="210"/>
      <c r="AM423" s="210"/>
      <c r="AN423" s="210"/>
      <c r="AO423" s="210"/>
      <c r="AP423" s="210"/>
      <c r="AQ423" s="210"/>
      <c r="AR423" s="210"/>
      <c r="AS423" s="210"/>
      <c r="AT423" s="210"/>
      <c r="AU423" s="210"/>
      <c r="AV423" s="210"/>
      <c r="AW423" s="210"/>
      <c r="AX423" s="210"/>
      <c r="AY423" s="210"/>
      <c r="AZ423" s="210"/>
      <c r="BA423" s="210"/>
      <c r="BB423" s="210"/>
      <c r="BC423" s="210"/>
      <c r="BD423" s="210"/>
      <c r="BE423" s="210"/>
      <c r="BF423" s="210"/>
      <c r="BG423" s="210"/>
      <c r="BH423" s="210"/>
      <c r="BI423" s="210"/>
      <c r="BJ423" s="210"/>
    </row>
    <row r="424" spans="1:62" ht="15" x14ac:dyDescent="0.2">
      <c r="A424" s="210"/>
      <c r="B424" s="210"/>
      <c r="C424" s="210"/>
      <c r="D424" s="210"/>
      <c r="E424" s="210"/>
      <c r="F424" s="210"/>
      <c r="G424" s="210"/>
      <c r="H424" s="210"/>
      <c r="I424" s="210"/>
      <c r="J424" s="210"/>
      <c r="K424" s="210"/>
      <c r="L424" s="210"/>
      <c r="M424" s="210"/>
      <c r="N424" s="210"/>
      <c r="O424" s="210"/>
      <c r="P424" s="210"/>
      <c r="Q424" s="210"/>
      <c r="R424" s="210"/>
      <c r="S424" s="210"/>
      <c r="T424" s="210"/>
      <c r="U424" s="210"/>
      <c r="V424" s="210"/>
      <c r="W424" s="210"/>
      <c r="X424" s="210"/>
      <c r="Y424" s="210"/>
      <c r="Z424" s="210"/>
      <c r="AA424" s="210"/>
      <c r="AB424" s="210"/>
      <c r="AC424" s="210"/>
      <c r="AD424" s="210"/>
      <c r="AE424" s="210"/>
      <c r="AF424" s="210"/>
      <c r="AG424" s="210"/>
      <c r="AH424" s="210"/>
      <c r="AI424" s="210"/>
      <c r="AJ424" s="210"/>
      <c r="AK424" s="210"/>
      <c r="AL424" s="210"/>
      <c r="AM424" s="210"/>
      <c r="AN424" s="210"/>
      <c r="AO424" s="210"/>
      <c r="AP424" s="210"/>
      <c r="AQ424" s="210"/>
      <c r="AR424" s="210"/>
      <c r="AS424" s="210"/>
      <c r="AT424" s="210"/>
      <c r="AU424" s="210"/>
      <c r="AV424" s="210"/>
      <c r="AW424" s="210"/>
      <c r="AX424" s="210"/>
      <c r="AY424" s="210"/>
      <c r="AZ424" s="210"/>
      <c r="BA424" s="210"/>
      <c r="BB424" s="210"/>
      <c r="BC424" s="210"/>
      <c r="BD424" s="210"/>
      <c r="BE424" s="210"/>
      <c r="BF424" s="210"/>
      <c r="BG424" s="210"/>
      <c r="BH424" s="210"/>
      <c r="BI424" s="210"/>
      <c r="BJ424" s="210"/>
    </row>
    <row r="425" spans="1:62" ht="15" x14ac:dyDescent="0.2">
      <c r="A425" s="210"/>
      <c r="B425" s="210"/>
      <c r="C425" s="210"/>
      <c r="D425" s="210"/>
      <c r="E425" s="210"/>
      <c r="F425" s="210"/>
      <c r="G425" s="210"/>
      <c r="H425" s="210"/>
      <c r="I425" s="210"/>
      <c r="J425" s="210"/>
      <c r="K425" s="210"/>
      <c r="L425" s="210"/>
      <c r="M425" s="210"/>
      <c r="N425" s="210"/>
      <c r="O425" s="210"/>
      <c r="P425" s="210"/>
      <c r="Q425" s="210"/>
      <c r="R425" s="210"/>
      <c r="S425" s="210"/>
      <c r="T425" s="210"/>
      <c r="U425" s="210"/>
      <c r="V425" s="210"/>
      <c r="W425" s="210"/>
      <c r="X425" s="210"/>
      <c r="Y425" s="210"/>
      <c r="Z425" s="210"/>
      <c r="AA425" s="210"/>
      <c r="AB425" s="210"/>
      <c r="AC425" s="210"/>
      <c r="AD425" s="210"/>
      <c r="AE425" s="210"/>
      <c r="AF425" s="210"/>
      <c r="AG425" s="210"/>
      <c r="AH425" s="210"/>
      <c r="AI425" s="210"/>
      <c r="AJ425" s="210"/>
      <c r="AK425" s="210"/>
      <c r="AL425" s="210"/>
      <c r="AM425" s="210"/>
      <c r="AN425" s="210"/>
      <c r="AO425" s="210"/>
      <c r="AP425" s="210"/>
      <c r="AQ425" s="210"/>
      <c r="AR425" s="210"/>
      <c r="AS425" s="210"/>
      <c r="AT425" s="210"/>
      <c r="AU425" s="210"/>
      <c r="AV425" s="210"/>
      <c r="AW425" s="210"/>
      <c r="AX425" s="210"/>
      <c r="AY425" s="210"/>
      <c r="AZ425" s="210"/>
      <c r="BA425" s="210"/>
      <c r="BB425" s="210"/>
      <c r="BC425" s="210"/>
      <c r="BD425" s="210"/>
      <c r="BE425" s="210"/>
      <c r="BF425" s="210"/>
      <c r="BG425" s="210"/>
      <c r="BH425" s="210"/>
      <c r="BI425" s="210"/>
      <c r="BJ425" s="210"/>
    </row>
    <row r="426" spans="1:62" ht="15" x14ac:dyDescent="0.2">
      <c r="A426" s="210"/>
      <c r="B426" s="210"/>
      <c r="C426" s="210"/>
      <c r="D426" s="210"/>
      <c r="E426" s="210"/>
      <c r="F426" s="210"/>
      <c r="G426" s="210"/>
      <c r="H426" s="210"/>
      <c r="I426" s="210"/>
      <c r="J426" s="210"/>
      <c r="K426" s="210"/>
      <c r="L426" s="210"/>
      <c r="M426" s="210"/>
      <c r="N426" s="210"/>
      <c r="O426" s="210"/>
      <c r="P426" s="210"/>
      <c r="Q426" s="210"/>
      <c r="R426" s="210"/>
      <c r="S426" s="210"/>
      <c r="T426" s="210"/>
      <c r="U426" s="210"/>
      <c r="V426" s="210"/>
      <c r="W426" s="210"/>
      <c r="X426" s="210"/>
      <c r="Y426" s="210"/>
      <c r="Z426" s="210"/>
      <c r="AA426" s="210"/>
      <c r="AB426" s="210"/>
      <c r="AC426" s="210"/>
      <c r="AD426" s="210"/>
      <c r="AE426" s="210"/>
      <c r="AF426" s="210"/>
      <c r="AG426" s="210"/>
      <c r="AH426" s="210"/>
      <c r="AI426" s="210"/>
      <c r="AJ426" s="210"/>
      <c r="AK426" s="210"/>
      <c r="AL426" s="210"/>
      <c r="AM426" s="210"/>
      <c r="AN426" s="210"/>
      <c r="AO426" s="210"/>
      <c r="AP426" s="210"/>
      <c r="AQ426" s="210"/>
      <c r="AR426" s="210"/>
      <c r="AS426" s="210"/>
      <c r="AT426" s="210"/>
      <c r="AU426" s="210"/>
      <c r="AV426" s="210"/>
      <c r="AW426" s="210"/>
      <c r="AX426" s="210"/>
      <c r="AY426" s="210"/>
      <c r="AZ426" s="210"/>
      <c r="BA426" s="210"/>
      <c r="BB426" s="210"/>
      <c r="BC426" s="210"/>
      <c r="BD426" s="210"/>
      <c r="BE426" s="210"/>
      <c r="BF426" s="210"/>
      <c r="BG426" s="210"/>
      <c r="BH426" s="210"/>
      <c r="BI426" s="210"/>
      <c r="BJ426" s="210"/>
    </row>
    <row r="427" spans="1:62" ht="15" x14ac:dyDescent="0.2">
      <c r="A427" s="210"/>
      <c r="B427" s="210"/>
      <c r="C427" s="210"/>
      <c r="D427" s="210"/>
      <c r="E427" s="210"/>
      <c r="F427" s="210"/>
      <c r="G427" s="210"/>
      <c r="H427" s="210"/>
      <c r="I427" s="210"/>
      <c r="J427" s="210"/>
      <c r="K427" s="210"/>
      <c r="L427" s="210"/>
      <c r="M427" s="210"/>
      <c r="N427" s="210"/>
      <c r="O427" s="210"/>
      <c r="P427" s="210"/>
      <c r="Q427" s="210"/>
      <c r="R427" s="210"/>
      <c r="S427" s="210"/>
      <c r="T427" s="210"/>
      <c r="U427" s="210"/>
      <c r="V427" s="210"/>
      <c r="W427" s="210"/>
      <c r="X427" s="210"/>
      <c r="Y427" s="210"/>
      <c r="Z427" s="210"/>
      <c r="AA427" s="210"/>
      <c r="AB427" s="210"/>
      <c r="AC427" s="210"/>
      <c r="AD427" s="210"/>
      <c r="AE427" s="210"/>
      <c r="AF427" s="210"/>
      <c r="AG427" s="210"/>
      <c r="AH427" s="210"/>
      <c r="AI427" s="210"/>
      <c r="AJ427" s="210"/>
      <c r="AK427" s="210"/>
      <c r="AL427" s="210"/>
      <c r="AM427" s="210"/>
      <c r="AN427" s="210"/>
      <c r="AO427" s="210"/>
      <c r="AP427" s="210"/>
      <c r="AQ427" s="210"/>
      <c r="AR427" s="210"/>
      <c r="AS427" s="210"/>
      <c r="AT427" s="210"/>
      <c r="AU427" s="210"/>
      <c r="AV427" s="210"/>
      <c r="AW427" s="210"/>
      <c r="AX427" s="210"/>
      <c r="AY427" s="210"/>
      <c r="AZ427" s="210"/>
      <c r="BA427" s="210"/>
      <c r="BB427" s="210"/>
      <c r="BC427" s="210"/>
      <c r="BD427" s="210"/>
      <c r="BE427" s="210"/>
      <c r="BF427" s="210"/>
      <c r="BG427" s="210"/>
      <c r="BH427" s="210"/>
      <c r="BI427" s="210"/>
      <c r="BJ427" s="210"/>
    </row>
    <row r="428" spans="1:62" ht="15" x14ac:dyDescent="0.2">
      <c r="A428" s="210"/>
      <c r="B428" s="210"/>
      <c r="C428" s="210"/>
      <c r="D428" s="210"/>
      <c r="E428" s="210"/>
      <c r="F428" s="210"/>
      <c r="G428" s="210"/>
      <c r="H428" s="210"/>
      <c r="I428" s="210"/>
      <c r="J428" s="210"/>
      <c r="K428" s="210"/>
      <c r="L428" s="210"/>
      <c r="M428" s="210"/>
      <c r="N428" s="210"/>
      <c r="O428" s="210"/>
      <c r="P428" s="210"/>
      <c r="Q428" s="210"/>
      <c r="R428" s="210"/>
      <c r="S428" s="210"/>
      <c r="T428" s="210"/>
      <c r="U428" s="210"/>
      <c r="V428" s="210"/>
      <c r="W428" s="210"/>
      <c r="X428" s="210"/>
      <c r="Y428" s="210"/>
      <c r="Z428" s="210"/>
      <c r="AA428" s="210"/>
      <c r="AB428" s="210"/>
      <c r="AC428" s="210"/>
      <c r="AD428" s="210"/>
      <c r="AE428" s="210"/>
      <c r="AF428" s="210"/>
      <c r="AG428" s="210"/>
      <c r="AH428" s="210"/>
      <c r="AI428" s="210"/>
      <c r="AJ428" s="210"/>
      <c r="AK428" s="210"/>
      <c r="AL428" s="210"/>
      <c r="AM428" s="210"/>
      <c r="AN428" s="210"/>
      <c r="AO428" s="210"/>
      <c r="AP428" s="210"/>
      <c r="AQ428" s="210"/>
      <c r="AR428" s="210"/>
      <c r="AS428" s="210"/>
      <c r="AT428" s="210"/>
      <c r="AU428" s="210"/>
      <c r="AV428" s="210"/>
      <c r="AW428" s="210"/>
      <c r="AX428" s="210"/>
      <c r="AY428" s="210"/>
      <c r="AZ428" s="210"/>
      <c r="BA428" s="210"/>
      <c r="BB428" s="210"/>
      <c r="BC428" s="210"/>
      <c r="BD428" s="210"/>
      <c r="BE428" s="210"/>
      <c r="BF428" s="210"/>
      <c r="BG428" s="210"/>
      <c r="BH428" s="210"/>
      <c r="BI428" s="210"/>
      <c r="BJ428" s="210"/>
    </row>
    <row r="429" spans="1:62" ht="15" x14ac:dyDescent="0.2">
      <c r="A429" s="210"/>
      <c r="B429" s="210"/>
      <c r="C429" s="210"/>
      <c r="D429" s="210"/>
      <c r="E429" s="210"/>
      <c r="F429" s="210"/>
      <c r="G429" s="210"/>
      <c r="H429" s="210"/>
      <c r="I429" s="210"/>
      <c r="J429" s="210"/>
      <c r="K429" s="210"/>
      <c r="L429" s="210"/>
      <c r="M429" s="210"/>
      <c r="N429" s="210"/>
      <c r="O429" s="210"/>
      <c r="P429" s="210"/>
      <c r="Q429" s="210"/>
      <c r="R429" s="210"/>
      <c r="S429" s="210"/>
      <c r="T429" s="210"/>
      <c r="U429" s="210"/>
      <c r="V429" s="210"/>
      <c r="W429" s="210"/>
      <c r="X429" s="210"/>
      <c r="Y429" s="210"/>
      <c r="Z429" s="210"/>
      <c r="AA429" s="210"/>
      <c r="AB429" s="210"/>
      <c r="AC429" s="210"/>
      <c r="AD429" s="210"/>
      <c r="AE429" s="210"/>
      <c r="AF429" s="210"/>
      <c r="AG429" s="210"/>
      <c r="AH429" s="210"/>
      <c r="AI429" s="210"/>
      <c r="AJ429" s="210"/>
      <c r="AK429" s="210"/>
      <c r="AL429" s="210"/>
      <c r="AM429" s="210"/>
      <c r="AN429" s="210"/>
      <c r="AO429" s="210"/>
      <c r="AP429" s="210"/>
      <c r="AQ429" s="210"/>
      <c r="AR429" s="210"/>
      <c r="AS429" s="210"/>
      <c r="AT429" s="210"/>
      <c r="AU429" s="210"/>
      <c r="AV429" s="210"/>
      <c r="AW429" s="210"/>
      <c r="AX429" s="210"/>
      <c r="AY429" s="210"/>
      <c r="AZ429" s="210"/>
      <c r="BA429" s="210"/>
      <c r="BB429" s="210"/>
      <c r="BC429" s="210"/>
      <c r="BD429" s="210"/>
      <c r="BE429" s="210"/>
      <c r="BF429" s="210"/>
      <c r="BG429" s="210"/>
      <c r="BH429" s="210"/>
      <c r="BI429" s="210"/>
      <c r="BJ429" s="210"/>
    </row>
    <row r="430" spans="1:62" ht="15" x14ac:dyDescent="0.2">
      <c r="A430" s="210"/>
      <c r="B430" s="210"/>
      <c r="C430" s="210"/>
      <c r="D430" s="210"/>
      <c r="E430" s="210"/>
      <c r="F430" s="210"/>
      <c r="G430" s="210"/>
      <c r="H430" s="210"/>
      <c r="I430" s="210"/>
      <c r="J430" s="210"/>
      <c r="K430" s="210"/>
      <c r="L430" s="210"/>
      <c r="M430" s="210"/>
      <c r="N430" s="210"/>
      <c r="O430" s="210"/>
      <c r="P430" s="210"/>
      <c r="Q430" s="210"/>
      <c r="R430" s="210"/>
      <c r="S430" s="210"/>
      <c r="T430" s="210"/>
      <c r="U430" s="210"/>
      <c r="V430" s="210"/>
      <c r="W430" s="210"/>
      <c r="X430" s="210"/>
      <c r="Y430" s="210"/>
      <c r="Z430" s="210"/>
      <c r="AA430" s="210"/>
      <c r="AB430" s="210"/>
      <c r="AC430" s="210"/>
      <c r="AD430" s="210"/>
      <c r="AE430" s="210"/>
      <c r="AF430" s="210"/>
      <c r="AG430" s="210"/>
      <c r="AH430" s="210"/>
      <c r="AI430" s="210"/>
      <c r="AJ430" s="210"/>
      <c r="AK430" s="210"/>
      <c r="AL430" s="210"/>
      <c r="AM430" s="210"/>
      <c r="AN430" s="210"/>
      <c r="AO430" s="210"/>
      <c r="AP430" s="210"/>
      <c r="AQ430" s="210"/>
      <c r="AR430" s="210"/>
      <c r="AS430" s="210"/>
      <c r="AT430" s="210"/>
      <c r="AU430" s="210"/>
      <c r="AV430" s="210"/>
      <c r="AW430" s="210"/>
      <c r="AX430" s="210"/>
      <c r="AY430" s="210"/>
      <c r="AZ430" s="210"/>
      <c r="BA430" s="210"/>
      <c r="BB430" s="210"/>
      <c r="BC430" s="210"/>
      <c r="BD430" s="210"/>
      <c r="BE430" s="210"/>
      <c r="BF430" s="210"/>
      <c r="BG430" s="210"/>
      <c r="BH430" s="210"/>
      <c r="BI430" s="210"/>
      <c r="BJ430" s="210"/>
    </row>
    <row r="431" spans="1:62" ht="15" x14ac:dyDescent="0.2">
      <c r="A431" s="210"/>
      <c r="B431" s="210"/>
      <c r="C431" s="210"/>
      <c r="D431" s="210"/>
      <c r="E431" s="210"/>
      <c r="F431" s="210"/>
      <c r="G431" s="210"/>
      <c r="H431" s="210"/>
      <c r="I431" s="210"/>
      <c r="J431" s="210"/>
      <c r="K431" s="210"/>
      <c r="L431" s="210"/>
      <c r="M431" s="210"/>
      <c r="N431" s="210"/>
      <c r="O431" s="210"/>
      <c r="P431" s="210"/>
      <c r="Q431" s="210"/>
      <c r="R431" s="210"/>
      <c r="S431" s="210"/>
      <c r="T431" s="210"/>
      <c r="U431" s="210"/>
      <c r="V431" s="210"/>
      <c r="W431" s="210"/>
      <c r="X431" s="210"/>
      <c r="Y431" s="210"/>
      <c r="Z431" s="210"/>
      <c r="AA431" s="210"/>
      <c r="AB431" s="210"/>
      <c r="AC431" s="210"/>
      <c r="AD431" s="210"/>
      <c r="AE431" s="210"/>
      <c r="AF431" s="210"/>
      <c r="AG431" s="210"/>
      <c r="AH431" s="210"/>
      <c r="AI431" s="210"/>
      <c r="AJ431" s="210"/>
      <c r="AK431" s="210"/>
      <c r="AL431" s="210"/>
      <c r="AM431" s="210"/>
      <c r="AN431" s="210"/>
      <c r="AO431" s="210"/>
      <c r="AP431" s="210"/>
      <c r="AQ431" s="210"/>
      <c r="AR431" s="210"/>
      <c r="AS431" s="210"/>
      <c r="AT431" s="210"/>
      <c r="AU431" s="210"/>
      <c r="AV431" s="210"/>
      <c r="AW431" s="210"/>
      <c r="AX431" s="210"/>
      <c r="AY431" s="210"/>
      <c r="AZ431" s="210"/>
      <c r="BA431" s="210"/>
      <c r="BB431" s="210"/>
      <c r="BC431" s="210"/>
      <c r="BD431" s="210"/>
      <c r="BE431" s="210"/>
      <c r="BF431" s="210"/>
      <c r="BG431" s="210"/>
      <c r="BH431" s="210"/>
      <c r="BI431" s="210"/>
      <c r="BJ431" s="210"/>
    </row>
    <row r="432" spans="1:62" ht="15" x14ac:dyDescent="0.2">
      <c r="A432" s="210"/>
      <c r="B432" s="210"/>
      <c r="C432" s="210"/>
      <c r="D432" s="210"/>
      <c r="E432" s="210"/>
      <c r="F432" s="210"/>
      <c r="G432" s="210"/>
      <c r="H432" s="210"/>
      <c r="I432" s="210"/>
      <c r="J432" s="210"/>
      <c r="K432" s="210"/>
      <c r="L432" s="210"/>
      <c r="M432" s="210"/>
      <c r="N432" s="210"/>
      <c r="O432" s="210"/>
      <c r="P432" s="210"/>
      <c r="Q432" s="210"/>
      <c r="R432" s="210"/>
      <c r="S432" s="210"/>
      <c r="T432" s="210"/>
      <c r="U432" s="210"/>
      <c r="V432" s="210"/>
      <c r="W432" s="210"/>
      <c r="X432" s="210"/>
      <c r="Y432" s="210"/>
      <c r="Z432" s="210"/>
      <c r="AA432" s="210"/>
      <c r="AB432" s="210"/>
      <c r="AC432" s="210"/>
      <c r="AD432" s="210"/>
      <c r="AE432" s="210"/>
      <c r="AF432" s="210"/>
      <c r="AG432" s="210"/>
      <c r="AH432" s="210"/>
      <c r="AI432" s="210"/>
      <c r="AJ432" s="210"/>
      <c r="AK432" s="210"/>
      <c r="AL432" s="210"/>
      <c r="AM432" s="210"/>
      <c r="AN432" s="210"/>
      <c r="AO432" s="210"/>
      <c r="AP432" s="210"/>
      <c r="AQ432" s="210"/>
      <c r="AR432" s="210"/>
      <c r="AS432" s="210"/>
      <c r="AT432" s="210"/>
      <c r="AU432" s="210"/>
      <c r="AV432" s="210"/>
      <c r="AW432" s="210"/>
      <c r="AX432" s="210"/>
      <c r="AY432" s="210"/>
      <c r="AZ432" s="210"/>
      <c r="BA432" s="210"/>
      <c r="BB432" s="210"/>
      <c r="BC432" s="210"/>
      <c r="BD432" s="210"/>
      <c r="BE432" s="210"/>
      <c r="BF432" s="210"/>
      <c r="BG432" s="210"/>
      <c r="BH432" s="210"/>
      <c r="BI432" s="210"/>
      <c r="BJ432" s="210"/>
    </row>
    <row r="433" spans="1:62" ht="15" x14ac:dyDescent="0.2">
      <c r="A433" s="210"/>
      <c r="B433" s="210"/>
      <c r="C433" s="210"/>
      <c r="D433" s="210"/>
      <c r="E433" s="210"/>
      <c r="F433" s="210"/>
      <c r="G433" s="210"/>
      <c r="H433" s="210"/>
      <c r="I433" s="210"/>
      <c r="J433" s="210"/>
      <c r="K433" s="210"/>
      <c r="L433" s="210"/>
      <c r="M433" s="210"/>
      <c r="N433" s="210"/>
      <c r="O433" s="210"/>
      <c r="P433" s="210"/>
      <c r="Q433" s="210"/>
      <c r="R433" s="210"/>
      <c r="S433" s="210"/>
      <c r="T433" s="210"/>
      <c r="U433" s="210"/>
      <c r="V433" s="210"/>
      <c r="W433" s="210"/>
      <c r="X433" s="210"/>
      <c r="Y433" s="210"/>
      <c r="Z433" s="210"/>
      <c r="AA433" s="210"/>
      <c r="AB433" s="210"/>
      <c r="AC433" s="210"/>
      <c r="AD433" s="210"/>
      <c r="AE433" s="210"/>
      <c r="AF433" s="210"/>
      <c r="AG433" s="210"/>
      <c r="AH433" s="210"/>
      <c r="AI433" s="210"/>
      <c r="AJ433" s="210"/>
      <c r="AK433" s="210"/>
      <c r="AL433" s="210"/>
      <c r="AM433" s="210"/>
      <c r="AN433" s="210"/>
      <c r="AO433" s="210"/>
      <c r="AP433" s="210"/>
      <c r="AQ433" s="210"/>
      <c r="AR433" s="210"/>
      <c r="AS433" s="210"/>
      <c r="AT433" s="210"/>
      <c r="AU433" s="210"/>
      <c r="AV433" s="210"/>
      <c r="AW433" s="210"/>
      <c r="AX433" s="210"/>
      <c r="AY433" s="210"/>
      <c r="AZ433" s="210"/>
      <c r="BA433" s="210"/>
      <c r="BB433" s="210"/>
      <c r="BC433" s="210"/>
      <c r="BD433" s="210"/>
      <c r="BE433" s="210"/>
      <c r="BF433" s="210"/>
      <c r="BG433" s="210"/>
      <c r="BH433" s="210"/>
      <c r="BI433" s="210"/>
      <c r="BJ433" s="210"/>
    </row>
    <row r="434" spans="1:62" ht="15" x14ac:dyDescent="0.2">
      <c r="A434" s="210"/>
      <c r="B434" s="210"/>
      <c r="C434" s="210"/>
      <c r="D434" s="210"/>
      <c r="E434" s="210"/>
      <c r="F434" s="210"/>
      <c r="G434" s="210"/>
      <c r="H434" s="210"/>
      <c r="I434" s="210"/>
      <c r="J434" s="210"/>
      <c r="K434" s="210"/>
      <c r="L434" s="210"/>
      <c r="M434" s="210"/>
      <c r="N434" s="210"/>
      <c r="O434" s="210"/>
      <c r="P434" s="210"/>
      <c r="Q434" s="210"/>
      <c r="R434" s="210"/>
      <c r="S434" s="210"/>
      <c r="T434" s="210"/>
      <c r="U434" s="210"/>
      <c r="V434" s="210"/>
      <c r="W434" s="210"/>
      <c r="X434" s="210"/>
      <c r="Y434" s="210"/>
      <c r="Z434" s="210"/>
      <c r="AA434" s="210"/>
      <c r="AB434" s="210"/>
      <c r="AC434" s="210"/>
      <c r="AD434" s="210"/>
      <c r="AE434" s="210"/>
      <c r="AF434" s="210"/>
      <c r="AG434" s="210"/>
      <c r="AH434" s="210"/>
      <c r="AI434" s="210"/>
      <c r="AJ434" s="210"/>
      <c r="AK434" s="210"/>
      <c r="AL434" s="210"/>
      <c r="AM434" s="210"/>
      <c r="AN434" s="210"/>
      <c r="AO434" s="210"/>
      <c r="AP434" s="210"/>
      <c r="AQ434" s="210"/>
      <c r="AR434" s="210"/>
      <c r="AS434" s="210"/>
      <c r="AT434" s="210"/>
      <c r="AU434" s="210"/>
      <c r="AV434" s="210"/>
      <c r="AW434" s="210"/>
      <c r="AX434" s="210"/>
      <c r="AY434" s="210"/>
      <c r="AZ434" s="210"/>
      <c r="BA434" s="210"/>
      <c r="BB434" s="210"/>
      <c r="BC434" s="210"/>
      <c r="BD434" s="210"/>
      <c r="BE434" s="210"/>
      <c r="BF434" s="210"/>
      <c r="BG434" s="210"/>
      <c r="BH434" s="210"/>
      <c r="BI434" s="210"/>
      <c r="BJ434" s="210"/>
    </row>
    <row r="435" spans="1:62" ht="15" x14ac:dyDescent="0.2">
      <c r="A435" s="210"/>
      <c r="B435" s="210"/>
      <c r="C435" s="210"/>
      <c r="D435" s="210"/>
      <c r="E435" s="210"/>
      <c r="F435" s="210"/>
      <c r="G435" s="210"/>
      <c r="H435" s="210"/>
      <c r="I435" s="210"/>
      <c r="J435" s="210"/>
      <c r="K435" s="210"/>
      <c r="L435" s="210"/>
      <c r="M435" s="210"/>
      <c r="N435" s="210"/>
      <c r="O435" s="210"/>
      <c r="P435" s="210"/>
      <c r="Q435" s="210"/>
      <c r="R435" s="210"/>
      <c r="S435" s="210"/>
      <c r="T435" s="210"/>
      <c r="U435" s="210"/>
      <c r="V435" s="210"/>
      <c r="W435" s="210"/>
      <c r="X435" s="210"/>
      <c r="Y435" s="210"/>
      <c r="Z435" s="210"/>
      <c r="AA435" s="210"/>
      <c r="AB435" s="210"/>
      <c r="AC435" s="210"/>
      <c r="AD435" s="210"/>
      <c r="AE435" s="210"/>
      <c r="AF435" s="210"/>
      <c r="AG435" s="210"/>
      <c r="AH435" s="210"/>
      <c r="AI435" s="210"/>
      <c r="AJ435" s="210"/>
      <c r="AK435" s="210"/>
      <c r="AL435" s="210"/>
      <c r="AM435" s="210"/>
      <c r="AN435" s="210"/>
      <c r="AO435" s="210"/>
      <c r="AP435" s="210"/>
      <c r="AQ435" s="210"/>
      <c r="AR435" s="210"/>
      <c r="AS435" s="210"/>
      <c r="AT435" s="210"/>
      <c r="AU435" s="210"/>
      <c r="AV435" s="210"/>
      <c r="AW435" s="210"/>
      <c r="AX435" s="210"/>
      <c r="AY435" s="210"/>
      <c r="AZ435" s="210"/>
      <c r="BA435" s="210"/>
      <c r="BB435" s="210"/>
      <c r="BC435" s="210"/>
      <c r="BD435" s="210"/>
      <c r="BE435" s="210"/>
      <c r="BF435" s="210"/>
      <c r="BG435" s="210"/>
      <c r="BH435" s="210"/>
      <c r="BI435" s="210"/>
      <c r="BJ435" s="210"/>
    </row>
    <row r="436" spans="1:62" ht="15" x14ac:dyDescent="0.2">
      <c r="A436" s="210"/>
      <c r="B436" s="210"/>
      <c r="C436" s="210"/>
      <c r="D436" s="210"/>
      <c r="E436" s="210"/>
      <c r="F436" s="210"/>
      <c r="G436" s="210"/>
      <c r="H436" s="210"/>
      <c r="I436" s="210"/>
      <c r="J436" s="210"/>
      <c r="K436" s="210"/>
      <c r="L436" s="210"/>
      <c r="M436" s="210"/>
      <c r="N436" s="210"/>
      <c r="O436" s="210"/>
      <c r="P436" s="210"/>
      <c r="Q436" s="210"/>
      <c r="R436" s="210"/>
      <c r="S436" s="210"/>
      <c r="T436" s="210"/>
      <c r="U436" s="210"/>
      <c r="V436" s="210"/>
      <c r="W436" s="210"/>
      <c r="X436" s="210"/>
      <c r="Y436" s="210"/>
      <c r="Z436" s="210"/>
      <c r="AA436" s="210"/>
      <c r="AB436" s="210"/>
      <c r="AC436" s="210"/>
      <c r="AD436" s="210"/>
      <c r="AE436" s="210"/>
      <c r="AF436" s="210"/>
      <c r="AG436" s="210"/>
      <c r="AH436" s="210"/>
      <c r="AI436" s="210"/>
      <c r="AJ436" s="210"/>
      <c r="AK436" s="210"/>
      <c r="AL436" s="210"/>
      <c r="AM436" s="210"/>
      <c r="AN436" s="210"/>
      <c r="AO436" s="210"/>
      <c r="AP436" s="210"/>
      <c r="AQ436" s="210"/>
      <c r="AR436" s="210"/>
      <c r="AS436" s="210"/>
      <c r="AT436" s="210"/>
      <c r="AU436" s="210"/>
      <c r="AV436" s="210"/>
      <c r="AW436" s="210"/>
      <c r="AX436" s="210"/>
      <c r="AY436" s="210"/>
      <c r="AZ436" s="210"/>
      <c r="BA436" s="210"/>
      <c r="BB436" s="210"/>
      <c r="BC436" s="210"/>
      <c r="BD436" s="210"/>
      <c r="BE436" s="210"/>
      <c r="BF436" s="210"/>
      <c r="BG436" s="210"/>
      <c r="BH436" s="210"/>
      <c r="BI436" s="210"/>
      <c r="BJ436" s="210"/>
    </row>
    <row r="437" spans="1:62" ht="15" x14ac:dyDescent="0.2">
      <c r="A437" s="210"/>
      <c r="B437" s="210"/>
      <c r="C437" s="210"/>
      <c r="D437" s="210"/>
      <c r="E437" s="210"/>
      <c r="F437" s="210"/>
      <c r="G437" s="210"/>
      <c r="H437" s="210"/>
      <c r="I437" s="210"/>
      <c r="J437" s="210"/>
      <c r="K437" s="210"/>
      <c r="L437" s="210"/>
      <c r="M437" s="210"/>
      <c r="N437" s="210"/>
      <c r="O437" s="210"/>
      <c r="P437" s="210"/>
      <c r="Q437" s="210"/>
      <c r="R437" s="210"/>
      <c r="S437" s="210"/>
      <c r="T437" s="210"/>
      <c r="U437" s="210"/>
      <c r="V437" s="210"/>
      <c r="W437" s="210"/>
      <c r="X437" s="210"/>
      <c r="Y437" s="210"/>
      <c r="Z437" s="210"/>
      <c r="AA437" s="210"/>
      <c r="AB437" s="210"/>
      <c r="AC437" s="210"/>
      <c r="AD437" s="210"/>
      <c r="AE437" s="210"/>
      <c r="AF437" s="210"/>
      <c r="AG437" s="210"/>
      <c r="AH437" s="210"/>
      <c r="AI437" s="210"/>
      <c r="AJ437" s="210"/>
      <c r="AK437" s="210"/>
      <c r="AL437" s="210"/>
      <c r="AM437" s="210"/>
      <c r="AN437" s="210"/>
      <c r="AO437" s="210"/>
      <c r="AP437" s="210"/>
      <c r="AQ437" s="210"/>
      <c r="AR437" s="210"/>
      <c r="AS437" s="210"/>
      <c r="AT437" s="210"/>
      <c r="AU437" s="210"/>
      <c r="AV437" s="210"/>
      <c r="AW437" s="210"/>
      <c r="AX437" s="210"/>
      <c r="AY437" s="210"/>
      <c r="AZ437" s="210"/>
      <c r="BA437" s="210"/>
      <c r="BB437" s="210"/>
      <c r="BC437" s="210"/>
      <c r="BD437" s="210"/>
      <c r="BE437" s="210"/>
      <c r="BF437" s="210"/>
      <c r="BG437" s="210"/>
      <c r="BH437" s="210"/>
      <c r="BI437" s="210"/>
      <c r="BJ437" s="210"/>
    </row>
    <row r="438" spans="1:62" ht="15" x14ac:dyDescent="0.2">
      <c r="A438" s="210"/>
      <c r="B438" s="210"/>
      <c r="C438" s="210"/>
      <c r="D438" s="210"/>
      <c r="E438" s="210"/>
      <c r="F438" s="210"/>
      <c r="G438" s="210"/>
      <c r="H438" s="210"/>
      <c r="I438" s="210"/>
      <c r="J438" s="210"/>
      <c r="K438" s="210"/>
      <c r="L438" s="210"/>
      <c r="M438" s="210"/>
      <c r="N438" s="210"/>
      <c r="O438" s="210"/>
      <c r="P438" s="210"/>
      <c r="Q438" s="210"/>
      <c r="R438" s="210"/>
      <c r="S438" s="210"/>
      <c r="T438" s="210"/>
      <c r="U438" s="210"/>
      <c r="V438" s="210"/>
      <c r="W438" s="210"/>
      <c r="X438" s="210"/>
      <c r="Y438" s="210"/>
      <c r="Z438" s="210"/>
      <c r="AA438" s="210"/>
      <c r="AB438" s="210"/>
      <c r="AC438" s="210"/>
      <c r="AD438" s="210"/>
      <c r="AE438" s="210"/>
      <c r="AF438" s="210"/>
      <c r="AG438" s="210"/>
      <c r="AH438" s="210"/>
      <c r="AI438" s="210"/>
      <c r="AJ438" s="210"/>
      <c r="AK438" s="210"/>
      <c r="AL438" s="210"/>
      <c r="AM438" s="210"/>
      <c r="AN438" s="210"/>
      <c r="AO438" s="210"/>
      <c r="AP438" s="210"/>
      <c r="AQ438" s="210"/>
      <c r="AR438" s="210"/>
      <c r="AS438" s="210"/>
      <c r="AT438" s="210"/>
      <c r="AU438" s="210"/>
      <c r="AV438" s="210"/>
      <c r="AW438" s="210"/>
      <c r="AX438" s="210"/>
      <c r="AY438" s="210"/>
      <c r="AZ438" s="210"/>
      <c r="BA438" s="210"/>
      <c r="BB438" s="210"/>
      <c r="BC438" s="210"/>
      <c r="BD438" s="210"/>
      <c r="BE438" s="210"/>
      <c r="BF438" s="210"/>
      <c r="BG438" s="210"/>
      <c r="BH438" s="210"/>
      <c r="BI438" s="210"/>
      <c r="BJ438" s="210"/>
    </row>
    <row r="439" spans="1:62" ht="15" x14ac:dyDescent="0.2">
      <c r="A439" s="210"/>
      <c r="B439" s="210"/>
      <c r="C439" s="210"/>
      <c r="D439" s="210"/>
      <c r="E439" s="210"/>
      <c r="F439" s="210"/>
      <c r="G439" s="210"/>
      <c r="H439" s="210"/>
      <c r="I439" s="210"/>
      <c r="J439" s="210"/>
      <c r="K439" s="210"/>
      <c r="L439" s="210"/>
      <c r="M439" s="210"/>
      <c r="N439" s="210"/>
      <c r="O439" s="210"/>
      <c r="P439" s="210"/>
      <c r="Q439" s="210"/>
      <c r="R439" s="210"/>
      <c r="S439" s="210"/>
      <c r="T439" s="210"/>
      <c r="U439" s="210"/>
      <c r="V439" s="210"/>
      <c r="W439" s="210"/>
      <c r="X439" s="210"/>
      <c r="Y439" s="210"/>
      <c r="Z439" s="210"/>
      <c r="AA439" s="210"/>
      <c r="AB439" s="210"/>
      <c r="AC439" s="210"/>
      <c r="AD439" s="210"/>
      <c r="AE439" s="210"/>
      <c r="AF439" s="210"/>
      <c r="AG439" s="210"/>
      <c r="AH439" s="210"/>
      <c r="AI439" s="210"/>
      <c r="AJ439" s="210"/>
      <c r="AK439" s="210"/>
      <c r="AL439" s="210"/>
      <c r="AM439" s="210"/>
      <c r="AN439" s="210"/>
      <c r="AO439" s="210"/>
      <c r="AP439" s="210"/>
      <c r="AQ439" s="210"/>
      <c r="AR439" s="210"/>
      <c r="AS439" s="210"/>
      <c r="AT439" s="210"/>
      <c r="AU439" s="210"/>
      <c r="AV439" s="210"/>
      <c r="AW439" s="210"/>
      <c r="AX439" s="210"/>
      <c r="AY439" s="210"/>
      <c r="AZ439" s="210"/>
      <c r="BA439" s="210"/>
      <c r="BB439" s="210"/>
      <c r="BC439" s="210"/>
      <c r="BD439" s="210"/>
      <c r="BE439" s="210"/>
      <c r="BF439" s="210"/>
      <c r="BG439" s="210"/>
      <c r="BH439" s="210"/>
      <c r="BI439" s="210"/>
      <c r="BJ439" s="210"/>
    </row>
    <row r="440" spans="1:62" ht="15" x14ac:dyDescent="0.2">
      <c r="A440" s="210"/>
      <c r="B440" s="210"/>
      <c r="C440" s="210"/>
      <c r="D440" s="210"/>
      <c r="E440" s="210"/>
      <c r="F440" s="210"/>
      <c r="G440" s="210"/>
      <c r="H440" s="210"/>
      <c r="I440" s="210"/>
      <c r="J440" s="210"/>
      <c r="K440" s="210"/>
      <c r="L440" s="210"/>
      <c r="M440" s="210"/>
      <c r="N440" s="210"/>
      <c r="O440" s="210"/>
      <c r="P440" s="210"/>
      <c r="Q440" s="210"/>
      <c r="R440" s="210"/>
      <c r="S440" s="210"/>
      <c r="T440" s="210"/>
      <c r="U440" s="210"/>
      <c r="V440" s="210"/>
      <c r="W440" s="210"/>
      <c r="X440" s="210"/>
      <c r="Y440" s="210"/>
      <c r="Z440" s="210"/>
      <c r="AA440" s="210"/>
      <c r="AB440" s="210"/>
      <c r="AC440" s="210"/>
      <c r="AD440" s="210"/>
      <c r="AE440" s="210"/>
      <c r="AF440" s="210"/>
      <c r="AG440" s="210"/>
      <c r="AH440" s="210"/>
      <c r="AI440" s="210"/>
      <c r="AJ440" s="210"/>
      <c r="AK440" s="210"/>
      <c r="AL440" s="210"/>
      <c r="AM440" s="210"/>
      <c r="AN440" s="210"/>
      <c r="AO440" s="210"/>
      <c r="AP440" s="210"/>
      <c r="AQ440" s="210"/>
      <c r="AR440" s="210"/>
      <c r="AS440" s="210"/>
      <c r="AT440" s="210"/>
      <c r="AU440" s="210"/>
      <c r="AV440" s="210"/>
      <c r="AW440" s="210"/>
      <c r="AX440" s="210"/>
      <c r="AY440" s="210"/>
      <c r="AZ440" s="210"/>
      <c r="BA440" s="210"/>
      <c r="BB440" s="210"/>
      <c r="BC440" s="210"/>
      <c r="BD440" s="210"/>
      <c r="BE440" s="210"/>
      <c r="BF440" s="210"/>
      <c r="BG440" s="210"/>
      <c r="BH440" s="210"/>
      <c r="BI440" s="210"/>
      <c r="BJ440" s="210"/>
    </row>
    <row r="441" spans="1:62" ht="15" x14ac:dyDescent="0.2">
      <c r="A441" s="210"/>
      <c r="B441" s="210"/>
      <c r="C441" s="210"/>
      <c r="D441" s="210"/>
      <c r="E441" s="210"/>
      <c r="F441" s="210"/>
      <c r="G441" s="210"/>
      <c r="H441" s="210"/>
      <c r="I441" s="210"/>
      <c r="J441" s="210"/>
      <c r="K441" s="210"/>
      <c r="L441" s="210"/>
      <c r="M441" s="210"/>
      <c r="N441" s="210"/>
      <c r="O441" s="210"/>
      <c r="P441" s="210"/>
      <c r="Q441" s="210"/>
      <c r="R441" s="210"/>
      <c r="S441" s="210"/>
      <c r="T441" s="210"/>
      <c r="U441" s="210"/>
      <c r="V441" s="210"/>
      <c r="W441" s="210"/>
      <c r="X441" s="210"/>
      <c r="Y441" s="210"/>
      <c r="Z441" s="210"/>
      <c r="AA441" s="210"/>
      <c r="AB441" s="210"/>
      <c r="AC441" s="210"/>
      <c r="AD441" s="210"/>
      <c r="AE441" s="210"/>
      <c r="AF441" s="210"/>
      <c r="AG441" s="210"/>
      <c r="AH441" s="210"/>
      <c r="AI441" s="210"/>
      <c r="AJ441" s="210"/>
      <c r="AK441" s="210"/>
      <c r="AL441" s="210"/>
      <c r="AM441" s="210"/>
      <c r="AN441" s="210"/>
      <c r="AO441" s="210"/>
      <c r="AP441" s="210"/>
      <c r="AQ441" s="210"/>
      <c r="AR441" s="210"/>
      <c r="AS441" s="210"/>
      <c r="AT441" s="210"/>
      <c r="AU441" s="210"/>
      <c r="AV441" s="210"/>
      <c r="AW441" s="210"/>
      <c r="AX441" s="210"/>
      <c r="AY441" s="210"/>
      <c r="AZ441" s="210"/>
      <c r="BA441" s="210"/>
      <c r="BB441" s="210"/>
      <c r="BC441" s="210"/>
      <c r="BD441" s="210"/>
      <c r="BE441" s="210"/>
      <c r="BF441" s="210"/>
      <c r="BG441" s="210"/>
      <c r="BH441" s="210"/>
      <c r="BI441" s="210"/>
      <c r="BJ441" s="210"/>
    </row>
    <row r="442" spans="1:62" ht="15" x14ac:dyDescent="0.2">
      <c r="A442" s="210"/>
      <c r="B442" s="210"/>
      <c r="C442" s="210"/>
      <c r="D442" s="210"/>
      <c r="E442" s="210"/>
      <c r="F442" s="210"/>
      <c r="G442" s="210"/>
      <c r="H442" s="210"/>
      <c r="I442" s="210"/>
      <c r="J442" s="210"/>
      <c r="K442" s="210"/>
      <c r="L442" s="210"/>
      <c r="M442" s="210"/>
      <c r="N442" s="210"/>
      <c r="O442" s="210"/>
      <c r="P442" s="210"/>
      <c r="Q442" s="210"/>
      <c r="R442" s="210"/>
      <c r="S442" s="210"/>
      <c r="T442" s="210"/>
      <c r="U442" s="210"/>
      <c r="V442" s="210"/>
      <c r="W442" s="210"/>
      <c r="X442" s="210"/>
      <c r="Y442" s="210"/>
      <c r="Z442" s="210"/>
      <c r="AA442" s="210"/>
      <c r="AB442" s="210"/>
      <c r="AC442" s="210"/>
      <c r="AD442" s="210"/>
      <c r="AE442" s="210"/>
      <c r="AF442" s="210"/>
      <c r="AG442" s="210"/>
      <c r="AH442" s="210"/>
      <c r="AI442" s="210"/>
      <c r="AJ442" s="210"/>
      <c r="AK442" s="210"/>
      <c r="AL442" s="210"/>
      <c r="AM442" s="210"/>
      <c r="AN442" s="210"/>
      <c r="AO442" s="210"/>
      <c r="AP442" s="210"/>
      <c r="AQ442" s="210"/>
      <c r="AR442" s="210"/>
      <c r="AS442" s="210"/>
      <c r="AT442" s="210"/>
      <c r="AU442" s="210"/>
      <c r="AV442" s="210"/>
      <c r="AW442" s="210"/>
      <c r="AX442" s="210"/>
      <c r="AY442" s="210"/>
      <c r="AZ442" s="210"/>
      <c r="BA442" s="210"/>
      <c r="BB442" s="210"/>
      <c r="BC442" s="210"/>
      <c r="BD442" s="210"/>
      <c r="BE442" s="210"/>
      <c r="BF442" s="210"/>
      <c r="BG442" s="210"/>
      <c r="BH442" s="210"/>
      <c r="BI442" s="210"/>
      <c r="BJ442" s="210"/>
    </row>
    <row r="443" spans="1:62" ht="15" x14ac:dyDescent="0.2">
      <c r="A443" s="210"/>
      <c r="B443" s="210"/>
      <c r="C443" s="210"/>
      <c r="D443" s="210"/>
      <c r="E443" s="210"/>
      <c r="F443" s="210"/>
      <c r="G443" s="210"/>
      <c r="H443" s="210"/>
      <c r="I443" s="210"/>
      <c r="J443" s="210"/>
      <c r="K443" s="210"/>
      <c r="L443" s="210"/>
      <c r="M443" s="210"/>
      <c r="N443" s="210"/>
      <c r="O443" s="210"/>
      <c r="P443" s="210"/>
      <c r="Q443" s="210"/>
      <c r="R443" s="210"/>
      <c r="S443" s="210"/>
      <c r="T443" s="210"/>
      <c r="U443" s="210"/>
      <c r="V443" s="210"/>
      <c r="W443" s="210"/>
      <c r="X443" s="210"/>
      <c r="Y443" s="210"/>
      <c r="Z443" s="210"/>
      <c r="AA443" s="210"/>
      <c r="AB443" s="210"/>
      <c r="AC443" s="210"/>
      <c r="AD443" s="210"/>
      <c r="AE443" s="210"/>
      <c r="AF443" s="210"/>
      <c r="AG443" s="210"/>
      <c r="AH443" s="210"/>
      <c r="AI443" s="210"/>
      <c r="AJ443" s="210"/>
      <c r="AK443" s="210"/>
      <c r="AL443" s="210"/>
      <c r="AM443" s="210"/>
      <c r="AN443" s="210"/>
      <c r="AO443" s="210"/>
      <c r="AP443" s="210"/>
      <c r="AQ443" s="210"/>
      <c r="AR443" s="210"/>
      <c r="AS443" s="210"/>
      <c r="AT443" s="210"/>
      <c r="AU443" s="210"/>
      <c r="AV443" s="210"/>
      <c r="AW443" s="210"/>
      <c r="AX443" s="210"/>
      <c r="AY443" s="210"/>
      <c r="AZ443" s="210"/>
      <c r="BA443" s="210"/>
      <c r="BB443" s="210"/>
      <c r="BC443" s="210"/>
      <c r="BD443" s="210"/>
      <c r="BE443" s="210"/>
      <c r="BF443" s="210"/>
      <c r="BG443" s="210"/>
      <c r="BH443" s="210"/>
      <c r="BI443" s="210"/>
      <c r="BJ443" s="210"/>
    </row>
    <row r="444" spans="1:62" ht="15" x14ac:dyDescent="0.2">
      <c r="A444" s="210"/>
      <c r="B444" s="210"/>
      <c r="C444" s="210"/>
      <c r="D444" s="210"/>
      <c r="E444" s="210"/>
      <c r="F444" s="210"/>
      <c r="G444" s="210"/>
      <c r="H444" s="210"/>
      <c r="I444" s="210"/>
      <c r="J444" s="210"/>
      <c r="K444" s="210"/>
      <c r="L444" s="210"/>
      <c r="M444" s="210"/>
      <c r="N444" s="210"/>
      <c r="O444" s="210"/>
      <c r="P444" s="210"/>
      <c r="Q444" s="210"/>
      <c r="R444" s="210"/>
      <c r="S444" s="210"/>
      <c r="T444" s="210"/>
      <c r="U444" s="210"/>
      <c r="V444" s="210"/>
      <c r="W444" s="210"/>
      <c r="X444" s="210"/>
      <c r="Y444" s="210"/>
      <c r="Z444" s="210"/>
      <c r="AA444" s="210"/>
      <c r="AB444" s="210"/>
      <c r="AC444" s="210"/>
      <c r="AD444" s="210"/>
      <c r="AE444" s="210"/>
      <c r="AF444" s="210"/>
      <c r="AG444" s="210"/>
      <c r="AH444" s="210"/>
      <c r="AI444" s="210"/>
      <c r="AJ444" s="210"/>
      <c r="AK444" s="210"/>
      <c r="AL444" s="210"/>
      <c r="AM444" s="210"/>
      <c r="AN444" s="210"/>
      <c r="AO444" s="210"/>
      <c r="AP444" s="210"/>
      <c r="AQ444" s="210"/>
      <c r="AR444" s="210"/>
      <c r="AS444" s="210"/>
      <c r="AT444" s="210"/>
      <c r="AU444" s="210"/>
      <c r="AV444" s="210"/>
      <c r="AW444" s="210"/>
      <c r="AX444" s="210"/>
      <c r="AY444" s="210"/>
      <c r="AZ444" s="210"/>
      <c r="BA444" s="210"/>
      <c r="BB444" s="210"/>
      <c r="BC444" s="210"/>
      <c r="BD444" s="210"/>
      <c r="BE444" s="210"/>
      <c r="BF444" s="210"/>
      <c r="BG444" s="210"/>
      <c r="BH444" s="210"/>
      <c r="BI444" s="210"/>
      <c r="BJ444" s="210"/>
    </row>
    <row r="445" spans="1:62" ht="15" x14ac:dyDescent="0.2">
      <c r="A445" s="210"/>
      <c r="B445" s="210"/>
      <c r="C445" s="210"/>
      <c r="D445" s="210"/>
      <c r="E445" s="210"/>
      <c r="F445" s="210"/>
      <c r="G445" s="210"/>
      <c r="H445" s="210"/>
      <c r="I445" s="210"/>
      <c r="J445" s="210"/>
      <c r="K445" s="210"/>
      <c r="L445" s="210"/>
      <c r="M445" s="210"/>
      <c r="N445" s="210"/>
      <c r="O445" s="210"/>
      <c r="P445" s="210"/>
      <c r="Q445" s="210"/>
      <c r="R445" s="210"/>
      <c r="S445" s="210"/>
      <c r="T445" s="210"/>
      <c r="U445" s="210"/>
      <c r="V445" s="210"/>
      <c r="W445" s="210"/>
      <c r="X445" s="210"/>
      <c r="Y445" s="210"/>
      <c r="Z445" s="210"/>
      <c r="AA445" s="210"/>
      <c r="AB445" s="210"/>
      <c r="AC445" s="210"/>
      <c r="AD445" s="210"/>
      <c r="AE445" s="210"/>
      <c r="AF445" s="210"/>
      <c r="AG445" s="210"/>
      <c r="AH445" s="210"/>
      <c r="AI445" s="210"/>
      <c r="AJ445" s="210"/>
      <c r="AK445" s="210"/>
      <c r="AL445" s="210"/>
      <c r="AM445" s="210"/>
      <c r="AN445" s="210"/>
      <c r="AO445" s="210"/>
      <c r="AP445" s="210"/>
      <c r="AQ445" s="210"/>
      <c r="AR445" s="210"/>
      <c r="AS445" s="210"/>
      <c r="AT445" s="210"/>
      <c r="AU445" s="210"/>
      <c r="AV445" s="210"/>
      <c r="AW445" s="210"/>
      <c r="AX445" s="210"/>
      <c r="AY445" s="210"/>
      <c r="AZ445" s="210"/>
      <c r="BA445" s="210"/>
      <c r="BB445" s="210"/>
      <c r="BC445" s="210"/>
      <c r="BD445" s="210"/>
      <c r="BE445" s="210"/>
      <c r="BF445" s="210"/>
      <c r="BG445" s="210"/>
      <c r="BH445" s="210"/>
      <c r="BI445" s="210"/>
      <c r="BJ445" s="210"/>
    </row>
    <row r="446" spans="1:62" ht="15" x14ac:dyDescent="0.2">
      <c r="A446" s="210"/>
      <c r="B446" s="210"/>
      <c r="C446" s="210"/>
      <c r="D446" s="210"/>
      <c r="E446" s="210"/>
      <c r="F446" s="210"/>
      <c r="G446" s="210"/>
      <c r="H446" s="210"/>
      <c r="I446" s="210"/>
      <c r="J446" s="210"/>
      <c r="K446" s="210"/>
      <c r="L446" s="210"/>
      <c r="M446" s="210"/>
      <c r="N446" s="210"/>
      <c r="O446" s="210"/>
      <c r="P446" s="210"/>
      <c r="Q446" s="210"/>
      <c r="R446" s="210"/>
      <c r="S446" s="210"/>
      <c r="T446" s="210"/>
      <c r="U446" s="210"/>
      <c r="V446" s="210"/>
      <c r="W446" s="210"/>
      <c r="X446" s="210"/>
      <c r="Y446" s="210"/>
      <c r="Z446" s="210"/>
      <c r="AA446" s="210"/>
      <c r="AB446" s="210"/>
      <c r="AC446" s="210"/>
      <c r="AD446" s="210"/>
      <c r="AE446" s="210"/>
      <c r="AF446" s="210"/>
      <c r="AG446" s="210"/>
      <c r="AH446" s="210"/>
      <c r="AI446" s="210"/>
      <c r="AJ446" s="210"/>
      <c r="AK446" s="210"/>
      <c r="AL446" s="210"/>
      <c r="AM446" s="210"/>
      <c r="AN446" s="210"/>
      <c r="AO446" s="210"/>
      <c r="AP446" s="210"/>
      <c r="AQ446" s="210"/>
      <c r="AR446" s="210"/>
      <c r="AS446" s="210"/>
      <c r="AT446" s="210"/>
      <c r="AU446" s="210"/>
      <c r="AV446" s="210"/>
      <c r="AW446" s="210"/>
      <c r="AX446" s="210"/>
      <c r="AY446" s="210"/>
      <c r="AZ446" s="210"/>
      <c r="BA446" s="210"/>
      <c r="BB446" s="210"/>
      <c r="BC446" s="210"/>
      <c r="BD446" s="210"/>
      <c r="BE446" s="210"/>
      <c r="BF446" s="210"/>
      <c r="BG446" s="210"/>
      <c r="BH446" s="210"/>
      <c r="BI446" s="210"/>
      <c r="BJ446" s="210"/>
    </row>
    <row r="447" spans="1:62" ht="15" x14ac:dyDescent="0.2">
      <c r="A447" s="210"/>
      <c r="B447" s="210"/>
      <c r="C447" s="210"/>
      <c r="D447" s="210"/>
      <c r="E447" s="210"/>
      <c r="F447" s="210"/>
      <c r="G447" s="210"/>
      <c r="H447" s="210"/>
      <c r="I447" s="210"/>
      <c r="J447" s="210"/>
      <c r="K447" s="210"/>
      <c r="L447" s="210"/>
      <c r="M447" s="210"/>
      <c r="N447" s="210"/>
      <c r="O447" s="210"/>
      <c r="P447" s="210"/>
      <c r="Q447" s="210"/>
      <c r="R447" s="210"/>
      <c r="S447" s="210"/>
      <c r="T447" s="210"/>
      <c r="U447" s="210"/>
      <c r="V447" s="210"/>
      <c r="W447" s="210"/>
      <c r="X447" s="210"/>
      <c r="Y447" s="210"/>
      <c r="Z447" s="210"/>
      <c r="AA447" s="210"/>
      <c r="AB447" s="210"/>
      <c r="AC447" s="210"/>
      <c r="AD447" s="210"/>
      <c r="AE447" s="210"/>
      <c r="AF447" s="210"/>
      <c r="AG447" s="210"/>
      <c r="AH447" s="210"/>
      <c r="AI447" s="210"/>
      <c r="AJ447" s="210"/>
      <c r="AK447" s="210"/>
      <c r="AL447" s="210"/>
      <c r="AM447" s="210"/>
      <c r="AN447" s="210"/>
      <c r="AO447" s="210"/>
      <c r="AP447" s="210"/>
      <c r="AQ447" s="210"/>
      <c r="AR447" s="210"/>
      <c r="AS447" s="210"/>
      <c r="AT447" s="210"/>
      <c r="AU447" s="210"/>
      <c r="AV447" s="210"/>
      <c r="AW447" s="210"/>
      <c r="AX447" s="210"/>
      <c r="AY447" s="210"/>
      <c r="AZ447" s="210"/>
      <c r="BA447" s="210"/>
      <c r="BB447" s="210"/>
      <c r="BC447" s="210"/>
      <c r="BD447" s="210"/>
      <c r="BE447" s="210"/>
      <c r="BF447" s="210"/>
      <c r="BG447" s="210"/>
      <c r="BH447" s="210"/>
      <c r="BI447" s="210"/>
      <c r="BJ447" s="210"/>
    </row>
    <row r="448" spans="1:62" ht="15" x14ac:dyDescent="0.2">
      <c r="A448" s="210"/>
      <c r="B448" s="210"/>
      <c r="C448" s="210"/>
      <c r="D448" s="210"/>
      <c r="E448" s="210"/>
      <c r="F448" s="210"/>
      <c r="G448" s="210"/>
      <c r="H448" s="210"/>
      <c r="I448" s="210"/>
      <c r="J448" s="210"/>
      <c r="K448" s="210"/>
      <c r="L448" s="210"/>
      <c r="M448" s="210"/>
      <c r="N448" s="210"/>
      <c r="O448" s="210"/>
      <c r="P448" s="210"/>
      <c r="Q448" s="210"/>
      <c r="R448" s="210"/>
      <c r="S448" s="210"/>
      <c r="T448" s="210"/>
      <c r="U448" s="210"/>
      <c r="V448" s="210"/>
      <c r="W448" s="210"/>
      <c r="X448" s="210"/>
      <c r="Y448" s="210"/>
      <c r="Z448" s="210"/>
      <c r="AA448" s="210"/>
      <c r="AB448" s="210"/>
      <c r="AC448" s="210"/>
      <c r="AD448" s="210"/>
      <c r="AE448" s="210"/>
      <c r="AF448" s="210"/>
      <c r="AG448" s="210"/>
      <c r="AH448" s="210"/>
      <c r="AI448" s="210"/>
      <c r="AJ448" s="210"/>
      <c r="AK448" s="210"/>
      <c r="AL448" s="210"/>
      <c r="AM448" s="210"/>
      <c r="AN448" s="210"/>
      <c r="AO448" s="210"/>
      <c r="AP448" s="210"/>
      <c r="AQ448" s="210"/>
      <c r="AR448" s="210"/>
      <c r="AS448" s="210"/>
      <c r="AT448" s="210"/>
      <c r="AU448" s="210"/>
      <c r="AV448" s="210"/>
      <c r="AW448" s="210"/>
      <c r="AX448" s="210"/>
      <c r="AY448" s="210"/>
      <c r="AZ448" s="210"/>
      <c r="BA448" s="210"/>
      <c r="BB448" s="210"/>
      <c r="BC448" s="210"/>
      <c r="BD448" s="210"/>
      <c r="BE448" s="210"/>
      <c r="BF448" s="210"/>
      <c r="BG448" s="210"/>
      <c r="BH448" s="210"/>
      <c r="BI448" s="210"/>
      <c r="BJ448" s="210"/>
    </row>
    <row r="449" spans="1:62" ht="15" x14ac:dyDescent="0.2">
      <c r="A449" s="210"/>
      <c r="B449" s="210"/>
      <c r="C449" s="210"/>
      <c r="D449" s="210"/>
      <c r="E449" s="210"/>
      <c r="F449" s="210"/>
      <c r="G449" s="210"/>
      <c r="H449" s="210"/>
      <c r="I449" s="210"/>
      <c r="J449" s="210"/>
      <c r="K449" s="210"/>
      <c r="L449" s="210"/>
      <c r="M449" s="210"/>
      <c r="N449" s="210"/>
      <c r="O449" s="210"/>
      <c r="P449" s="210"/>
      <c r="Q449" s="210"/>
      <c r="R449" s="210"/>
      <c r="S449" s="210"/>
      <c r="T449" s="210"/>
      <c r="U449" s="210"/>
      <c r="V449" s="210"/>
      <c r="W449" s="210"/>
      <c r="X449" s="210"/>
      <c r="Y449" s="210"/>
      <c r="Z449" s="210"/>
      <c r="AA449" s="210"/>
      <c r="AB449" s="210"/>
      <c r="AC449" s="210"/>
      <c r="AD449" s="210"/>
      <c r="AE449" s="210"/>
      <c r="AF449" s="210"/>
      <c r="AG449" s="210"/>
      <c r="AH449" s="210"/>
      <c r="AI449" s="210"/>
      <c r="AJ449" s="210"/>
      <c r="AK449" s="210"/>
      <c r="AL449" s="210"/>
      <c r="AM449" s="210"/>
      <c r="AN449" s="210"/>
      <c r="AO449" s="210"/>
      <c r="AP449" s="210"/>
      <c r="AQ449" s="210"/>
      <c r="AR449" s="210"/>
      <c r="AS449" s="210"/>
      <c r="AT449" s="210"/>
      <c r="AU449" s="210"/>
      <c r="AV449" s="210"/>
      <c r="AW449" s="210"/>
      <c r="AX449" s="210"/>
      <c r="AY449" s="210"/>
      <c r="AZ449" s="210"/>
      <c r="BA449" s="210"/>
      <c r="BB449" s="210"/>
      <c r="BC449" s="210"/>
      <c r="BD449" s="210"/>
      <c r="BE449" s="210"/>
      <c r="BF449" s="210"/>
      <c r="BG449" s="210"/>
      <c r="BH449" s="210"/>
      <c r="BI449" s="210"/>
      <c r="BJ449" s="210"/>
    </row>
    <row r="450" spans="1:62" ht="15" x14ac:dyDescent="0.2">
      <c r="A450" s="210"/>
      <c r="B450" s="210"/>
      <c r="C450" s="210"/>
      <c r="D450" s="210"/>
      <c r="E450" s="210"/>
      <c r="F450" s="210"/>
      <c r="G450" s="210"/>
      <c r="H450" s="210"/>
      <c r="I450" s="210"/>
      <c r="J450" s="210"/>
      <c r="K450" s="210"/>
      <c r="L450" s="210"/>
      <c r="M450" s="210"/>
      <c r="N450" s="210"/>
      <c r="O450" s="210"/>
      <c r="P450" s="210"/>
      <c r="Q450" s="210"/>
      <c r="R450" s="210"/>
      <c r="S450" s="210"/>
      <c r="T450" s="210"/>
      <c r="U450" s="210"/>
      <c r="V450" s="210"/>
      <c r="W450" s="210"/>
      <c r="X450" s="210"/>
      <c r="Y450" s="210"/>
      <c r="Z450" s="210"/>
      <c r="AA450" s="210"/>
      <c r="AB450" s="210"/>
      <c r="AC450" s="210"/>
      <c r="AD450" s="210"/>
      <c r="AE450" s="210"/>
      <c r="AF450" s="210"/>
      <c r="AG450" s="210"/>
      <c r="AH450" s="210"/>
      <c r="AI450" s="210"/>
      <c r="AJ450" s="210"/>
      <c r="AK450" s="210"/>
      <c r="AL450" s="210"/>
      <c r="AM450" s="210"/>
      <c r="AN450" s="210"/>
      <c r="AO450" s="210"/>
      <c r="AP450" s="210"/>
      <c r="AQ450" s="210"/>
      <c r="AR450" s="210"/>
      <c r="AS450" s="210"/>
      <c r="AT450" s="210"/>
      <c r="AU450" s="210"/>
      <c r="AV450" s="210"/>
      <c r="AW450" s="210"/>
      <c r="AX450" s="210"/>
      <c r="AY450" s="210"/>
      <c r="AZ450" s="210"/>
      <c r="BA450" s="210"/>
      <c r="BB450" s="210"/>
      <c r="BC450" s="210"/>
      <c r="BD450" s="210"/>
      <c r="BE450" s="210"/>
      <c r="BF450" s="210"/>
      <c r="BG450" s="210"/>
      <c r="BH450" s="210"/>
      <c r="BI450" s="210"/>
      <c r="BJ450" s="210"/>
    </row>
    <row r="451" spans="1:62" ht="15" x14ac:dyDescent="0.2">
      <c r="A451" s="210"/>
      <c r="B451" s="210"/>
      <c r="C451" s="210"/>
      <c r="D451" s="210"/>
      <c r="E451" s="210"/>
      <c r="F451" s="210"/>
      <c r="G451" s="210"/>
      <c r="H451" s="210"/>
      <c r="I451" s="210"/>
      <c r="J451" s="210"/>
      <c r="K451" s="210"/>
      <c r="L451" s="210"/>
      <c r="M451" s="210"/>
      <c r="N451" s="210"/>
      <c r="O451" s="210"/>
      <c r="P451" s="210"/>
      <c r="Q451" s="210"/>
      <c r="R451" s="210"/>
      <c r="S451" s="210"/>
      <c r="T451" s="210"/>
      <c r="U451" s="210"/>
      <c r="V451" s="210"/>
      <c r="W451" s="210"/>
      <c r="X451" s="210"/>
      <c r="Y451" s="210"/>
      <c r="Z451" s="210"/>
      <c r="AA451" s="210"/>
      <c r="AB451" s="210"/>
      <c r="AC451" s="210"/>
      <c r="AD451" s="210"/>
      <c r="AE451" s="210"/>
      <c r="AF451" s="210"/>
      <c r="AG451" s="210"/>
      <c r="AH451" s="210"/>
      <c r="AI451" s="210"/>
      <c r="AJ451" s="210"/>
      <c r="AK451" s="210"/>
      <c r="AL451" s="210"/>
      <c r="AM451" s="210"/>
      <c r="AN451" s="210"/>
      <c r="AO451" s="210"/>
      <c r="AP451" s="210"/>
      <c r="AQ451" s="210"/>
      <c r="AR451" s="210"/>
      <c r="AS451" s="210"/>
      <c r="AT451" s="210"/>
      <c r="AU451" s="210"/>
      <c r="AV451" s="210"/>
      <c r="AW451" s="210"/>
      <c r="AX451" s="210"/>
      <c r="AY451" s="210"/>
      <c r="AZ451" s="210"/>
      <c r="BA451" s="210"/>
      <c r="BB451" s="210"/>
      <c r="BC451" s="210"/>
      <c r="BD451" s="210"/>
      <c r="BE451" s="210"/>
      <c r="BF451" s="210"/>
      <c r="BG451" s="210"/>
      <c r="BH451" s="210"/>
      <c r="BI451" s="210"/>
      <c r="BJ451" s="210"/>
    </row>
    <row r="452" spans="1:62" ht="15" x14ac:dyDescent="0.2">
      <c r="A452" s="210"/>
      <c r="B452" s="210"/>
      <c r="C452" s="210"/>
      <c r="D452" s="210"/>
      <c r="E452" s="210"/>
      <c r="F452" s="210"/>
      <c r="G452" s="210"/>
      <c r="H452" s="210"/>
      <c r="I452" s="210"/>
      <c r="J452" s="210"/>
      <c r="K452" s="210"/>
      <c r="L452" s="210"/>
      <c r="M452" s="210"/>
      <c r="N452" s="210"/>
      <c r="O452" s="210"/>
      <c r="P452" s="210"/>
      <c r="Q452" s="210"/>
      <c r="R452" s="210"/>
      <c r="S452" s="210"/>
      <c r="T452" s="210"/>
      <c r="U452" s="210"/>
      <c r="V452" s="210"/>
      <c r="W452" s="210"/>
      <c r="X452" s="210"/>
      <c r="Y452" s="210"/>
      <c r="Z452" s="210"/>
      <c r="AA452" s="210"/>
      <c r="AB452" s="210"/>
      <c r="AC452" s="210"/>
      <c r="AD452" s="210"/>
      <c r="AE452" s="210"/>
      <c r="AF452" s="210"/>
      <c r="AG452" s="210"/>
      <c r="AH452" s="210"/>
      <c r="AI452" s="210"/>
      <c r="AJ452" s="210"/>
      <c r="AK452" s="210"/>
      <c r="AL452" s="210"/>
      <c r="AM452" s="210"/>
      <c r="AN452" s="210"/>
      <c r="AO452" s="210"/>
      <c r="AP452" s="210"/>
      <c r="AQ452" s="210"/>
      <c r="AR452" s="210"/>
      <c r="AS452" s="210"/>
      <c r="AT452" s="210"/>
      <c r="AU452" s="210"/>
      <c r="AV452" s="210"/>
      <c r="AW452" s="210"/>
      <c r="AX452" s="210"/>
      <c r="AY452" s="210"/>
      <c r="AZ452" s="210"/>
      <c r="BA452" s="210"/>
      <c r="BB452" s="210"/>
      <c r="BC452" s="210"/>
      <c r="BD452" s="210"/>
      <c r="BE452" s="210"/>
      <c r="BF452" s="210"/>
      <c r="BG452" s="210"/>
      <c r="BH452" s="210"/>
      <c r="BI452" s="210"/>
      <c r="BJ452" s="210"/>
    </row>
    <row r="453" spans="1:62" ht="15" x14ac:dyDescent="0.2">
      <c r="A453" s="210"/>
      <c r="B453" s="210"/>
      <c r="C453" s="210"/>
      <c r="D453" s="210"/>
      <c r="E453" s="210"/>
      <c r="F453" s="210"/>
      <c r="G453" s="210"/>
      <c r="H453" s="210"/>
      <c r="I453" s="210"/>
      <c r="J453" s="210"/>
      <c r="K453" s="210"/>
      <c r="L453" s="210"/>
      <c r="M453" s="210"/>
      <c r="N453" s="210"/>
      <c r="O453" s="210"/>
      <c r="P453" s="210"/>
      <c r="Q453" s="210"/>
      <c r="R453" s="210"/>
      <c r="S453" s="210"/>
      <c r="T453" s="210"/>
      <c r="U453" s="210"/>
      <c r="V453" s="210"/>
      <c r="W453" s="210"/>
      <c r="X453" s="210"/>
      <c r="Y453" s="210"/>
      <c r="Z453" s="210"/>
      <c r="AA453" s="210"/>
      <c r="AB453" s="210"/>
      <c r="AC453" s="210"/>
      <c r="AD453" s="210"/>
      <c r="AE453" s="210"/>
      <c r="AF453" s="210"/>
      <c r="AG453" s="210"/>
      <c r="AH453" s="210"/>
      <c r="AI453" s="210"/>
      <c r="AJ453" s="210"/>
      <c r="AK453" s="210"/>
      <c r="AL453" s="210"/>
      <c r="AM453" s="210"/>
      <c r="AN453" s="210"/>
      <c r="AO453" s="210"/>
      <c r="AP453" s="210"/>
      <c r="AQ453" s="210"/>
      <c r="AR453" s="210"/>
      <c r="AS453" s="210"/>
      <c r="AT453" s="210"/>
      <c r="AU453" s="210"/>
      <c r="AV453" s="210"/>
      <c r="AW453" s="210"/>
      <c r="AX453" s="210"/>
      <c r="AY453" s="210"/>
      <c r="AZ453" s="210"/>
      <c r="BA453" s="210"/>
      <c r="BB453" s="210"/>
      <c r="BC453" s="210"/>
      <c r="BD453" s="210"/>
      <c r="BE453" s="210"/>
      <c r="BF453" s="210"/>
      <c r="BG453" s="210"/>
      <c r="BH453" s="210"/>
      <c r="BI453" s="210"/>
      <c r="BJ453" s="210"/>
    </row>
    <row r="454" spans="1:62" ht="15" x14ac:dyDescent="0.2">
      <c r="A454" s="210"/>
      <c r="B454" s="210"/>
      <c r="C454" s="210"/>
      <c r="D454" s="210"/>
      <c r="E454" s="210"/>
      <c r="F454" s="210"/>
      <c r="G454" s="210"/>
      <c r="H454" s="210"/>
      <c r="I454" s="210"/>
      <c r="J454" s="210"/>
      <c r="K454" s="210"/>
      <c r="L454" s="210"/>
      <c r="M454" s="210"/>
      <c r="N454" s="210"/>
      <c r="O454" s="210"/>
      <c r="P454" s="210"/>
      <c r="Q454" s="210"/>
      <c r="R454" s="210"/>
      <c r="S454" s="210"/>
      <c r="T454" s="210"/>
      <c r="U454" s="210"/>
      <c r="V454" s="210"/>
      <c r="W454" s="210"/>
      <c r="X454" s="210"/>
      <c r="Y454" s="210"/>
      <c r="Z454" s="210"/>
      <c r="AA454" s="210"/>
      <c r="AB454" s="210"/>
      <c r="AC454" s="210"/>
      <c r="AD454" s="210"/>
      <c r="AE454" s="210"/>
      <c r="AF454" s="210"/>
      <c r="AG454" s="210"/>
      <c r="AH454" s="210"/>
      <c r="AI454" s="210"/>
      <c r="AJ454" s="210"/>
      <c r="AK454" s="210"/>
      <c r="AL454" s="210"/>
      <c r="AM454" s="210"/>
      <c r="AN454" s="210"/>
      <c r="AO454" s="210"/>
      <c r="AP454" s="210"/>
      <c r="AQ454" s="210"/>
      <c r="AR454" s="210"/>
      <c r="AS454" s="210"/>
      <c r="AT454" s="210"/>
      <c r="AU454" s="210"/>
      <c r="AV454" s="210"/>
      <c r="AW454" s="210"/>
      <c r="AX454" s="210"/>
      <c r="AY454" s="210"/>
      <c r="AZ454" s="210"/>
      <c r="BA454" s="210"/>
      <c r="BB454" s="210"/>
      <c r="BC454" s="210"/>
      <c r="BD454" s="210"/>
      <c r="BE454" s="210"/>
      <c r="BF454" s="210"/>
      <c r="BG454" s="210"/>
      <c r="BH454" s="210"/>
      <c r="BI454" s="210"/>
      <c r="BJ454" s="210"/>
    </row>
    <row r="455" spans="1:62" ht="15" x14ac:dyDescent="0.2">
      <c r="A455" s="210"/>
      <c r="B455" s="210"/>
      <c r="C455" s="210"/>
      <c r="D455" s="210"/>
      <c r="E455" s="210"/>
      <c r="F455" s="210"/>
      <c r="G455" s="210"/>
      <c r="H455" s="210"/>
      <c r="I455" s="210"/>
      <c r="J455" s="210"/>
      <c r="K455" s="210"/>
      <c r="L455" s="210"/>
      <c r="M455" s="210"/>
      <c r="N455" s="210"/>
      <c r="O455" s="210"/>
      <c r="P455" s="210"/>
      <c r="Q455" s="210"/>
      <c r="R455" s="210"/>
      <c r="S455" s="210"/>
      <c r="T455" s="210"/>
      <c r="U455" s="210"/>
      <c r="V455" s="210"/>
      <c r="W455" s="210"/>
      <c r="X455" s="210"/>
      <c r="Y455" s="210"/>
      <c r="Z455" s="210"/>
      <c r="AA455" s="210"/>
      <c r="AB455" s="210"/>
      <c r="AC455" s="210"/>
      <c r="AD455" s="210"/>
      <c r="AE455" s="210"/>
      <c r="AF455" s="210"/>
      <c r="AG455" s="210"/>
      <c r="AH455" s="210"/>
      <c r="AI455" s="210"/>
      <c r="AJ455" s="210"/>
      <c r="AK455" s="210"/>
      <c r="AL455" s="210"/>
      <c r="AM455" s="210"/>
      <c r="AN455" s="210"/>
      <c r="AO455" s="210"/>
      <c r="AP455" s="210"/>
      <c r="AQ455" s="210"/>
      <c r="AR455" s="210"/>
      <c r="AS455" s="210"/>
      <c r="AT455" s="210"/>
      <c r="AU455" s="210"/>
      <c r="AV455" s="210"/>
      <c r="AW455" s="210"/>
      <c r="AX455" s="210"/>
      <c r="AY455" s="210"/>
      <c r="AZ455" s="210"/>
      <c r="BA455" s="210"/>
      <c r="BB455" s="210"/>
      <c r="BC455" s="210"/>
      <c r="BD455" s="210"/>
      <c r="BE455" s="210"/>
      <c r="BF455" s="210"/>
      <c r="BG455" s="210"/>
      <c r="BH455" s="210"/>
      <c r="BI455" s="210"/>
      <c r="BJ455" s="210"/>
    </row>
    <row r="456" spans="1:62" ht="15" x14ac:dyDescent="0.2">
      <c r="A456" s="210"/>
      <c r="B456" s="210"/>
      <c r="C456" s="210"/>
      <c r="D456" s="210"/>
      <c r="E456" s="210"/>
      <c r="F456" s="210"/>
      <c r="G456" s="210"/>
      <c r="H456" s="210"/>
      <c r="I456" s="210"/>
      <c r="J456" s="210"/>
      <c r="K456" s="210"/>
      <c r="L456" s="210"/>
      <c r="M456" s="210"/>
      <c r="N456" s="210"/>
      <c r="O456" s="210"/>
      <c r="P456" s="210"/>
      <c r="Q456" s="210"/>
      <c r="R456" s="210"/>
      <c r="S456" s="210"/>
      <c r="T456" s="210"/>
      <c r="U456" s="210"/>
      <c r="V456" s="210"/>
      <c r="W456" s="210"/>
      <c r="X456" s="210"/>
      <c r="Y456" s="210"/>
      <c r="Z456" s="210"/>
      <c r="AA456" s="210"/>
      <c r="AB456" s="210"/>
      <c r="AC456" s="210"/>
      <c r="AD456" s="210"/>
      <c r="AE456" s="210"/>
      <c r="AF456" s="210"/>
      <c r="AG456" s="210"/>
      <c r="AH456" s="210"/>
      <c r="AI456" s="210"/>
      <c r="AJ456" s="210"/>
      <c r="AK456" s="210"/>
      <c r="AL456" s="210"/>
      <c r="AM456" s="210"/>
      <c r="AN456" s="210"/>
      <c r="AO456" s="210"/>
      <c r="AP456" s="210"/>
      <c r="AQ456" s="210"/>
      <c r="AR456" s="210"/>
      <c r="AS456" s="210"/>
      <c r="AT456" s="210"/>
      <c r="AU456" s="210"/>
      <c r="AV456" s="210"/>
      <c r="AW456" s="210"/>
      <c r="AX456" s="210"/>
      <c r="AY456" s="210"/>
      <c r="AZ456" s="210"/>
      <c r="BA456" s="210"/>
      <c r="BB456" s="210"/>
      <c r="BC456" s="210"/>
      <c r="BD456" s="210"/>
      <c r="BE456" s="210"/>
      <c r="BF456" s="210"/>
      <c r="BG456" s="210"/>
      <c r="BH456" s="210"/>
      <c r="BI456" s="210"/>
      <c r="BJ456" s="210"/>
    </row>
    <row r="457" spans="1:62" ht="15" x14ac:dyDescent="0.2">
      <c r="A457" s="210"/>
      <c r="B457" s="210"/>
      <c r="C457" s="210"/>
      <c r="D457" s="210"/>
      <c r="E457" s="210"/>
      <c r="F457" s="210"/>
      <c r="G457" s="210"/>
      <c r="H457" s="210"/>
      <c r="I457" s="210"/>
      <c r="J457" s="210"/>
      <c r="K457" s="210"/>
      <c r="L457" s="210"/>
      <c r="M457" s="210"/>
      <c r="N457" s="210"/>
      <c r="O457" s="210"/>
      <c r="P457" s="210"/>
      <c r="Q457" s="210"/>
      <c r="R457" s="210"/>
      <c r="S457" s="210"/>
      <c r="T457" s="210"/>
      <c r="U457" s="210"/>
      <c r="V457" s="210"/>
      <c r="W457" s="210"/>
      <c r="X457" s="210"/>
      <c r="Y457" s="210"/>
      <c r="Z457" s="210"/>
      <c r="AA457" s="210"/>
      <c r="AB457" s="210"/>
      <c r="AC457" s="210"/>
      <c r="AD457" s="210"/>
      <c r="AE457" s="210"/>
      <c r="AF457" s="210"/>
      <c r="AG457" s="210"/>
      <c r="AH457" s="210"/>
      <c r="AI457" s="210"/>
      <c r="AJ457" s="210"/>
      <c r="AK457" s="210"/>
      <c r="AL457" s="210"/>
      <c r="AM457" s="210"/>
      <c r="AN457" s="210"/>
      <c r="AO457" s="210"/>
      <c r="AP457" s="210"/>
      <c r="AQ457" s="210"/>
      <c r="AR457" s="210"/>
      <c r="AS457" s="210"/>
      <c r="AT457" s="210"/>
      <c r="AU457" s="210"/>
      <c r="AV457" s="210"/>
      <c r="AW457" s="210"/>
      <c r="AX457" s="210"/>
      <c r="AY457" s="210"/>
      <c r="AZ457" s="210"/>
      <c r="BA457" s="210"/>
      <c r="BB457" s="210"/>
      <c r="BC457" s="210"/>
      <c r="BD457" s="210"/>
      <c r="BE457" s="210"/>
      <c r="BF457" s="210"/>
      <c r="BG457" s="210"/>
      <c r="BH457" s="210"/>
      <c r="BI457" s="210"/>
      <c r="BJ457" s="210"/>
    </row>
    <row r="458" spans="1:62" ht="15" x14ac:dyDescent="0.2">
      <c r="A458" s="210"/>
      <c r="B458" s="210"/>
      <c r="C458" s="210"/>
      <c r="D458" s="210"/>
      <c r="E458" s="210"/>
      <c r="F458" s="210"/>
      <c r="G458" s="210"/>
      <c r="H458" s="210"/>
      <c r="I458" s="210"/>
      <c r="J458" s="210"/>
      <c r="K458" s="210"/>
      <c r="L458" s="210"/>
      <c r="M458" s="210"/>
      <c r="N458" s="210"/>
      <c r="O458" s="210"/>
      <c r="P458" s="210"/>
      <c r="Q458" s="210"/>
      <c r="R458" s="210"/>
      <c r="S458" s="210"/>
      <c r="T458" s="210"/>
      <c r="U458" s="210"/>
      <c r="V458" s="210"/>
      <c r="W458" s="210"/>
      <c r="X458" s="210"/>
      <c r="Y458" s="210"/>
      <c r="Z458" s="210"/>
      <c r="AA458" s="210"/>
      <c r="AB458" s="210"/>
      <c r="AC458" s="210"/>
      <c r="AD458" s="210"/>
      <c r="AE458" s="210"/>
      <c r="AF458" s="210"/>
      <c r="AG458" s="210"/>
      <c r="AH458" s="210"/>
      <c r="AI458" s="210"/>
      <c r="AJ458" s="210"/>
      <c r="AK458" s="210"/>
      <c r="AL458" s="210"/>
      <c r="AM458" s="210"/>
      <c r="AN458" s="210"/>
      <c r="AO458" s="210"/>
      <c r="AP458" s="210"/>
      <c r="AQ458" s="210"/>
      <c r="AR458" s="210"/>
      <c r="AS458" s="210"/>
      <c r="AT458" s="210"/>
      <c r="AU458" s="210"/>
      <c r="AV458" s="210"/>
      <c r="AW458" s="210"/>
      <c r="AX458" s="210"/>
      <c r="AY458" s="210"/>
      <c r="AZ458" s="210"/>
      <c r="BA458" s="210"/>
      <c r="BB458" s="210"/>
      <c r="BC458" s="210"/>
      <c r="BD458" s="210"/>
      <c r="BE458" s="210"/>
      <c r="BF458" s="210"/>
      <c r="BG458" s="210"/>
      <c r="BH458" s="210"/>
      <c r="BI458" s="210"/>
      <c r="BJ458" s="210"/>
    </row>
    <row r="459" spans="1:62" ht="15" x14ac:dyDescent="0.2">
      <c r="A459" s="210"/>
      <c r="B459" s="210"/>
      <c r="C459" s="210"/>
      <c r="D459" s="210"/>
      <c r="E459" s="210"/>
      <c r="F459" s="210"/>
      <c r="G459" s="210"/>
      <c r="H459" s="210"/>
      <c r="I459" s="210"/>
      <c r="J459" s="210"/>
      <c r="K459" s="210"/>
      <c r="L459" s="210"/>
      <c r="M459" s="210"/>
      <c r="N459" s="210"/>
      <c r="O459" s="210"/>
      <c r="P459" s="210"/>
      <c r="Q459" s="210"/>
      <c r="R459" s="210"/>
      <c r="S459" s="210"/>
      <c r="T459" s="210"/>
      <c r="U459" s="210"/>
      <c r="V459" s="210"/>
      <c r="W459" s="210"/>
      <c r="X459" s="210"/>
      <c r="Y459" s="210"/>
      <c r="Z459" s="210"/>
      <c r="AA459" s="210"/>
      <c r="AB459" s="210"/>
      <c r="AC459" s="210"/>
      <c r="AD459" s="210"/>
      <c r="AE459" s="210"/>
      <c r="AF459" s="210"/>
      <c r="AG459" s="210"/>
      <c r="AH459" s="210"/>
      <c r="AI459" s="210"/>
      <c r="AJ459" s="210"/>
      <c r="AK459" s="210"/>
      <c r="AL459" s="210"/>
      <c r="AM459" s="210"/>
      <c r="AN459" s="210"/>
      <c r="AO459" s="210"/>
      <c r="AP459" s="210"/>
      <c r="AQ459" s="210"/>
      <c r="AR459" s="210"/>
      <c r="AS459" s="210"/>
      <c r="AT459" s="210"/>
      <c r="AU459" s="210"/>
      <c r="AV459" s="210"/>
      <c r="AW459" s="210"/>
      <c r="AX459" s="210"/>
      <c r="AY459" s="210"/>
      <c r="AZ459" s="210"/>
      <c r="BA459" s="210"/>
      <c r="BB459" s="210"/>
      <c r="BC459" s="210"/>
      <c r="BD459" s="210"/>
      <c r="BE459" s="210"/>
      <c r="BF459" s="210"/>
      <c r="BG459" s="210"/>
      <c r="BH459" s="210"/>
      <c r="BI459" s="210"/>
      <c r="BJ459" s="210"/>
    </row>
    <row r="460" spans="1:62" ht="15" x14ac:dyDescent="0.2">
      <c r="A460" s="210"/>
      <c r="B460" s="210"/>
      <c r="C460" s="210"/>
      <c r="D460" s="210"/>
      <c r="E460" s="210"/>
      <c r="F460" s="210"/>
      <c r="G460" s="210"/>
      <c r="H460" s="210"/>
      <c r="I460" s="210"/>
      <c r="J460" s="210"/>
      <c r="K460" s="210"/>
      <c r="L460" s="210"/>
      <c r="M460" s="210"/>
      <c r="N460" s="210"/>
      <c r="O460" s="210"/>
      <c r="P460" s="210"/>
      <c r="Q460" s="210"/>
      <c r="R460" s="210"/>
      <c r="S460" s="210"/>
      <c r="T460" s="210"/>
      <c r="U460" s="210"/>
      <c r="V460" s="210"/>
      <c r="W460" s="210"/>
      <c r="X460" s="210"/>
      <c r="Y460" s="210"/>
      <c r="Z460" s="210"/>
      <c r="AA460" s="210"/>
      <c r="AB460" s="210"/>
      <c r="AC460" s="210"/>
      <c r="AD460" s="210"/>
      <c r="AE460" s="210"/>
      <c r="AF460" s="210"/>
      <c r="AG460" s="210"/>
      <c r="AH460" s="210"/>
      <c r="AI460" s="210"/>
      <c r="AJ460" s="210"/>
      <c r="AK460" s="210"/>
      <c r="AL460" s="210"/>
      <c r="AM460" s="210"/>
      <c r="AN460" s="210"/>
      <c r="AO460" s="210"/>
      <c r="AP460" s="210"/>
      <c r="AQ460" s="210"/>
      <c r="AR460" s="210"/>
      <c r="AS460" s="210"/>
      <c r="AT460" s="210"/>
      <c r="AU460" s="210"/>
      <c r="AV460" s="210"/>
      <c r="AW460" s="210"/>
      <c r="AX460" s="210"/>
      <c r="AY460" s="210"/>
      <c r="AZ460" s="210"/>
      <c r="BA460" s="210"/>
      <c r="BB460" s="210"/>
      <c r="BC460" s="210"/>
      <c r="BD460" s="210"/>
      <c r="BE460" s="210"/>
      <c r="BF460" s="210"/>
      <c r="BG460" s="210"/>
      <c r="BH460" s="210"/>
      <c r="BI460" s="210"/>
      <c r="BJ460" s="210"/>
    </row>
    <row r="461" spans="1:62" ht="15" x14ac:dyDescent="0.2">
      <c r="A461" s="210"/>
      <c r="B461" s="210"/>
      <c r="C461" s="210"/>
      <c r="D461" s="210"/>
      <c r="E461" s="210"/>
      <c r="F461" s="210"/>
      <c r="G461" s="210"/>
      <c r="H461" s="210"/>
      <c r="I461" s="210"/>
      <c r="J461" s="210"/>
      <c r="K461" s="210"/>
      <c r="L461" s="210"/>
      <c r="M461" s="210"/>
      <c r="N461" s="210"/>
      <c r="O461" s="210"/>
      <c r="P461" s="210"/>
      <c r="Q461" s="210"/>
      <c r="R461" s="210"/>
      <c r="S461" s="210"/>
      <c r="T461" s="210"/>
      <c r="U461" s="210"/>
      <c r="V461" s="210"/>
      <c r="W461" s="210"/>
      <c r="X461" s="210"/>
      <c r="Y461" s="210"/>
      <c r="Z461" s="210"/>
      <c r="AA461" s="210"/>
      <c r="AB461" s="210"/>
      <c r="AC461" s="210"/>
      <c r="AD461" s="210"/>
      <c r="AE461" s="210"/>
      <c r="AF461" s="210"/>
      <c r="AG461" s="210"/>
      <c r="AH461" s="210"/>
      <c r="AI461" s="210"/>
      <c r="AJ461" s="210"/>
      <c r="AK461" s="210"/>
      <c r="AL461" s="210"/>
      <c r="AM461" s="210"/>
      <c r="AN461" s="210"/>
      <c r="AO461" s="210"/>
      <c r="AP461" s="210"/>
      <c r="AQ461" s="210"/>
      <c r="AR461" s="210"/>
      <c r="AS461" s="210"/>
      <c r="AT461" s="210"/>
      <c r="AU461" s="210"/>
      <c r="AV461" s="210"/>
      <c r="AW461" s="210"/>
      <c r="AX461" s="210"/>
      <c r="AY461" s="210"/>
      <c r="AZ461" s="210"/>
      <c r="BA461" s="210"/>
      <c r="BB461" s="210"/>
      <c r="BC461" s="210"/>
      <c r="BD461" s="210"/>
      <c r="BE461" s="210"/>
      <c r="BF461" s="210"/>
      <c r="BG461" s="210"/>
      <c r="BH461" s="210"/>
      <c r="BI461" s="210"/>
      <c r="BJ461" s="210"/>
    </row>
    <row r="462" spans="1:62" ht="15" x14ac:dyDescent="0.2">
      <c r="A462" s="210"/>
      <c r="B462" s="210"/>
      <c r="C462" s="210"/>
      <c r="D462" s="210"/>
      <c r="E462" s="210"/>
      <c r="F462" s="210"/>
      <c r="G462" s="210"/>
      <c r="H462" s="210"/>
      <c r="I462" s="210"/>
      <c r="J462" s="210"/>
      <c r="K462" s="210"/>
      <c r="L462" s="210"/>
      <c r="M462" s="210"/>
      <c r="N462" s="210"/>
      <c r="O462" s="210"/>
      <c r="P462" s="210"/>
      <c r="Q462" s="210"/>
      <c r="R462" s="210"/>
      <c r="S462" s="210"/>
      <c r="T462" s="210"/>
      <c r="U462" s="210"/>
      <c r="V462" s="210"/>
      <c r="W462" s="210"/>
      <c r="X462" s="210"/>
      <c r="Y462" s="210"/>
      <c r="Z462" s="210"/>
      <c r="AA462" s="210"/>
      <c r="AB462" s="210"/>
      <c r="AC462" s="210"/>
      <c r="AD462" s="210"/>
      <c r="AE462" s="210"/>
      <c r="AF462" s="210"/>
      <c r="AG462" s="210"/>
      <c r="AH462" s="210"/>
      <c r="AI462" s="210"/>
      <c r="AJ462" s="210"/>
      <c r="AK462" s="210"/>
      <c r="AL462" s="210"/>
      <c r="AM462" s="210"/>
      <c r="AN462" s="210"/>
      <c r="AO462" s="210"/>
      <c r="AP462" s="210"/>
      <c r="AQ462" s="210"/>
      <c r="AR462" s="210"/>
      <c r="AS462" s="210"/>
      <c r="AT462" s="210"/>
      <c r="AU462" s="210"/>
      <c r="AV462" s="210"/>
      <c r="AW462" s="210"/>
      <c r="AX462" s="210"/>
      <c r="AY462" s="210"/>
      <c r="AZ462" s="210"/>
      <c r="BA462" s="210"/>
      <c r="BB462" s="210"/>
      <c r="BC462" s="210"/>
      <c r="BD462" s="210"/>
      <c r="BE462" s="210"/>
      <c r="BF462" s="210"/>
      <c r="BG462" s="210"/>
      <c r="BH462" s="210"/>
      <c r="BI462" s="210"/>
      <c r="BJ462" s="210"/>
    </row>
    <row r="463" spans="1:62" ht="15" x14ac:dyDescent="0.2">
      <c r="A463" s="210"/>
      <c r="B463" s="210"/>
      <c r="C463" s="210"/>
      <c r="D463" s="210"/>
      <c r="E463" s="210"/>
      <c r="F463" s="210"/>
      <c r="G463" s="210"/>
      <c r="H463" s="210"/>
      <c r="I463" s="210"/>
      <c r="J463" s="210"/>
      <c r="K463" s="210"/>
      <c r="L463" s="210"/>
      <c r="M463" s="210"/>
      <c r="N463" s="210"/>
      <c r="O463" s="210"/>
      <c r="P463" s="210"/>
      <c r="Q463" s="210"/>
      <c r="R463" s="210"/>
      <c r="S463" s="210"/>
      <c r="T463" s="210"/>
      <c r="U463" s="210"/>
      <c r="V463" s="210"/>
      <c r="W463" s="210"/>
      <c r="X463" s="210"/>
      <c r="Y463" s="210"/>
      <c r="Z463" s="210"/>
      <c r="AA463" s="210"/>
      <c r="AB463" s="210"/>
      <c r="AC463" s="210"/>
      <c r="AD463" s="210"/>
      <c r="AE463" s="210"/>
      <c r="AF463" s="210"/>
      <c r="AG463" s="210"/>
      <c r="AH463" s="210"/>
      <c r="AI463" s="210"/>
      <c r="AJ463" s="210"/>
      <c r="AK463" s="210"/>
      <c r="AL463" s="210"/>
      <c r="AM463" s="210"/>
      <c r="AN463" s="210"/>
      <c r="AO463" s="210"/>
      <c r="AP463" s="210"/>
      <c r="AQ463" s="210"/>
      <c r="AR463" s="210"/>
      <c r="AS463" s="210"/>
      <c r="AT463" s="210"/>
      <c r="AU463" s="210"/>
      <c r="AV463" s="210"/>
      <c r="AW463" s="210"/>
      <c r="AX463" s="210"/>
      <c r="AY463" s="210"/>
      <c r="AZ463" s="210"/>
      <c r="BA463" s="210"/>
      <c r="BB463" s="210"/>
      <c r="BC463" s="210"/>
      <c r="BD463" s="210"/>
      <c r="BE463" s="210"/>
      <c r="BF463" s="210"/>
      <c r="BG463" s="210"/>
      <c r="BH463" s="210"/>
      <c r="BI463" s="210"/>
      <c r="BJ463" s="210"/>
    </row>
    <row r="464" spans="1:62" ht="15" x14ac:dyDescent="0.2">
      <c r="A464" s="210"/>
      <c r="B464" s="210"/>
      <c r="C464" s="210"/>
      <c r="D464" s="210"/>
      <c r="E464" s="210"/>
      <c r="F464" s="210"/>
      <c r="G464" s="210"/>
      <c r="H464" s="210"/>
      <c r="I464" s="210"/>
      <c r="J464" s="210"/>
      <c r="K464" s="210"/>
      <c r="L464" s="210"/>
      <c r="M464" s="210"/>
      <c r="N464" s="210"/>
      <c r="O464" s="210"/>
      <c r="P464" s="210"/>
      <c r="Q464" s="210"/>
      <c r="R464" s="210"/>
      <c r="S464" s="210"/>
      <c r="T464" s="210"/>
      <c r="U464" s="210"/>
      <c r="V464" s="210"/>
      <c r="W464" s="210"/>
      <c r="X464" s="210"/>
      <c r="Y464" s="210"/>
      <c r="Z464" s="210"/>
      <c r="AA464" s="210"/>
      <c r="AB464" s="210"/>
      <c r="AC464" s="210"/>
      <c r="AD464" s="210"/>
      <c r="AE464" s="210"/>
      <c r="AF464" s="210"/>
      <c r="AG464" s="210"/>
      <c r="AH464" s="210"/>
      <c r="AI464" s="210"/>
      <c r="AJ464" s="210"/>
      <c r="AK464" s="210"/>
      <c r="AL464" s="210"/>
      <c r="AM464" s="210"/>
      <c r="AN464" s="210"/>
      <c r="AO464" s="210"/>
      <c r="AP464" s="210"/>
      <c r="AQ464" s="210"/>
      <c r="AR464" s="210"/>
      <c r="AS464" s="210"/>
      <c r="AT464" s="210"/>
      <c r="AU464" s="210"/>
      <c r="AV464" s="210"/>
      <c r="AW464" s="210"/>
      <c r="AX464" s="210"/>
      <c r="AY464" s="210"/>
      <c r="AZ464" s="210"/>
      <c r="BA464" s="210"/>
      <c r="BB464" s="210"/>
      <c r="BC464" s="210"/>
      <c r="BD464" s="210"/>
      <c r="BE464" s="210"/>
      <c r="BF464" s="210"/>
      <c r="BG464" s="210"/>
      <c r="BH464" s="210"/>
      <c r="BI464" s="210"/>
      <c r="BJ464" s="210"/>
    </row>
    <row r="465" spans="1:62" ht="15" x14ac:dyDescent="0.2">
      <c r="A465" s="210"/>
      <c r="B465" s="210"/>
      <c r="C465" s="210"/>
      <c r="D465" s="210"/>
      <c r="E465" s="210"/>
      <c r="F465" s="210"/>
      <c r="G465" s="210"/>
      <c r="H465" s="210"/>
      <c r="I465" s="210"/>
      <c r="J465" s="210"/>
      <c r="K465" s="210"/>
      <c r="L465" s="210"/>
      <c r="M465" s="210"/>
      <c r="N465" s="210"/>
      <c r="O465" s="210"/>
      <c r="P465" s="210"/>
      <c r="Q465" s="210"/>
      <c r="R465" s="210"/>
      <c r="S465" s="210"/>
      <c r="T465" s="210"/>
      <c r="U465" s="210"/>
      <c r="V465" s="210"/>
      <c r="W465" s="210"/>
      <c r="X465" s="210"/>
      <c r="Y465" s="210"/>
      <c r="Z465" s="210"/>
      <c r="AA465" s="210"/>
      <c r="AB465" s="210"/>
      <c r="AC465" s="210"/>
      <c r="AD465" s="210"/>
      <c r="AE465" s="210"/>
      <c r="AF465" s="210"/>
      <c r="AG465" s="210"/>
      <c r="AH465" s="210"/>
      <c r="AI465" s="210"/>
      <c r="AJ465" s="210"/>
      <c r="AK465" s="210"/>
      <c r="AL465" s="210"/>
      <c r="AM465" s="210"/>
      <c r="AN465" s="210"/>
      <c r="AO465" s="210"/>
      <c r="AP465" s="210"/>
      <c r="AQ465" s="210"/>
      <c r="AR465" s="210"/>
      <c r="AS465" s="210"/>
      <c r="AT465" s="210"/>
      <c r="AU465" s="210"/>
      <c r="AV465" s="210"/>
      <c r="AW465" s="210"/>
      <c r="AX465" s="210"/>
      <c r="AY465" s="210"/>
      <c r="AZ465" s="210"/>
      <c r="BA465" s="210"/>
      <c r="BB465" s="210"/>
      <c r="BC465" s="210"/>
      <c r="BD465" s="210"/>
      <c r="BE465" s="210"/>
      <c r="BF465" s="210"/>
      <c r="BG465" s="210"/>
      <c r="BH465" s="210"/>
      <c r="BI465" s="210"/>
      <c r="BJ465" s="210"/>
    </row>
    <row r="466" spans="1:62" ht="15" x14ac:dyDescent="0.2">
      <c r="A466" s="210"/>
      <c r="B466" s="210"/>
      <c r="C466" s="210"/>
      <c r="D466" s="210"/>
      <c r="E466" s="210"/>
      <c r="F466" s="210"/>
      <c r="G466" s="210"/>
      <c r="H466" s="210"/>
      <c r="I466" s="210"/>
      <c r="J466" s="210"/>
      <c r="K466" s="210"/>
      <c r="L466" s="210"/>
      <c r="M466" s="210"/>
      <c r="N466" s="210"/>
      <c r="O466" s="210"/>
      <c r="P466" s="210"/>
      <c r="Q466" s="210"/>
      <c r="R466" s="210"/>
      <c r="S466" s="210"/>
      <c r="T466" s="210"/>
      <c r="U466" s="210"/>
      <c r="V466" s="210"/>
      <c r="W466" s="210"/>
      <c r="X466" s="210"/>
      <c r="Y466" s="210"/>
      <c r="Z466" s="210"/>
      <c r="AA466" s="210"/>
      <c r="AB466" s="210"/>
      <c r="AC466" s="210"/>
      <c r="AD466" s="210"/>
      <c r="AE466" s="210"/>
      <c r="AF466" s="210"/>
      <c r="AG466" s="210"/>
      <c r="AH466" s="210"/>
      <c r="AI466" s="210"/>
      <c r="AJ466" s="210"/>
      <c r="AK466" s="210"/>
      <c r="AL466" s="210"/>
      <c r="AM466" s="210"/>
      <c r="AN466" s="210"/>
      <c r="AO466" s="210"/>
      <c r="AP466" s="210"/>
      <c r="AQ466" s="210"/>
      <c r="AR466" s="210"/>
      <c r="AS466" s="210"/>
      <c r="AT466" s="210"/>
      <c r="AU466" s="210"/>
      <c r="AV466" s="210"/>
      <c r="AW466" s="210"/>
      <c r="AX466" s="210"/>
      <c r="AY466" s="210"/>
      <c r="AZ466" s="210"/>
      <c r="BA466" s="210"/>
      <c r="BB466" s="210"/>
      <c r="BC466" s="210"/>
      <c r="BD466" s="210"/>
      <c r="BE466" s="210"/>
      <c r="BF466" s="210"/>
      <c r="BG466" s="210"/>
      <c r="BH466" s="210"/>
      <c r="BI466" s="210"/>
      <c r="BJ466" s="210"/>
    </row>
    <row r="467" spans="1:62" ht="15" x14ac:dyDescent="0.2">
      <c r="A467" s="210"/>
      <c r="B467" s="210"/>
      <c r="C467" s="210"/>
      <c r="D467" s="210"/>
      <c r="E467" s="210"/>
      <c r="F467" s="210"/>
      <c r="G467" s="210"/>
      <c r="H467" s="210"/>
      <c r="I467" s="210"/>
      <c r="J467" s="210"/>
      <c r="K467" s="210"/>
      <c r="L467" s="210"/>
      <c r="M467" s="210"/>
      <c r="N467" s="210"/>
      <c r="O467" s="210"/>
      <c r="P467" s="210"/>
      <c r="Q467" s="210"/>
      <c r="R467" s="210"/>
      <c r="S467" s="210"/>
      <c r="T467" s="210"/>
      <c r="U467" s="210"/>
      <c r="V467" s="210"/>
      <c r="W467" s="210"/>
      <c r="X467" s="210"/>
      <c r="Y467" s="210"/>
      <c r="Z467" s="210"/>
      <c r="AA467" s="210"/>
      <c r="AB467" s="210"/>
      <c r="AC467" s="210"/>
      <c r="AD467" s="210"/>
      <c r="AE467" s="210"/>
      <c r="AF467" s="210"/>
      <c r="AG467" s="210"/>
      <c r="AH467" s="210"/>
      <c r="AI467" s="210"/>
      <c r="AJ467" s="210"/>
      <c r="AK467" s="210"/>
      <c r="AL467" s="210"/>
      <c r="AM467" s="210"/>
      <c r="AN467" s="210"/>
      <c r="AO467" s="210"/>
      <c r="AP467" s="210"/>
      <c r="AQ467" s="210"/>
      <c r="AR467" s="210"/>
      <c r="AS467" s="210"/>
      <c r="AT467" s="210"/>
      <c r="AU467" s="210"/>
      <c r="AV467" s="210"/>
      <c r="AW467" s="210"/>
      <c r="AX467" s="210"/>
      <c r="AY467" s="210"/>
      <c r="AZ467" s="210"/>
      <c r="BA467" s="210"/>
      <c r="BB467" s="210"/>
      <c r="BC467" s="210"/>
      <c r="BD467" s="210"/>
      <c r="BE467" s="210"/>
      <c r="BF467" s="210"/>
      <c r="BG467" s="210"/>
      <c r="BH467" s="210"/>
      <c r="BI467" s="210"/>
      <c r="BJ467" s="210"/>
    </row>
    <row r="468" spans="1:62" ht="15" x14ac:dyDescent="0.2">
      <c r="A468" s="210"/>
      <c r="B468" s="210"/>
      <c r="C468" s="210"/>
      <c r="D468" s="210"/>
      <c r="E468" s="210"/>
      <c r="F468" s="210"/>
      <c r="G468" s="210"/>
      <c r="H468" s="210"/>
      <c r="I468" s="210"/>
      <c r="J468" s="210"/>
      <c r="K468" s="210"/>
      <c r="L468" s="210"/>
      <c r="M468" s="210"/>
      <c r="N468" s="210"/>
      <c r="O468" s="210"/>
      <c r="P468" s="210"/>
      <c r="Q468" s="210"/>
      <c r="R468" s="210"/>
      <c r="S468" s="210"/>
      <c r="T468" s="210"/>
      <c r="U468" s="210"/>
      <c r="V468" s="210"/>
      <c r="W468" s="210"/>
      <c r="X468" s="210"/>
      <c r="Y468" s="210"/>
      <c r="Z468" s="210"/>
      <c r="AA468" s="210"/>
      <c r="AB468" s="210"/>
      <c r="AC468" s="210"/>
      <c r="AD468" s="210"/>
      <c r="AE468" s="210"/>
      <c r="AF468" s="210"/>
      <c r="AG468" s="210"/>
      <c r="AH468" s="210"/>
      <c r="AI468" s="210"/>
      <c r="AJ468" s="210"/>
      <c r="AK468" s="210"/>
      <c r="AL468" s="210"/>
      <c r="AM468" s="210"/>
      <c r="AN468" s="210"/>
      <c r="AO468" s="210"/>
      <c r="AP468" s="210"/>
      <c r="AQ468" s="210"/>
      <c r="AR468" s="210"/>
      <c r="AS468" s="210"/>
      <c r="AT468" s="210"/>
      <c r="AU468" s="210"/>
      <c r="AV468" s="210"/>
      <c r="AW468" s="210"/>
      <c r="AX468" s="210"/>
      <c r="AY468" s="210"/>
      <c r="AZ468" s="210"/>
      <c r="BA468" s="210"/>
      <c r="BB468" s="210"/>
      <c r="BC468" s="210"/>
      <c r="BD468" s="210"/>
      <c r="BE468" s="210"/>
      <c r="BF468" s="210"/>
      <c r="BG468" s="210"/>
      <c r="BH468" s="210"/>
      <c r="BI468" s="210"/>
      <c r="BJ468" s="210"/>
    </row>
    <row r="469" spans="1:62" ht="15" x14ac:dyDescent="0.2">
      <c r="A469" s="210"/>
      <c r="B469" s="210"/>
      <c r="C469" s="210"/>
      <c r="D469" s="210"/>
      <c r="E469" s="210"/>
      <c r="F469" s="210"/>
      <c r="G469" s="210"/>
      <c r="H469" s="210"/>
      <c r="I469" s="210"/>
      <c r="J469" s="210"/>
      <c r="K469" s="210"/>
      <c r="L469" s="210"/>
      <c r="M469" s="210"/>
      <c r="N469" s="210"/>
      <c r="O469" s="210"/>
      <c r="P469" s="210"/>
      <c r="Q469" s="210"/>
      <c r="R469" s="210"/>
      <c r="S469" s="210"/>
      <c r="T469" s="210"/>
      <c r="U469" s="210"/>
      <c r="V469" s="210"/>
      <c r="W469" s="210"/>
      <c r="X469" s="210"/>
      <c r="Y469" s="210"/>
      <c r="Z469" s="210"/>
      <c r="AA469" s="210"/>
      <c r="AB469" s="210"/>
      <c r="AC469" s="210"/>
      <c r="AD469" s="210"/>
      <c r="AE469" s="210"/>
      <c r="AF469" s="210"/>
      <c r="AG469" s="210"/>
      <c r="AH469" s="210"/>
      <c r="AI469" s="210"/>
      <c r="AJ469" s="210"/>
      <c r="AK469" s="210"/>
      <c r="AL469" s="210"/>
      <c r="AM469" s="210"/>
      <c r="AN469" s="210"/>
      <c r="AO469" s="210"/>
      <c r="AP469" s="210"/>
      <c r="AQ469" s="210"/>
      <c r="AR469" s="210"/>
      <c r="AS469" s="210"/>
      <c r="AT469" s="210"/>
      <c r="AU469" s="210"/>
      <c r="AV469" s="210"/>
      <c r="AW469" s="210"/>
      <c r="AX469" s="210"/>
      <c r="AY469" s="210"/>
      <c r="AZ469" s="210"/>
      <c r="BA469" s="210"/>
      <c r="BB469" s="210"/>
      <c r="BC469" s="210"/>
      <c r="BD469" s="210"/>
      <c r="BE469" s="210"/>
      <c r="BF469" s="210"/>
      <c r="BG469" s="210"/>
      <c r="BH469" s="210"/>
      <c r="BI469" s="210"/>
      <c r="BJ469" s="210"/>
    </row>
    <row r="470" spans="1:62" ht="15" x14ac:dyDescent="0.2">
      <c r="A470" s="210"/>
      <c r="B470" s="210"/>
      <c r="C470" s="210"/>
      <c r="D470" s="210"/>
      <c r="E470" s="210"/>
      <c r="F470" s="210"/>
      <c r="G470" s="210"/>
      <c r="H470" s="210"/>
      <c r="I470" s="210"/>
      <c r="J470" s="210"/>
      <c r="K470" s="210"/>
      <c r="L470" s="210"/>
      <c r="M470" s="210"/>
      <c r="N470" s="210"/>
      <c r="O470" s="210"/>
      <c r="P470" s="210"/>
      <c r="Q470" s="210"/>
      <c r="R470" s="210"/>
      <c r="S470" s="210"/>
      <c r="T470" s="210"/>
      <c r="U470" s="210"/>
      <c r="V470" s="210"/>
      <c r="W470" s="210"/>
      <c r="X470" s="210"/>
      <c r="Y470" s="210"/>
      <c r="Z470" s="210"/>
      <c r="AA470" s="210"/>
      <c r="AB470" s="210"/>
      <c r="AC470" s="210"/>
      <c r="AD470" s="210"/>
      <c r="AE470" s="210"/>
      <c r="AF470" s="210"/>
      <c r="AG470" s="210"/>
      <c r="AH470" s="210"/>
      <c r="AI470" s="210"/>
      <c r="AJ470" s="210"/>
      <c r="AK470" s="210"/>
      <c r="AL470" s="210"/>
      <c r="AM470" s="210"/>
      <c r="AN470" s="210"/>
      <c r="AO470" s="210"/>
      <c r="AP470" s="210"/>
      <c r="AQ470" s="210"/>
      <c r="AR470" s="210"/>
      <c r="AS470" s="210"/>
      <c r="AT470" s="210"/>
      <c r="AU470" s="210"/>
      <c r="AV470" s="210"/>
      <c r="AW470" s="210"/>
      <c r="AX470" s="210"/>
      <c r="AY470" s="210"/>
      <c r="AZ470" s="210"/>
      <c r="BA470" s="210"/>
      <c r="BB470" s="210"/>
      <c r="BC470" s="210"/>
      <c r="BD470" s="210"/>
      <c r="BE470" s="210"/>
      <c r="BF470" s="210"/>
      <c r="BG470" s="210"/>
      <c r="BH470" s="210"/>
      <c r="BI470" s="210"/>
      <c r="BJ470" s="210"/>
    </row>
    <row r="471" spans="1:62" ht="15" x14ac:dyDescent="0.2">
      <c r="A471" s="210"/>
      <c r="B471" s="210"/>
      <c r="C471" s="210"/>
      <c r="D471" s="210"/>
      <c r="E471" s="210"/>
      <c r="F471" s="210"/>
      <c r="G471" s="210"/>
      <c r="H471" s="210"/>
      <c r="I471" s="210"/>
      <c r="J471" s="210"/>
      <c r="K471" s="210"/>
      <c r="L471" s="210"/>
      <c r="M471" s="210"/>
      <c r="N471" s="210"/>
      <c r="O471" s="210"/>
      <c r="P471" s="210"/>
      <c r="Q471" s="210"/>
      <c r="R471" s="210"/>
      <c r="S471" s="210"/>
      <c r="T471" s="210"/>
      <c r="U471" s="210"/>
      <c r="V471" s="210"/>
      <c r="W471" s="210"/>
      <c r="X471" s="210"/>
      <c r="Y471" s="210"/>
      <c r="Z471" s="210"/>
      <c r="AA471" s="210"/>
      <c r="AB471" s="210"/>
      <c r="AC471" s="210"/>
      <c r="AD471" s="210"/>
      <c r="AE471" s="210"/>
      <c r="AF471" s="210"/>
      <c r="AG471" s="210"/>
      <c r="AH471" s="210"/>
      <c r="AI471" s="210"/>
      <c r="AJ471" s="210"/>
      <c r="AK471" s="210"/>
      <c r="AL471" s="210"/>
      <c r="AM471" s="210"/>
      <c r="AN471" s="210"/>
      <c r="AO471" s="210"/>
      <c r="AP471" s="210"/>
      <c r="AQ471" s="210"/>
      <c r="AR471" s="210"/>
      <c r="AS471" s="210"/>
      <c r="AT471" s="210"/>
      <c r="AU471" s="210"/>
      <c r="AV471" s="210"/>
      <c r="AW471" s="210"/>
      <c r="AX471" s="210"/>
      <c r="AY471" s="210"/>
      <c r="AZ471" s="210"/>
      <c r="BA471" s="210"/>
      <c r="BB471" s="210"/>
      <c r="BC471" s="210"/>
      <c r="BD471" s="210"/>
      <c r="BE471" s="210"/>
      <c r="BF471" s="210"/>
      <c r="BG471" s="210"/>
      <c r="BH471" s="210"/>
      <c r="BI471" s="210"/>
      <c r="BJ471" s="210"/>
    </row>
    <row r="472" spans="1:62" ht="15" x14ac:dyDescent="0.2">
      <c r="A472" s="210"/>
      <c r="B472" s="210"/>
      <c r="C472" s="210"/>
      <c r="D472" s="210"/>
      <c r="E472" s="210"/>
      <c r="F472" s="210"/>
      <c r="G472" s="210"/>
      <c r="H472" s="210"/>
      <c r="I472" s="210"/>
      <c r="J472" s="210"/>
      <c r="K472" s="210"/>
      <c r="L472" s="210"/>
      <c r="M472" s="210"/>
      <c r="N472" s="210"/>
      <c r="O472" s="210"/>
      <c r="P472" s="210"/>
      <c r="Q472" s="210"/>
      <c r="R472" s="210"/>
      <c r="S472" s="210"/>
      <c r="T472" s="210"/>
      <c r="U472" s="210"/>
      <c r="V472" s="210"/>
      <c r="W472" s="210"/>
      <c r="X472" s="210"/>
      <c r="Y472" s="210"/>
      <c r="Z472" s="210"/>
      <c r="AA472" s="210"/>
      <c r="AB472" s="210"/>
      <c r="AC472" s="210"/>
      <c r="AD472" s="210"/>
      <c r="AE472" s="210"/>
      <c r="AF472" s="210"/>
      <c r="AG472" s="210"/>
      <c r="AH472" s="210"/>
      <c r="AI472" s="210"/>
      <c r="AJ472" s="210"/>
      <c r="AK472" s="210"/>
      <c r="AL472" s="210"/>
      <c r="AM472" s="210"/>
      <c r="AN472" s="210"/>
      <c r="AO472" s="210"/>
      <c r="AP472" s="210"/>
      <c r="AQ472" s="210"/>
      <c r="AR472" s="210"/>
      <c r="AS472" s="210"/>
      <c r="AT472" s="210"/>
      <c r="AU472" s="210"/>
      <c r="AV472" s="210"/>
      <c r="AW472" s="210"/>
      <c r="AX472" s="210"/>
      <c r="AY472" s="210"/>
      <c r="AZ472" s="210"/>
      <c r="BA472" s="210"/>
      <c r="BB472" s="210"/>
      <c r="BC472" s="210"/>
      <c r="BD472" s="210"/>
      <c r="BE472" s="210"/>
      <c r="BF472" s="210"/>
      <c r="BG472" s="210"/>
      <c r="BH472" s="210"/>
      <c r="BI472" s="210"/>
      <c r="BJ472" s="210"/>
    </row>
    <row r="473" spans="1:62" ht="15" x14ac:dyDescent="0.2">
      <c r="A473" s="210"/>
      <c r="B473" s="210"/>
      <c r="C473" s="210"/>
      <c r="D473" s="210"/>
      <c r="E473" s="210"/>
      <c r="F473" s="210"/>
      <c r="G473" s="210"/>
      <c r="H473" s="210"/>
      <c r="I473" s="210"/>
      <c r="J473" s="210"/>
      <c r="K473" s="210"/>
      <c r="L473" s="210"/>
      <c r="M473" s="210"/>
      <c r="N473" s="210"/>
      <c r="O473" s="210"/>
      <c r="P473" s="210"/>
      <c r="Q473" s="210"/>
      <c r="R473" s="210"/>
      <c r="S473" s="210"/>
      <c r="T473" s="210"/>
      <c r="U473" s="210"/>
      <c r="V473" s="210"/>
      <c r="W473" s="210"/>
      <c r="X473" s="210"/>
      <c r="Y473" s="210"/>
      <c r="Z473" s="210"/>
      <c r="AA473" s="210"/>
      <c r="AB473" s="210"/>
      <c r="AC473" s="210"/>
      <c r="AD473" s="210"/>
      <c r="AE473" s="210"/>
      <c r="AF473" s="210"/>
      <c r="AG473" s="210"/>
      <c r="AH473" s="210"/>
      <c r="AI473" s="210"/>
      <c r="AJ473" s="210"/>
      <c r="AK473" s="210"/>
      <c r="AL473" s="210"/>
      <c r="AM473" s="210"/>
      <c r="AN473" s="210"/>
      <c r="AO473" s="210"/>
      <c r="AP473" s="210"/>
      <c r="AQ473" s="210"/>
      <c r="AR473" s="210"/>
      <c r="AS473" s="210"/>
      <c r="AT473" s="210"/>
      <c r="AU473" s="210"/>
      <c r="AV473" s="210"/>
      <c r="AW473" s="210"/>
      <c r="AX473" s="210"/>
      <c r="AY473" s="210"/>
      <c r="AZ473" s="210"/>
      <c r="BA473" s="210"/>
      <c r="BB473" s="210"/>
      <c r="BC473" s="210"/>
      <c r="BD473" s="210"/>
      <c r="BE473" s="210"/>
      <c r="BF473" s="210"/>
      <c r="BG473" s="210"/>
      <c r="BH473" s="210"/>
      <c r="BI473" s="210"/>
      <c r="BJ473" s="210"/>
    </row>
    <row r="474" spans="1:62" ht="15" x14ac:dyDescent="0.2">
      <c r="A474" s="210"/>
      <c r="B474" s="210"/>
      <c r="C474" s="210"/>
      <c r="D474" s="210"/>
      <c r="E474" s="210"/>
      <c r="F474" s="210"/>
      <c r="G474" s="210"/>
      <c r="H474" s="210"/>
      <c r="I474" s="210"/>
      <c r="J474" s="210"/>
      <c r="K474" s="210"/>
      <c r="L474" s="210"/>
      <c r="M474" s="210"/>
      <c r="N474" s="210"/>
      <c r="O474" s="210"/>
      <c r="P474" s="210"/>
      <c r="Q474" s="210"/>
      <c r="R474" s="210"/>
      <c r="S474" s="210"/>
      <c r="T474" s="210"/>
      <c r="U474" s="210"/>
      <c r="V474" s="210"/>
      <c r="W474" s="210"/>
      <c r="X474" s="210"/>
      <c r="Y474" s="210"/>
      <c r="Z474" s="210"/>
      <c r="AA474" s="210"/>
      <c r="AB474" s="210"/>
      <c r="AC474" s="210"/>
      <c r="AD474" s="210"/>
      <c r="AE474" s="210"/>
      <c r="AF474" s="210"/>
      <c r="AG474" s="210"/>
      <c r="AH474" s="210"/>
      <c r="AI474" s="210"/>
      <c r="AJ474" s="210"/>
      <c r="AK474" s="210"/>
      <c r="AL474" s="210"/>
      <c r="AM474" s="210"/>
      <c r="AN474" s="210"/>
      <c r="AO474" s="210"/>
      <c r="AP474" s="210"/>
      <c r="AQ474" s="210"/>
      <c r="AR474" s="210"/>
      <c r="AS474" s="210"/>
      <c r="AT474" s="210"/>
      <c r="AU474" s="210"/>
      <c r="AV474" s="210"/>
      <c r="AW474" s="210"/>
      <c r="AX474" s="210"/>
      <c r="AY474" s="210"/>
      <c r="AZ474" s="210"/>
      <c r="BA474" s="210"/>
      <c r="BB474" s="210"/>
      <c r="BC474" s="210"/>
      <c r="BD474" s="210"/>
      <c r="BE474" s="210"/>
      <c r="BF474" s="210"/>
      <c r="BG474" s="210"/>
      <c r="BH474" s="210"/>
      <c r="BI474" s="210"/>
      <c r="BJ474" s="210"/>
    </row>
    <row r="475" spans="1:62" ht="15" x14ac:dyDescent="0.2">
      <c r="A475" s="210"/>
      <c r="B475" s="210"/>
      <c r="C475" s="210"/>
      <c r="D475" s="210"/>
      <c r="E475" s="210"/>
      <c r="F475" s="210"/>
      <c r="G475" s="210"/>
      <c r="H475" s="210"/>
      <c r="I475" s="210"/>
      <c r="J475" s="210"/>
      <c r="K475" s="210"/>
      <c r="L475" s="210"/>
      <c r="M475" s="210"/>
      <c r="N475" s="210"/>
      <c r="O475" s="210"/>
      <c r="P475" s="210"/>
      <c r="Q475" s="210"/>
      <c r="R475" s="210"/>
      <c r="S475" s="210"/>
      <c r="T475" s="210"/>
      <c r="U475" s="210"/>
      <c r="V475" s="210"/>
      <c r="W475" s="210"/>
      <c r="X475" s="210"/>
      <c r="Y475" s="210"/>
      <c r="Z475" s="210"/>
      <c r="AA475" s="210"/>
      <c r="AB475" s="210"/>
      <c r="AC475" s="210"/>
      <c r="AD475" s="210"/>
      <c r="AE475" s="210"/>
      <c r="AF475" s="210"/>
      <c r="AG475" s="210"/>
      <c r="AH475" s="210"/>
      <c r="AI475" s="210"/>
      <c r="AJ475" s="210"/>
      <c r="AK475" s="210"/>
      <c r="AL475" s="210"/>
      <c r="AM475" s="210"/>
      <c r="AN475" s="210"/>
      <c r="AO475" s="210"/>
      <c r="AP475" s="210"/>
      <c r="AQ475" s="210"/>
      <c r="AR475" s="210"/>
      <c r="AS475" s="210"/>
      <c r="AT475" s="210"/>
      <c r="AU475" s="210"/>
      <c r="AV475" s="210"/>
      <c r="AW475" s="210"/>
      <c r="AX475" s="210"/>
      <c r="AY475" s="210"/>
      <c r="AZ475" s="210"/>
      <c r="BA475" s="210"/>
      <c r="BB475" s="210"/>
      <c r="BC475" s="210"/>
      <c r="BD475" s="210"/>
      <c r="BE475" s="210"/>
      <c r="BF475" s="210"/>
      <c r="BG475" s="210"/>
      <c r="BH475" s="210"/>
      <c r="BI475" s="210"/>
      <c r="BJ475" s="210"/>
    </row>
    <row r="476" spans="1:62" ht="15" x14ac:dyDescent="0.2">
      <c r="A476" s="210"/>
      <c r="B476" s="210"/>
      <c r="C476" s="210"/>
      <c r="D476" s="210"/>
      <c r="E476" s="210"/>
      <c r="F476" s="210"/>
      <c r="G476" s="210"/>
      <c r="H476" s="210"/>
      <c r="I476" s="210"/>
      <c r="J476" s="210"/>
      <c r="K476" s="210"/>
      <c r="L476" s="210"/>
      <c r="M476" s="210"/>
      <c r="N476" s="210"/>
      <c r="O476" s="210"/>
      <c r="P476" s="210"/>
      <c r="Q476" s="210"/>
      <c r="R476" s="210"/>
      <c r="S476" s="210"/>
      <c r="T476" s="210"/>
      <c r="U476" s="210"/>
      <c r="V476" s="210"/>
      <c r="W476" s="210"/>
      <c r="X476" s="210"/>
      <c r="Y476" s="210"/>
      <c r="Z476" s="210"/>
      <c r="AA476" s="210"/>
      <c r="AB476" s="210"/>
      <c r="AC476" s="210"/>
      <c r="AD476" s="210"/>
      <c r="AE476" s="210"/>
      <c r="AF476" s="210"/>
      <c r="AG476" s="210"/>
      <c r="AH476" s="210"/>
      <c r="AI476" s="210"/>
      <c r="AJ476" s="210"/>
      <c r="AK476" s="210"/>
      <c r="AL476" s="210"/>
      <c r="AM476" s="210"/>
      <c r="AN476" s="210"/>
      <c r="AO476" s="210"/>
      <c r="AP476" s="210"/>
      <c r="AQ476" s="210"/>
      <c r="AR476" s="210"/>
      <c r="AS476" s="210"/>
      <c r="AT476" s="210"/>
      <c r="AU476" s="210"/>
      <c r="AV476" s="210"/>
      <c r="AW476" s="210"/>
      <c r="AX476" s="210"/>
      <c r="AY476" s="210"/>
      <c r="AZ476" s="210"/>
      <c r="BA476" s="210"/>
      <c r="BB476" s="210"/>
      <c r="BC476" s="210"/>
      <c r="BD476" s="210"/>
      <c r="BE476" s="210"/>
      <c r="BF476" s="210"/>
      <c r="BG476" s="210"/>
      <c r="BH476" s="210"/>
      <c r="BI476" s="210"/>
      <c r="BJ476" s="210"/>
    </row>
    <row r="477" spans="1:62" ht="15" x14ac:dyDescent="0.2">
      <c r="A477" s="210"/>
      <c r="B477" s="210"/>
      <c r="C477" s="210"/>
      <c r="D477" s="210"/>
      <c r="E477" s="210"/>
      <c r="F477" s="210"/>
      <c r="G477" s="210"/>
      <c r="H477" s="210"/>
      <c r="I477" s="210"/>
      <c r="J477" s="210"/>
      <c r="K477" s="210"/>
      <c r="L477" s="210"/>
      <c r="M477" s="210"/>
      <c r="N477" s="210"/>
      <c r="O477" s="210"/>
      <c r="P477" s="210"/>
      <c r="Q477" s="210"/>
      <c r="R477" s="210"/>
      <c r="S477" s="210"/>
      <c r="T477" s="210"/>
      <c r="U477" s="210"/>
      <c r="V477" s="210"/>
      <c r="W477" s="210"/>
      <c r="X477" s="210"/>
      <c r="Y477" s="210"/>
      <c r="Z477" s="210"/>
      <c r="AA477" s="210"/>
      <c r="AB477" s="210"/>
      <c r="AC477" s="210"/>
      <c r="AD477" s="210"/>
      <c r="AE477" s="210"/>
      <c r="AF477" s="210"/>
      <c r="AG477" s="210"/>
      <c r="AH477" s="210"/>
      <c r="AI477" s="210"/>
      <c r="AJ477" s="210"/>
      <c r="AK477" s="210"/>
      <c r="AL477" s="210"/>
      <c r="AM477" s="210"/>
      <c r="AN477" s="210"/>
      <c r="AO477" s="210"/>
      <c r="AP477" s="210"/>
      <c r="AQ477" s="210"/>
      <c r="AR477" s="210"/>
      <c r="AS477" s="210"/>
      <c r="AT477" s="210"/>
      <c r="AU477" s="210"/>
      <c r="AV477" s="210"/>
      <c r="AW477" s="210"/>
      <c r="AX477" s="210"/>
      <c r="AY477" s="210"/>
      <c r="AZ477" s="210"/>
      <c r="BA477" s="210"/>
      <c r="BB477" s="210"/>
      <c r="BC477" s="210"/>
      <c r="BD477" s="210"/>
      <c r="BE477" s="210"/>
      <c r="BF477" s="210"/>
      <c r="BG477" s="210"/>
      <c r="BH477" s="210"/>
      <c r="BI477" s="210"/>
      <c r="BJ477" s="210"/>
    </row>
    <row r="478" spans="1:62" ht="15" x14ac:dyDescent="0.2">
      <c r="A478" s="210"/>
      <c r="B478" s="210"/>
      <c r="C478" s="210"/>
      <c r="D478" s="210"/>
      <c r="E478" s="210"/>
      <c r="F478" s="210"/>
      <c r="G478" s="210"/>
      <c r="H478" s="210"/>
      <c r="I478" s="210"/>
      <c r="J478" s="210"/>
      <c r="K478" s="210"/>
      <c r="L478" s="210"/>
      <c r="M478" s="210"/>
      <c r="N478" s="210"/>
      <c r="O478" s="210"/>
      <c r="P478" s="210"/>
      <c r="Q478" s="210"/>
      <c r="R478" s="210"/>
      <c r="S478" s="210"/>
      <c r="T478" s="210"/>
      <c r="U478" s="210"/>
      <c r="V478" s="210"/>
      <c r="W478" s="210"/>
      <c r="X478" s="210"/>
      <c r="Y478" s="210"/>
      <c r="Z478" s="210"/>
      <c r="AA478" s="210"/>
      <c r="AB478" s="210"/>
      <c r="AC478" s="210"/>
      <c r="AD478" s="210"/>
      <c r="AE478" s="210"/>
      <c r="AF478" s="210"/>
      <c r="AG478" s="210"/>
      <c r="AH478" s="210"/>
      <c r="AI478" s="210"/>
      <c r="AJ478" s="210"/>
      <c r="AK478" s="210"/>
      <c r="AL478" s="210"/>
      <c r="AM478" s="210"/>
      <c r="AN478" s="210"/>
      <c r="AO478" s="210"/>
      <c r="AP478" s="210"/>
      <c r="AQ478" s="210"/>
      <c r="AR478" s="210"/>
      <c r="AS478" s="210"/>
      <c r="AT478" s="210"/>
      <c r="AU478" s="210"/>
      <c r="AV478" s="210"/>
      <c r="AW478" s="210"/>
      <c r="AX478" s="210"/>
      <c r="AY478" s="210"/>
      <c r="AZ478" s="210"/>
      <c r="BA478" s="210"/>
      <c r="BB478" s="210"/>
      <c r="BC478" s="210"/>
      <c r="BD478" s="210"/>
      <c r="BE478" s="210"/>
      <c r="BF478" s="210"/>
      <c r="BG478" s="210"/>
      <c r="BH478" s="210"/>
      <c r="BI478" s="210"/>
      <c r="BJ478" s="210"/>
    </row>
    <row r="479" spans="1:62" ht="15" x14ac:dyDescent="0.2">
      <c r="A479" s="210"/>
      <c r="B479" s="210"/>
      <c r="C479" s="210"/>
      <c r="D479" s="210"/>
      <c r="E479" s="210"/>
      <c r="F479" s="210"/>
      <c r="G479" s="210"/>
      <c r="H479" s="210"/>
      <c r="I479" s="210"/>
      <c r="J479" s="210"/>
      <c r="K479" s="210"/>
      <c r="L479" s="210"/>
      <c r="M479" s="210"/>
      <c r="N479" s="210"/>
      <c r="O479" s="210"/>
      <c r="P479" s="210"/>
      <c r="Q479" s="210"/>
      <c r="R479" s="210"/>
      <c r="S479" s="210"/>
      <c r="T479" s="210"/>
      <c r="U479" s="210"/>
      <c r="V479" s="210"/>
      <c r="W479" s="210"/>
      <c r="X479" s="210"/>
      <c r="Y479" s="210"/>
      <c r="Z479" s="210"/>
      <c r="AA479" s="210"/>
      <c r="AB479" s="210"/>
      <c r="AC479" s="210"/>
      <c r="AD479" s="210"/>
      <c r="AE479" s="210"/>
      <c r="AF479" s="210"/>
      <c r="AG479" s="210"/>
      <c r="AH479" s="210"/>
      <c r="AI479" s="210"/>
      <c r="AJ479" s="210"/>
      <c r="AK479" s="210"/>
      <c r="AL479" s="210"/>
      <c r="AM479" s="210"/>
      <c r="AN479" s="210"/>
      <c r="AO479" s="210"/>
      <c r="AP479" s="210"/>
      <c r="AQ479" s="210"/>
      <c r="AR479" s="210"/>
      <c r="AS479" s="210"/>
      <c r="AT479" s="210"/>
      <c r="AU479" s="210"/>
      <c r="AV479" s="210"/>
      <c r="AW479" s="210"/>
      <c r="AX479" s="210"/>
      <c r="AY479" s="210"/>
      <c r="AZ479" s="210"/>
      <c r="BA479" s="210"/>
      <c r="BB479" s="210"/>
      <c r="BC479" s="210"/>
      <c r="BD479" s="210"/>
      <c r="BE479" s="210"/>
      <c r="BF479" s="210"/>
      <c r="BG479" s="210"/>
      <c r="BH479" s="210"/>
      <c r="BI479" s="210"/>
      <c r="BJ479" s="210"/>
    </row>
    <row r="480" spans="1:62" ht="15" x14ac:dyDescent="0.2">
      <c r="A480" s="210"/>
      <c r="B480" s="210"/>
      <c r="C480" s="210"/>
      <c r="D480" s="210"/>
      <c r="E480" s="210"/>
      <c r="F480" s="210"/>
      <c r="G480" s="210"/>
      <c r="H480" s="210"/>
      <c r="I480" s="210"/>
      <c r="J480" s="210"/>
      <c r="K480" s="210"/>
      <c r="L480" s="210"/>
      <c r="M480" s="210"/>
      <c r="N480" s="210"/>
      <c r="O480" s="210"/>
      <c r="P480" s="210"/>
      <c r="Q480" s="210"/>
      <c r="R480" s="210"/>
      <c r="S480" s="210"/>
      <c r="T480" s="210"/>
      <c r="U480" s="210"/>
      <c r="V480" s="210"/>
      <c r="W480" s="210"/>
      <c r="X480" s="210"/>
      <c r="Y480" s="210"/>
      <c r="Z480" s="210"/>
      <c r="AA480" s="210"/>
      <c r="AB480" s="210"/>
      <c r="AC480" s="210"/>
      <c r="AD480" s="210"/>
      <c r="AE480" s="210"/>
      <c r="AF480" s="210"/>
      <c r="AG480" s="210"/>
      <c r="AH480" s="210"/>
      <c r="AI480" s="210"/>
      <c r="AJ480" s="210"/>
      <c r="AK480" s="210"/>
      <c r="AL480" s="210"/>
      <c r="AM480" s="210"/>
      <c r="AN480" s="210"/>
      <c r="AO480" s="210"/>
      <c r="AP480" s="210"/>
      <c r="AQ480" s="210"/>
      <c r="AR480" s="210"/>
      <c r="AS480" s="210"/>
      <c r="AT480" s="210"/>
      <c r="AU480" s="210"/>
      <c r="AV480" s="210"/>
      <c r="AW480" s="210"/>
      <c r="AX480" s="210"/>
      <c r="AY480" s="210"/>
      <c r="AZ480" s="210"/>
      <c r="BA480" s="210"/>
      <c r="BB480" s="210"/>
      <c r="BC480" s="210"/>
      <c r="BD480" s="210"/>
      <c r="BE480" s="210"/>
      <c r="BF480" s="210"/>
      <c r="BG480" s="210"/>
      <c r="BH480" s="210"/>
      <c r="BI480" s="210"/>
      <c r="BJ480" s="210"/>
    </row>
    <row r="481" spans="1:62" ht="15" x14ac:dyDescent="0.2">
      <c r="A481" s="210"/>
      <c r="B481" s="210"/>
      <c r="C481" s="210"/>
      <c r="D481" s="210"/>
      <c r="E481" s="210"/>
      <c r="F481" s="210"/>
      <c r="G481" s="210"/>
      <c r="H481" s="210"/>
      <c r="I481" s="210"/>
      <c r="J481" s="210"/>
      <c r="K481" s="210"/>
      <c r="L481" s="210"/>
      <c r="M481" s="210"/>
      <c r="N481" s="210"/>
      <c r="O481" s="210"/>
      <c r="P481" s="210"/>
      <c r="Q481" s="210"/>
      <c r="R481" s="210"/>
      <c r="S481" s="210"/>
      <c r="T481" s="210"/>
      <c r="U481" s="210"/>
      <c r="V481" s="210"/>
      <c r="W481" s="210"/>
      <c r="X481" s="210"/>
      <c r="Y481" s="210"/>
      <c r="Z481" s="210"/>
      <c r="AA481" s="210"/>
      <c r="AB481" s="210"/>
      <c r="AC481" s="210"/>
      <c r="AD481" s="210"/>
      <c r="AE481" s="210"/>
      <c r="AF481" s="210"/>
      <c r="AG481" s="210"/>
      <c r="AH481" s="210"/>
      <c r="AI481" s="210"/>
      <c r="AJ481" s="210"/>
      <c r="AK481" s="210"/>
      <c r="AL481" s="210"/>
      <c r="AM481" s="210"/>
      <c r="AN481" s="210"/>
      <c r="AO481" s="210"/>
      <c r="AP481" s="210"/>
      <c r="AQ481" s="210"/>
      <c r="AR481" s="210"/>
      <c r="AS481" s="210"/>
      <c r="AT481" s="210"/>
      <c r="AU481" s="210"/>
      <c r="AV481" s="210"/>
      <c r="AW481" s="210"/>
      <c r="AX481" s="210"/>
      <c r="AY481" s="210"/>
      <c r="AZ481" s="210"/>
      <c r="BA481" s="210"/>
      <c r="BB481" s="210"/>
      <c r="BC481" s="210"/>
      <c r="BD481" s="210"/>
      <c r="BE481" s="210"/>
      <c r="BF481" s="210"/>
      <c r="BG481" s="210"/>
      <c r="BH481" s="210"/>
      <c r="BI481" s="210"/>
      <c r="BJ481" s="210"/>
    </row>
    <row r="482" spans="1:62" ht="15" x14ac:dyDescent="0.2">
      <c r="A482" s="210"/>
      <c r="B482" s="210"/>
      <c r="C482" s="210"/>
      <c r="D482" s="210"/>
      <c r="E482" s="210"/>
      <c r="F482" s="210"/>
      <c r="G482" s="210"/>
      <c r="H482" s="210"/>
      <c r="I482" s="210"/>
      <c r="J482" s="210"/>
      <c r="K482" s="210"/>
      <c r="L482" s="210"/>
      <c r="M482" s="210"/>
      <c r="N482" s="210"/>
      <c r="O482" s="210"/>
      <c r="P482" s="210"/>
      <c r="Q482" s="210"/>
      <c r="R482" s="210"/>
      <c r="S482" s="210"/>
      <c r="T482" s="210"/>
      <c r="U482" s="210"/>
      <c r="V482" s="210"/>
      <c r="W482" s="210"/>
      <c r="X482" s="210"/>
      <c r="Y482" s="210"/>
      <c r="Z482" s="210"/>
      <c r="AA482" s="210"/>
      <c r="AB482" s="210"/>
      <c r="AC482" s="210"/>
      <c r="AD482" s="210"/>
      <c r="AE482" s="210"/>
      <c r="AF482" s="210"/>
      <c r="AG482" s="210"/>
      <c r="AH482" s="210"/>
      <c r="AI482" s="210"/>
      <c r="AJ482" s="210"/>
      <c r="AK482" s="210"/>
      <c r="AL482" s="210"/>
      <c r="AM482" s="210"/>
      <c r="AN482" s="210"/>
      <c r="AO482" s="210"/>
      <c r="AP482" s="210"/>
      <c r="AQ482" s="210"/>
      <c r="AR482" s="210"/>
      <c r="AS482" s="210"/>
      <c r="AT482" s="210"/>
      <c r="AU482" s="210"/>
      <c r="AV482" s="210"/>
      <c r="AW482" s="210"/>
      <c r="AX482" s="210"/>
      <c r="AY482" s="210"/>
      <c r="AZ482" s="210"/>
      <c r="BA482" s="210"/>
      <c r="BB482" s="210"/>
      <c r="BC482" s="210"/>
      <c r="BD482" s="210"/>
      <c r="BE482" s="210"/>
      <c r="BF482" s="210"/>
      <c r="BG482" s="210"/>
      <c r="BH482" s="210"/>
      <c r="BI482" s="210"/>
      <c r="BJ482" s="210"/>
    </row>
    <row r="483" spans="1:62" ht="15" x14ac:dyDescent="0.2">
      <c r="A483" s="210"/>
      <c r="B483" s="210"/>
      <c r="C483" s="210"/>
      <c r="D483" s="210"/>
      <c r="E483" s="210"/>
      <c r="F483" s="210"/>
      <c r="G483" s="210"/>
      <c r="H483" s="210"/>
      <c r="I483" s="210"/>
      <c r="J483" s="210"/>
      <c r="K483" s="210"/>
      <c r="L483" s="210"/>
      <c r="M483" s="210"/>
      <c r="N483" s="210"/>
      <c r="O483" s="210"/>
      <c r="P483" s="210"/>
      <c r="Q483" s="210"/>
      <c r="R483" s="210"/>
      <c r="S483" s="210"/>
      <c r="T483" s="210"/>
      <c r="U483" s="210"/>
      <c r="V483" s="210"/>
      <c r="W483" s="210"/>
      <c r="X483" s="210"/>
      <c r="Y483" s="210"/>
      <c r="Z483" s="210"/>
      <c r="AA483" s="210"/>
      <c r="AB483" s="210"/>
      <c r="AC483" s="210"/>
      <c r="AD483" s="210"/>
      <c r="AE483" s="210"/>
      <c r="AF483" s="210"/>
      <c r="AG483" s="210"/>
      <c r="AH483" s="210"/>
      <c r="AI483" s="210"/>
      <c r="AJ483" s="210"/>
      <c r="AK483" s="210"/>
      <c r="AL483" s="210"/>
      <c r="AM483" s="210"/>
      <c r="AN483" s="210"/>
      <c r="AO483" s="210"/>
      <c r="AP483" s="210"/>
      <c r="AQ483" s="210"/>
      <c r="AR483" s="210"/>
      <c r="AS483" s="210"/>
      <c r="AT483" s="210"/>
      <c r="AU483" s="210"/>
      <c r="AV483" s="210"/>
      <c r="AW483" s="210"/>
      <c r="AX483" s="210"/>
      <c r="AY483" s="210"/>
      <c r="AZ483" s="210"/>
      <c r="BA483" s="210"/>
      <c r="BB483" s="210"/>
      <c r="BC483" s="210"/>
      <c r="BD483" s="210"/>
      <c r="BE483" s="210"/>
      <c r="BF483" s="210"/>
      <c r="BG483" s="210"/>
      <c r="BH483" s="210"/>
      <c r="BI483" s="210"/>
      <c r="BJ483" s="210"/>
    </row>
    <row r="484" spans="1:62" ht="15" x14ac:dyDescent="0.2">
      <c r="A484" s="210"/>
      <c r="B484" s="210"/>
      <c r="C484" s="210"/>
      <c r="D484" s="210"/>
      <c r="E484" s="210"/>
      <c r="F484" s="210"/>
      <c r="G484" s="210"/>
      <c r="H484" s="210"/>
      <c r="I484" s="210"/>
      <c r="J484" s="210"/>
      <c r="K484" s="210"/>
      <c r="L484" s="210"/>
      <c r="M484" s="210"/>
      <c r="N484" s="210"/>
      <c r="O484" s="210"/>
      <c r="P484" s="210"/>
      <c r="Q484" s="210"/>
      <c r="R484" s="210"/>
      <c r="S484" s="210"/>
      <c r="T484" s="210"/>
      <c r="U484" s="210"/>
      <c r="V484" s="210"/>
      <c r="W484" s="210"/>
      <c r="X484" s="210"/>
      <c r="Y484" s="210"/>
      <c r="Z484" s="210"/>
      <c r="AA484" s="210"/>
      <c r="AB484" s="210"/>
      <c r="AC484" s="210"/>
      <c r="AD484" s="210"/>
      <c r="AE484" s="210"/>
      <c r="AF484" s="210"/>
      <c r="AG484" s="210"/>
      <c r="AH484" s="210"/>
      <c r="AI484" s="210"/>
      <c r="AJ484" s="210"/>
      <c r="AK484" s="210"/>
      <c r="AL484" s="210"/>
      <c r="AM484" s="210"/>
      <c r="AN484" s="210"/>
      <c r="AO484" s="210"/>
      <c r="AP484" s="210"/>
      <c r="AQ484" s="210"/>
      <c r="AR484" s="210"/>
      <c r="AS484" s="210"/>
      <c r="AT484" s="210"/>
      <c r="AU484" s="210"/>
      <c r="AV484" s="210"/>
      <c r="AW484" s="210"/>
      <c r="AX484" s="210"/>
      <c r="AY484" s="210"/>
      <c r="AZ484" s="210"/>
      <c r="BA484" s="210"/>
      <c r="BB484" s="210"/>
      <c r="BC484" s="210"/>
      <c r="BD484" s="210"/>
      <c r="BE484" s="210"/>
      <c r="BF484" s="210"/>
      <c r="BG484" s="210"/>
      <c r="BH484" s="210"/>
      <c r="BI484" s="210"/>
      <c r="BJ484" s="210"/>
    </row>
    <row r="485" spans="1:62" ht="15" x14ac:dyDescent="0.2">
      <c r="A485" s="210"/>
      <c r="B485" s="210"/>
      <c r="C485" s="210"/>
      <c r="D485" s="210"/>
      <c r="E485" s="210"/>
      <c r="F485" s="210"/>
      <c r="G485" s="210"/>
      <c r="H485" s="210"/>
      <c r="I485" s="210"/>
      <c r="J485" s="210"/>
      <c r="K485" s="210"/>
      <c r="L485" s="210"/>
      <c r="M485" s="210"/>
      <c r="N485" s="210"/>
      <c r="O485" s="210"/>
      <c r="P485" s="210"/>
      <c r="Q485" s="210"/>
      <c r="R485" s="210"/>
      <c r="S485" s="210"/>
      <c r="T485" s="210"/>
      <c r="U485" s="210"/>
      <c r="V485" s="210"/>
      <c r="W485" s="210"/>
      <c r="X485" s="210"/>
      <c r="Y485" s="210"/>
      <c r="Z485" s="210"/>
      <c r="AA485" s="210"/>
      <c r="AB485" s="210"/>
      <c r="AC485" s="210"/>
      <c r="AD485" s="210"/>
      <c r="AE485" s="210"/>
      <c r="AF485" s="210"/>
      <c r="AG485" s="210"/>
      <c r="AH485" s="210"/>
      <c r="AI485" s="210"/>
      <c r="AJ485" s="210"/>
      <c r="AK485" s="210"/>
      <c r="AL485" s="210"/>
      <c r="AM485" s="210"/>
      <c r="AN485" s="210"/>
      <c r="AO485" s="210"/>
      <c r="AP485" s="210"/>
      <c r="AQ485" s="210"/>
      <c r="AR485" s="210"/>
      <c r="AS485" s="210"/>
      <c r="AT485" s="210"/>
      <c r="AU485" s="210"/>
      <c r="AV485" s="210"/>
      <c r="AW485" s="210"/>
      <c r="AX485" s="210"/>
      <c r="AY485" s="210"/>
      <c r="AZ485" s="210"/>
      <c r="BA485" s="210"/>
      <c r="BB485" s="210"/>
      <c r="BC485" s="210"/>
      <c r="BD485" s="210"/>
      <c r="BE485" s="210"/>
      <c r="BF485" s="210"/>
      <c r="BG485" s="210"/>
      <c r="BH485" s="210"/>
      <c r="BI485" s="210"/>
      <c r="BJ485" s="210"/>
    </row>
    <row r="486" spans="1:62" ht="15" x14ac:dyDescent="0.2">
      <c r="A486" s="210"/>
      <c r="B486" s="210"/>
      <c r="C486" s="210"/>
      <c r="D486" s="210"/>
      <c r="E486" s="210"/>
      <c r="F486" s="210"/>
      <c r="G486" s="210"/>
      <c r="H486" s="210"/>
      <c r="I486" s="210"/>
      <c r="J486" s="210"/>
      <c r="K486" s="210"/>
      <c r="L486" s="210"/>
      <c r="M486" s="210"/>
      <c r="N486" s="210"/>
      <c r="O486" s="210"/>
      <c r="P486" s="210"/>
      <c r="Q486" s="210"/>
      <c r="R486" s="210"/>
      <c r="S486" s="210"/>
      <c r="T486" s="210"/>
      <c r="U486" s="210"/>
      <c r="V486" s="210"/>
      <c r="W486" s="210"/>
      <c r="X486" s="210"/>
      <c r="Y486" s="210"/>
      <c r="Z486" s="210"/>
      <c r="AA486" s="210"/>
      <c r="AB486" s="210"/>
      <c r="AC486" s="210"/>
      <c r="AD486" s="210"/>
      <c r="AE486" s="210"/>
      <c r="AF486" s="210"/>
      <c r="AG486" s="210"/>
      <c r="AH486" s="210"/>
      <c r="AI486" s="210"/>
      <c r="AJ486" s="210"/>
      <c r="AK486" s="210"/>
      <c r="AL486" s="210"/>
      <c r="AM486" s="210"/>
      <c r="AN486" s="210"/>
      <c r="AO486" s="210"/>
      <c r="AP486" s="210"/>
      <c r="AQ486" s="210"/>
      <c r="AR486" s="210"/>
      <c r="AS486" s="210"/>
      <c r="AT486" s="210"/>
      <c r="AU486" s="210"/>
      <c r="AV486" s="210"/>
      <c r="AW486" s="210"/>
      <c r="AX486" s="210"/>
      <c r="AY486" s="210"/>
      <c r="AZ486" s="210"/>
      <c r="BA486" s="210"/>
      <c r="BB486" s="210"/>
      <c r="BC486" s="210"/>
      <c r="BD486" s="210"/>
      <c r="BE486" s="210"/>
      <c r="BF486" s="210"/>
      <c r="BG486" s="210"/>
      <c r="BH486" s="210"/>
      <c r="BI486" s="210"/>
      <c r="BJ486" s="210"/>
    </row>
    <row r="487" spans="1:62" ht="15" x14ac:dyDescent="0.2">
      <c r="A487" s="210"/>
      <c r="B487" s="210"/>
      <c r="C487" s="210"/>
      <c r="D487" s="210"/>
      <c r="E487" s="210"/>
      <c r="F487" s="210"/>
      <c r="G487" s="210"/>
      <c r="H487" s="210"/>
      <c r="I487" s="210"/>
      <c r="J487" s="210"/>
      <c r="K487" s="210"/>
      <c r="L487" s="210"/>
      <c r="M487" s="210"/>
      <c r="N487" s="210"/>
      <c r="O487" s="210"/>
      <c r="P487" s="210"/>
      <c r="Q487" s="210"/>
      <c r="R487" s="210"/>
      <c r="S487" s="210"/>
      <c r="T487" s="210"/>
      <c r="U487" s="210"/>
      <c r="V487" s="210"/>
      <c r="W487" s="210"/>
      <c r="X487" s="210"/>
      <c r="Y487" s="210"/>
      <c r="Z487" s="210"/>
      <c r="AA487" s="210"/>
      <c r="AB487" s="210"/>
      <c r="AC487" s="210"/>
      <c r="AD487" s="210"/>
      <c r="AE487" s="210"/>
      <c r="AF487" s="210"/>
      <c r="AG487" s="210"/>
      <c r="AH487" s="210"/>
      <c r="AI487" s="210"/>
      <c r="AJ487" s="210"/>
      <c r="AK487" s="210"/>
      <c r="AL487" s="210"/>
      <c r="AM487" s="210"/>
      <c r="AN487" s="210"/>
      <c r="AO487" s="210"/>
      <c r="AP487" s="210"/>
      <c r="AQ487" s="210"/>
      <c r="AR487" s="210"/>
      <c r="AS487" s="210"/>
      <c r="AT487" s="210"/>
      <c r="AU487" s="210"/>
      <c r="AV487" s="210"/>
      <c r="AW487" s="210"/>
      <c r="AX487" s="210"/>
      <c r="AY487" s="210"/>
      <c r="AZ487" s="210"/>
      <c r="BA487" s="210"/>
      <c r="BB487" s="210"/>
      <c r="BC487" s="210"/>
      <c r="BD487" s="210"/>
      <c r="BE487" s="210"/>
      <c r="BF487" s="210"/>
      <c r="BG487" s="210"/>
      <c r="BH487" s="210"/>
      <c r="BI487" s="210"/>
      <c r="BJ487" s="210"/>
    </row>
    <row r="488" spans="1:62" ht="15" x14ac:dyDescent="0.2">
      <c r="A488" s="210"/>
      <c r="B488" s="210"/>
      <c r="C488" s="210"/>
      <c r="D488" s="210"/>
      <c r="E488" s="210"/>
      <c r="F488" s="210"/>
      <c r="G488" s="210"/>
      <c r="H488" s="210"/>
      <c r="I488" s="210"/>
      <c r="J488" s="210"/>
      <c r="K488" s="210"/>
      <c r="L488" s="210"/>
      <c r="M488" s="210"/>
      <c r="N488" s="210"/>
      <c r="O488" s="210"/>
      <c r="P488" s="210"/>
      <c r="Q488" s="210"/>
      <c r="R488" s="210"/>
      <c r="S488" s="210"/>
      <c r="T488" s="210"/>
      <c r="U488" s="210"/>
      <c r="V488" s="210"/>
      <c r="W488" s="210"/>
      <c r="X488" s="210"/>
      <c r="Y488" s="210"/>
      <c r="Z488" s="210"/>
      <c r="AA488" s="210"/>
      <c r="AB488" s="210"/>
      <c r="AC488" s="210"/>
      <c r="AD488" s="210"/>
      <c r="AE488" s="210"/>
      <c r="AF488" s="210"/>
      <c r="AG488" s="210"/>
      <c r="AH488" s="210"/>
      <c r="AI488" s="210"/>
      <c r="AJ488" s="210"/>
      <c r="AK488" s="210"/>
      <c r="AL488" s="210"/>
      <c r="AM488" s="210"/>
      <c r="AN488" s="210"/>
      <c r="AO488" s="210"/>
      <c r="AP488" s="210"/>
      <c r="AQ488" s="210"/>
      <c r="AR488" s="210"/>
      <c r="AS488" s="210"/>
      <c r="AT488" s="210"/>
      <c r="AU488" s="210"/>
      <c r="AV488" s="210"/>
      <c r="AW488" s="210"/>
      <c r="AX488" s="210"/>
      <c r="AY488" s="210"/>
      <c r="AZ488" s="210"/>
      <c r="BA488" s="210"/>
      <c r="BB488" s="210"/>
      <c r="BC488" s="210"/>
      <c r="BD488" s="210"/>
      <c r="BE488" s="210"/>
      <c r="BF488" s="210"/>
      <c r="BG488" s="210"/>
      <c r="BH488" s="210"/>
      <c r="BI488" s="210"/>
      <c r="BJ488" s="210"/>
    </row>
    <row r="489" spans="1:62" ht="15" x14ac:dyDescent="0.2">
      <c r="A489" s="210"/>
      <c r="B489" s="210"/>
      <c r="C489" s="210"/>
      <c r="D489" s="210"/>
      <c r="E489" s="210"/>
      <c r="F489" s="210"/>
      <c r="G489" s="210"/>
      <c r="H489" s="210"/>
      <c r="I489" s="210"/>
      <c r="J489" s="210"/>
      <c r="K489" s="210"/>
      <c r="L489" s="210"/>
      <c r="M489" s="210"/>
      <c r="N489" s="210"/>
      <c r="O489" s="210"/>
      <c r="P489" s="210"/>
      <c r="Q489" s="210"/>
      <c r="R489" s="210"/>
      <c r="S489" s="210"/>
      <c r="T489" s="210"/>
      <c r="U489" s="210"/>
      <c r="V489" s="210"/>
      <c r="W489" s="210"/>
      <c r="X489" s="210"/>
      <c r="Y489" s="210"/>
      <c r="Z489" s="210"/>
      <c r="AA489" s="210"/>
      <c r="AB489" s="210"/>
      <c r="AC489" s="210"/>
      <c r="AD489" s="210"/>
      <c r="AE489" s="210"/>
      <c r="AF489" s="210"/>
      <c r="AG489" s="210"/>
      <c r="AH489" s="210"/>
      <c r="AI489" s="210"/>
      <c r="AJ489" s="210"/>
      <c r="AK489" s="210"/>
      <c r="AL489" s="210"/>
      <c r="AM489" s="210"/>
      <c r="AN489" s="210"/>
      <c r="AO489" s="210"/>
      <c r="AP489" s="210"/>
      <c r="AQ489" s="210"/>
      <c r="AR489" s="210"/>
      <c r="AS489" s="210"/>
      <c r="AT489" s="210"/>
      <c r="AU489" s="210"/>
      <c r="AV489" s="210"/>
      <c r="AW489" s="210"/>
      <c r="AX489" s="210"/>
      <c r="AY489" s="210"/>
      <c r="AZ489" s="210"/>
      <c r="BA489" s="210"/>
      <c r="BB489" s="210"/>
      <c r="BC489" s="210"/>
      <c r="BD489" s="210"/>
      <c r="BE489" s="210"/>
      <c r="BF489" s="210"/>
      <c r="BG489" s="210"/>
      <c r="BH489" s="210"/>
      <c r="BI489" s="210"/>
      <c r="BJ489" s="210"/>
    </row>
    <row r="490" spans="1:62" ht="15" x14ac:dyDescent="0.2">
      <c r="A490" s="210"/>
      <c r="B490" s="210"/>
      <c r="C490" s="210"/>
      <c r="D490" s="210"/>
      <c r="E490" s="210"/>
      <c r="F490" s="210"/>
      <c r="G490" s="210"/>
      <c r="H490" s="210"/>
      <c r="I490" s="210"/>
      <c r="J490" s="210"/>
      <c r="K490" s="210"/>
      <c r="L490" s="210"/>
      <c r="M490" s="210"/>
      <c r="N490" s="210"/>
      <c r="O490" s="210"/>
      <c r="P490" s="210"/>
      <c r="Q490" s="210"/>
      <c r="R490" s="210"/>
      <c r="S490" s="210"/>
      <c r="T490" s="210"/>
      <c r="U490" s="210"/>
      <c r="V490" s="210"/>
      <c r="W490" s="210"/>
      <c r="X490" s="210"/>
      <c r="Y490" s="210"/>
      <c r="Z490" s="210"/>
      <c r="AA490" s="210"/>
      <c r="AB490" s="210"/>
      <c r="AC490" s="210"/>
      <c r="AD490" s="210"/>
      <c r="AE490" s="210"/>
      <c r="AF490" s="210"/>
      <c r="AG490" s="210"/>
      <c r="AH490" s="210"/>
      <c r="AI490" s="210"/>
      <c r="AJ490" s="210"/>
      <c r="AK490" s="210"/>
      <c r="AL490" s="210"/>
      <c r="AM490" s="210"/>
      <c r="AN490" s="210"/>
      <c r="AO490" s="210"/>
      <c r="AP490" s="210"/>
      <c r="AQ490" s="210"/>
      <c r="AR490" s="210"/>
      <c r="AS490" s="210"/>
      <c r="AT490" s="210"/>
      <c r="AU490" s="210"/>
      <c r="AV490" s="210"/>
      <c r="AW490" s="210"/>
      <c r="AX490" s="210"/>
      <c r="AY490" s="210"/>
      <c r="AZ490" s="210"/>
      <c r="BA490" s="210"/>
      <c r="BB490" s="210"/>
      <c r="BC490" s="210"/>
      <c r="BD490" s="210"/>
      <c r="BE490" s="210"/>
      <c r="BF490" s="210"/>
      <c r="BG490" s="210"/>
      <c r="BH490" s="210"/>
      <c r="BI490" s="210"/>
      <c r="BJ490" s="210"/>
    </row>
    <row r="491" spans="1:62" ht="15" x14ac:dyDescent="0.2">
      <c r="A491" s="210"/>
      <c r="B491" s="210"/>
      <c r="C491" s="210"/>
      <c r="D491" s="210"/>
      <c r="E491" s="210"/>
      <c r="F491" s="210"/>
      <c r="G491" s="210"/>
      <c r="H491" s="210"/>
      <c r="I491" s="210"/>
      <c r="J491" s="210"/>
      <c r="K491" s="210"/>
      <c r="L491" s="210"/>
      <c r="M491" s="210"/>
      <c r="N491" s="210"/>
      <c r="O491" s="210"/>
      <c r="P491" s="210"/>
      <c r="Q491" s="210"/>
      <c r="R491" s="210"/>
      <c r="S491" s="210"/>
      <c r="T491" s="210"/>
      <c r="U491" s="210"/>
      <c r="V491" s="210"/>
      <c r="W491" s="210"/>
      <c r="X491" s="210"/>
      <c r="Y491" s="210"/>
      <c r="Z491" s="210"/>
      <c r="AA491" s="210"/>
      <c r="AB491" s="210"/>
      <c r="AC491" s="210"/>
      <c r="AD491" s="210"/>
      <c r="AE491" s="210"/>
      <c r="AF491" s="210"/>
      <c r="AG491" s="210"/>
      <c r="AH491" s="210"/>
      <c r="AI491" s="210"/>
      <c r="AJ491" s="210"/>
      <c r="AK491" s="210"/>
      <c r="AL491" s="210"/>
      <c r="AM491" s="210"/>
      <c r="AN491" s="210"/>
      <c r="AO491" s="210"/>
      <c r="AP491" s="210"/>
      <c r="AQ491" s="210"/>
      <c r="AR491" s="210"/>
      <c r="AS491" s="210"/>
      <c r="AT491" s="210"/>
      <c r="AU491" s="210"/>
      <c r="AV491" s="210"/>
      <c r="AW491" s="210"/>
      <c r="AX491" s="210"/>
      <c r="AY491" s="210"/>
      <c r="AZ491" s="210"/>
      <c r="BA491" s="210"/>
      <c r="BB491" s="210"/>
      <c r="BC491" s="210"/>
      <c r="BD491" s="210"/>
      <c r="BE491" s="210"/>
      <c r="BF491" s="210"/>
      <c r="BG491" s="210"/>
      <c r="BH491" s="210"/>
      <c r="BI491" s="210"/>
      <c r="BJ491" s="210"/>
    </row>
    <row r="492" spans="1:62" ht="15" x14ac:dyDescent="0.2">
      <c r="A492" s="210"/>
      <c r="B492" s="210"/>
      <c r="C492" s="210"/>
      <c r="D492" s="210"/>
      <c r="E492" s="210"/>
      <c r="F492" s="210"/>
      <c r="G492" s="210"/>
      <c r="H492" s="210"/>
      <c r="I492" s="210"/>
      <c r="J492" s="210"/>
      <c r="K492" s="210"/>
      <c r="L492" s="210"/>
      <c r="M492" s="210"/>
      <c r="N492" s="210"/>
      <c r="O492" s="210"/>
      <c r="P492" s="210"/>
      <c r="Q492" s="210"/>
      <c r="R492" s="210"/>
      <c r="S492" s="210"/>
      <c r="T492" s="210"/>
      <c r="U492" s="210"/>
      <c r="V492" s="210"/>
      <c r="W492" s="210"/>
      <c r="X492" s="210"/>
      <c r="Y492" s="210"/>
      <c r="Z492" s="210"/>
      <c r="AA492" s="210"/>
      <c r="AB492" s="210"/>
      <c r="AC492" s="210"/>
      <c r="AD492" s="210"/>
      <c r="AE492" s="210"/>
      <c r="AF492" s="210"/>
      <c r="AG492" s="210"/>
      <c r="AH492" s="210"/>
      <c r="AI492" s="210"/>
      <c r="AJ492" s="210"/>
      <c r="AK492" s="210"/>
      <c r="AL492" s="210"/>
      <c r="AM492" s="210"/>
      <c r="AN492" s="210"/>
      <c r="AO492" s="210"/>
      <c r="AP492" s="210"/>
      <c r="AQ492" s="210"/>
      <c r="AR492" s="210"/>
      <c r="AS492" s="210"/>
      <c r="AT492" s="210"/>
      <c r="AU492" s="210"/>
      <c r="AV492" s="210"/>
      <c r="AW492" s="210"/>
      <c r="AX492" s="210"/>
      <c r="AY492" s="210"/>
      <c r="AZ492" s="210"/>
      <c r="BA492" s="210"/>
      <c r="BB492" s="210"/>
      <c r="BC492" s="210"/>
      <c r="BD492" s="210"/>
      <c r="BE492" s="210"/>
      <c r="BF492" s="210"/>
      <c r="BG492" s="210"/>
      <c r="BH492" s="210"/>
      <c r="BI492" s="210"/>
      <c r="BJ492" s="210"/>
    </row>
    <row r="493" spans="1:62" ht="15" x14ac:dyDescent="0.2">
      <c r="A493" s="210"/>
      <c r="B493" s="210"/>
      <c r="C493" s="210"/>
      <c r="D493" s="210"/>
      <c r="E493" s="210"/>
      <c r="F493" s="210"/>
      <c r="G493" s="210"/>
      <c r="H493" s="210"/>
      <c r="I493" s="210"/>
      <c r="J493" s="210"/>
      <c r="K493" s="210"/>
      <c r="L493" s="210"/>
      <c r="M493" s="210"/>
      <c r="N493" s="210"/>
      <c r="O493" s="210"/>
      <c r="P493" s="210"/>
      <c r="Q493" s="210"/>
      <c r="R493" s="210"/>
      <c r="S493" s="210"/>
      <c r="T493" s="210"/>
      <c r="U493" s="210"/>
      <c r="V493" s="210"/>
      <c r="W493" s="210"/>
      <c r="X493" s="210"/>
      <c r="Y493" s="210"/>
      <c r="Z493" s="210"/>
      <c r="AA493" s="210"/>
      <c r="AB493" s="210"/>
      <c r="AC493" s="210"/>
      <c r="AD493" s="210"/>
      <c r="AE493" s="210"/>
      <c r="AF493" s="210"/>
      <c r="AG493" s="210"/>
      <c r="AH493" s="210"/>
      <c r="AI493" s="210"/>
      <c r="AJ493" s="210"/>
      <c r="AK493" s="210"/>
      <c r="AL493" s="210"/>
      <c r="AM493" s="210"/>
      <c r="AN493" s="210"/>
      <c r="AO493" s="210"/>
      <c r="AP493" s="210"/>
      <c r="AQ493" s="210"/>
      <c r="AR493" s="210"/>
      <c r="AS493" s="210"/>
      <c r="AT493" s="210"/>
      <c r="AU493" s="210"/>
      <c r="AV493" s="210"/>
      <c r="AW493" s="210"/>
      <c r="AX493" s="210"/>
      <c r="AY493" s="210"/>
      <c r="AZ493" s="210"/>
      <c r="BA493" s="210"/>
      <c r="BB493" s="210"/>
      <c r="BC493" s="210"/>
      <c r="BD493" s="210"/>
      <c r="BE493" s="210"/>
      <c r="BF493" s="210"/>
      <c r="BG493" s="210"/>
      <c r="BH493" s="210"/>
      <c r="BI493" s="210"/>
      <c r="BJ493" s="210"/>
    </row>
    <row r="494" spans="1:62" ht="15" x14ac:dyDescent="0.2">
      <c r="A494" s="210"/>
      <c r="B494" s="210"/>
      <c r="C494" s="210"/>
      <c r="D494" s="210"/>
      <c r="E494" s="210"/>
      <c r="F494" s="210"/>
      <c r="G494" s="210"/>
      <c r="H494" s="210"/>
      <c r="I494" s="210"/>
      <c r="J494" s="210"/>
      <c r="K494" s="210"/>
      <c r="L494" s="210"/>
      <c r="M494" s="210"/>
      <c r="N494" s="210"/>
      <c r="O494" s="210"/>
      <c r="P494" s="210"/>
      <c r="Q494" s="210"/>
      <c r="R494" s="210"/>
      <c r="S494" s="210"/>
      <c r="T494" s="210"/>
      <c r="U494" s="210"/>
      <c r="V494" s="210"/>
      <c r="W494" s="210"/>
      <c r="X494" s="210"/>
      <c r="Y494" s="210"/>
      <c r="Z494" s="210"/>
      <c r="AA494" s="210"/>
      <c r="AB494" s="210"/>
      <c r="AC494" s="210"/>
      <c r="AD494" s="210"/>
      <c r="AE494" s="210"/>
      <c r="AF494" s="210"/>
      <c r="AG494" s="210"/>
      <c r="AH494" s="210"/>
      <c r="AI494" s="210"/>
      <c r="AJ494" s="210"/>
      <c r="AK494" s="210"/>
      <c r="AL494" s="210"/>
      <c r="AM494" s="210"/>
      <c r="AN494" s="210"/>
      <c r="AO494" s="210"/>
      <c r="AP494" s="210"/>
      <c r="AQ494" s="210"/>
      <c r="AR494" s="210"/>
      <c r="AS494" s="210"/>
      <c r="AT494" s="210"/>
      <c r="AU494" s="210"/>
      <c r="AV494" s="210"/>
      <c r="AW494" s="210"/>
      <c r="AX494" s="210"/>
      <c r="AY494" s="210"/>
      <c r="AZ494" s="210"/>
      <c r="BA494" s="210"/>
      <c r="BB494" s="210"/>
      <c r="BC494" s="210"/>
      <c r="BD494" s="210"/>
      <c r="BE494" s="210"/>
      <c r="BF494" s="210"/>
      <c r="BG494" s="210"/>
      <c r="BH494" s="210"/>
      <c r="BI494" s="210"/>
      <c r="BJ494" s="210"/>
    </row>
    <row r="495" spans="1:62" ht="15" x14ac:dyDescent="0.2">
      <c r="A495" s="210"/>
      <c r="B495" s="210"/>
      <c r="C495" s="210"/>
      <c r="D495" s="210"/>
      <c r="E495" s="210"/>
      <c r="F495" s="210"/>
      <c r="G495" s="210"/>
      <c r="H495" s="210"/>
      <c r="I495" s="210"/>
      <c r="J495" s="210"/>
      <c r="K495" s="210"/>
      <c r="L495" s="210"/>
      <c r="M495" s="210"/>
      <c r="N495" s="210"/>
      <c r="O495" s="210"/>
      <c r="P495" s="210"/>
      <c r="Q495" s="210"/>
      <c r="R495" s="210"/>
      <c r="S495" s="210"/>
      <c r="T495" s="210"/>
      <c r="U495" s="210"/>
      <c r="V495" s="210"/>
      <c r="W495" s="210"/>
      <c r="X495" s="210"/>
      <c r="Y495" s="210"/>
      <c r="Z495" s="210"/>
      <c r="AA495" s="210"/>
      <c r="AB495" s="210"/>
      <c r="AC495" s="210"/>
      <c r="AD495" s="210"/>
      <c r="AE495" s="210"/>
      <c r="AF495" s="210"/>
      <c r="AG495" s="210"/>
      <c r="AH495" s="210"/>
      <c r="AI495" s="210"/>
      <c r="AJ495" s="210"/>
      <c r="AK495" s="210"/>
      <c r="AL495" s="210"/>
      <c r="AM495" s="210"/>
      <c r="AN495" s="210"/>
      <c r="AO495" s="210"/>
      <c r="AP495" s="210"/>
      <c r="AQ495" s="210"/>
      <c r="AR495" s="210"/>
      <c r="AS495" s="210"/>
      <c r="AT495" s="210"/>
      <c r="AU495" s="210"/>
      <c r="AV495" s="210"/>
      <c r="AW495" s="210"/>
      <c r="AX495" s="210"/>
      <c r="AY495" s="210"/>
      <c r="AZ495" s="210"/>
      <c r="BA495" s="210"/>
      <c r="BB495" s="210"/>
      <c r="BC495" s="210"/>
      <c r="BD495" s="210"/>
      <c r="BE495" s="210"/>
      <c r="BF495" s="210"/>
      <c r="BG495" s="210"/>
      <c r="BH495" s="210"/>
      <c r="BI495" s="210"/>
      <c r="BJ495" s="210"/>
    </row>
    <row r="496" spans="1:62" ht="15" x14ac:dyDescent="0.2">
      <c r="A496" s="210"/>
      <c r="B496" s="210"/>
      <c r="C496" s="210"/>
      <c r="D496" s="210"/>
      <c r="E496" s="210"/>
      <c r="F496" s="210"/>
      <c r="G496" s="210"/>
      <c r="H496" s="210"/>
      <c r="I496" s="210"/>
      <c r="J496" s="210"/>
      <c r="K496" s="210"/>
      <c r="L496" s="210"/>
      <c r="M496" s="210"/>
      <c r="N496" s="210"/>
      <c r="O496" s="210"/>
      <c r="P496" s="210"/>
      <c r="Q496" s="210"/>
      <c r="R496" s="210"/>
      <c r="S496" s="210"/>
      <c r="T496" s="210"/>
      <c r="U496" s="210"/>
      <c r="V496" s="210"/>
      <c r="W496" s="210"/>
      <c r="X496" s="210"/>
      <c r="Y496" s="210"/>
      <c r="Z496" s="210"/>
      <c r="AA496" s="210"/>
      <c r="AB496" s="210"/>
      <c r="AC496" s="210"/>
      <c r="AD496" s="210"/>
      <c r="AE496" s="210"/>
      <c r="AF496" s="210"/>
      <c r="AG496" s="210"/>
      <c r="AH496" s="210"/>
      <c r="AI496" s="210"/>
      <c r="AJ496" s="210"/>
      <c r="AK496" s="210"/>
      <c r="AL496" s="210"/>
      <c r="AM496" s="210"/>
      <c r="AN496" s="210"/>
      <c r="AO496" s="210"/>
      <c r="AP496" s="210"/>
      <c r="AQ496" s="210"/>
      <c r="AR496" s="210"/>
      <c r="AS496" s="210"/>
      <c r="AT496" s="210"/>
      <c r="AU496" s="210"/>
      <c r="AV496" s="210"/>
      <c r="AW496" s="210"/>
      <c r="AX496" s="210"/>
      <c r="AY496" s="210"/>
      <c r="AZ496" s="210"/>
      <c r="BA496" s="210"/>
      <c r="BB496" s="210"/>
      <c r="BC496" s="210"/>
      <c r="BD496" s="210"/>
      <c r="BE496" s="210"/>
      <c r="BF496" s="210"/>
      <c r="BG496" s="210"/>
      <c r="BH496" s="210"/>
      <c r="BI496" s="210"/>
      <c r="BJ496" s="210"/>
    </row>
    <row r="497" spans="1:62" ht="15" x14ac:dyDescent="0.2">
      <c r="A497" s="210"/>
      <c r="B497" s="210"/>
      <c r="C497" s="210"/>
      <c r="D497" s="210"/>
      <c r="E497" s="210"/>
      <c r="F497" s="210"/>
      <c r="G497" s="210"/>
      <c r="H497" s="210"/>
      <c r="I497" s="210"/>
      <c r="J497" s="210"/>
      <c r="K497" s="210"/>
      <c r="L497" s="210"/>
      <c r="M497" s="210"/>
      <c r="N497" s="210"/>
      <c r="O497" s="210"/>
      <c r="P497" s="210"/>
      <c r="Q497" s="210"/>
      <c r="R497" s="210"/>
      <c r="S497" s="210"/>
      <c r="T497" s="210"/>
      <c r="U497" s="210"/>
      <c r="V497" s="210"/>
      <c r="W497" s="210"/>
      <c r="X497" s="210"/>
      <c r="Y497" s="210"/>
      <c r="Z497" s="210"/>
      <c r="AA497" s="210"/>
      <c r="AB497" s="210"/>
      <c r="AC497" s="210"/>
      <c r="AD497" s="210"/>
      <c r="AE497" s="210"/>
      <c r="AF497" s="210"/>
      <c r="AG497" s="210"/>
      <c r="AH497" s="210"/>
      <c r="AI497" s="210"/>
      <c r="AJ497" s="210"/>
      <c r="AK497" s="210"/>
      <c r="AL497" s="210"/>
      <c r="AM497" s="210"/>
      <c r="AN497" s="210"/>
      <c r="AO497" s="210"/>
      <c r="AP497" s="210"/>
      <c r="AQ497" s="210"/>
      <c r="AR497" s="210"/>
      <c r="AS497" s="210"/>
      <c r="AT497" s="210"/>
      <c r="AU497" s="210"/>
      <c r="AV497" s="210"/>
      <c r="AW497" s="210"/>
      <c r="AX497" s="210"/>
      <c r="AY497" s="210"/>
      <c r="AZ497" s="210"/>
      <c r="BA497" s="210"/>
      <c r="BB497" s="210"/>
      <c r="BC497" s="210"/>
      <c r="BD497" s="210"/>
      <c r="BE497" s="210"/>
      <c r="BF497" s="210"/>
      <c r="BG497" s="210"/>
      <c r="BH497" s="210"/>
      <c r="BI497" s="210"/>
      <c r="BJ497" s="210"/>
    </row>
    <row r="498" spans="1:62" ht="15" x14ac:dyDescent="0.2">
      <c r="A498" s="210"/>
      <c r="B498" s="210"/>
      <c r="C498" s="210"/>
      <c r="D498" s="210"/>
      <c r="E498" s="210"/>
      <c r="F498" s="210"/>
      <c r="G498" s="210"/>
      <c r="H498" s="210"/>
      <c r="I498" s="210"/>
      <c r="J498" s="210"/>
      <c r="K498" s="210"/>
      <c r="L498" s="210"/>
      <c r="M498" s="210"/>
      <c r="N498" s="210"/>
      <c r="O498" s="210"/>
      <c r="P498" s="210"/>
      <c r="Q498" s="210"/>
      <c r="R498" s="210"/>
      <c r="S498" s="210"/>
      <c r="T498" s="210"/>
      <c r="U498" s="210"/>
      <c r="V498" s="210"/>
      <c r="W498" s="210"/>
      <c r="X498" s="210"/>
      <c r="Y498" s="210"/>
      <c r="Z498" s="210"/>
      <c r="AA498" s="210"/>
      <c r="AB498" s="210"/>
      <c r="AC498" s="210"/>
      <c r="AD498" s="210"/>
      <c r="AE498" s="210"/>
      <c r="AF498" s="210"/>
      <c r="AG498" s="210"/>
      <c r="AH498" s="210"/>
      <c r="AI498" s="210"/>
      <c r="AJ498" s="210"/>
      <c r="AK498" s="210"/>
      <c r="AL498" s="210"/>
      <c r="AM498" s="210"/>
      <c r="AN498" s="210"/>
      <c r="AO498" s="210"/>
      <c r="AP498" s="210"/>
      <c r="AQ498" s="210"/>
      <c r="AR498" s="210"/>
      <c r="AS498" s="210"/>
      <c r="AT498" s="210"/>
      <c r="AU498" s="210"/>
      <c r="AV498" s="210"/>
      <c r="AW498" s="210"/>
      <c r="AX498" s="210"/>
      <c r="AY498" s="210"/>
      <c r="AZ498" s="210"/>
      <c r="BA498" s="210"/>
      <c r="BB498" s="210"/>
      <c r="BC498" s="210"/>
      <c r="BD498" s="210"/>
      <c r="BE498" s="210"/>
      <c r="BF498" s="210"/>
      <c r="BG498" s="210"/>
      <c r="BH498" s="210"/>
      <c r="BI498" s="210"/>
      <c r="BJ498" s="210"/>
    </row>
    <row r="499" spans="1:62" ht="15" x14ac:dyDescent="0.2">
      <c r="A499" s="210"/>
      <c r="B499" s="210"/>
      <c r="C499" s="210"/>
      <c r="D499" s="210"/>
      <c r="E499" s="210"/>
      <c r="F499" s="210"/>
      <c r="G499" s="210"/>
      <c r="H499" s="210"/>
      <c r="I499" s="210"/>
      <c r="J499" s="210"/>
      <c r="K499" s="210"/>
      <c r="L499" s="210"/>
      <c r="M499" s="210"/>
      <c r="N499" s="210"/>
      <c r="O499" s="210"/>
      <c r="P499" s="210"/>
      <c r="Q499" s="210"/>
      <c r="R499" s="210"/>
      <c r="S499" s="210"/>
      <c r="T499" s="210"/>
      <c r="U499" s="210"/>
      <c r="V499" s="210"/>
      <c r="W499" s="210"/>
      <c r="X499" s="210"/>
      <c r="Y499" s="210"/>
      <c r="Z499" s="210"/>
      <c r="AA499" s="210"/>
      <c r="AB499" s="210"/>
      <c r="AC499" s="210"/>
      <c r="AD499" s="210"/>
      <c r="AE499" s="210"/>
      <c r="AF499" s="210"/>
      <c r="AG499" s="210"/>
      <c r="AH499" s="210"/>
      <c r="AI499" s="210"/>
      <c r="AJ499" s="210"/>
      <c r="AK499" s="210"/>
      <c r="AL499" s="210"/>
      <c r="AM499" s="210"/>
      <c r="AN499" s="210"/>
      <c r="AO499" s="210"/>
      <c r="AP499" s="210"/>
      <c r="AQ499" s="210"/>
      <c r="AR499" s="210"/>
      <c r="AS499" s="210"/>
      <c r="AT499" s="210"/>
      <c r="AU499" s="210"/>
      <c r="AV499" s="210"/>
      <c r="AW499" s="210"/>
      <c r="AX499" s="210"/>
      <c r="AY499" s="210"/>
      <c r="AZ499" s="210"/>
      <c r="BA499" s="210"/>
      <c r="BB499" s="210"/>
      <c r="BC499" s="210"/>
      <c r="BD499" s="210"/>
      <c r="BE499" s="210"/>
      <c r="BF499" s="210"/>
      <c r="BG499" s="210"/>
      <c r="BH499" s="210"/>
      <c r="BI499" s="210"/>
      <c r="BJ499" s="210"/>
    </row>
    <row r="500" spans="1:62" ht="15" x14ac:dyDescent="0.2">
      <c r="A500" s="210"/>
      <c r="B500" s="210"/>
      <c r="C500" s="210"/>
      <c r="D500" s="210"/>
      <c r="E500" s="210"/>
      <c r="F500" s="210"/>
      <c r="G500" s="210"/>
      <c r="H500" s="210"/>
      <c r="I500" s="210"/>
      <c r="J500" s="210"/>
      <c r="K500" s="210"/>
      <c r="L500" s="210"/>
      <c r="M500" s="210"/>
      <c r="N500" s="210"/>
      <c r="O500" s="210"/>
      <c r="P500" s="210"/>
      <c r="Q500" s="210"/>
      <c r="R500" s="210"/>
      <c r="S500" s="210"/>
      <c r="T500" s="210"/>
      <c r="U500" s="210"/>
      <c r="V500" s="210"/>
      <c r="W500" s="210"/>
      <c r="X500" s="210"/>
      <c r="Y500" s="210"/>
      <c r="Z500" s="210"/>
      <c r="AA500" s="210"/>
      <c r="AB500" s="210"/>
      <c r="AC500" s="210"/>
      <c r="AD500" s="210"/>
      <c r="AE500" s="210"/>
      <c r="AF500" s="210"/>
      <c r="AG500" s="210"/>
      <c r="AH500" s="210"/>
      <c r="AI500" s="210"/>
      <c r="AJ500" s="210"/>
      <c r="AK500" s="210"/>
      <c r="AL500" s="210"/>
      <c r="AM500" s="210"/>
      <c r="AN500" s="210"/>
      <c r="AO500" s="210"/>
      <c r="AP500" s="210"/>
      <c r="AQ500" s="210"/>
      <c r="AR500" s="210"/>
      <c r="AS500" s="210"/>
      <c r="AT500" s="210"/>
      <c r="AU500" s="210"/>
      <c r="AV500" s="210"/>
      <c r="AW500" s="210"/>
      <c r="AX500" s="210"/>
      <c r="AY500" s="210"/>
      <c r="AZ500" s="210"/>
      <c r="BA500" s="210"/>
      <c r="BB500" s="210"/>
      <c r="BC500" s="210"/>
      <c r="BD500" s="210"/>
      <c r="BE500" s="210"/>
      <c r="BF500" s="210"/>
      <c r="BG500" s="210"/>
      <c r="BH500" s="210"/>
      <c r="BI500" s="210"/>
      <c r="BJ500" s="210"/>
    </row>
    <row r="501" spans="1:62" ht="15" x14ac:dyDescent="0.2">
      <c r="A501" s="210"/>
      <c r="B501" s="210"/>
      <c r="C501" s="210"/>
      <c r="D501" s="210"/>
      <c r="E501" s="210"/>
      <c r="F501" s="210"/>
      <c r="G501" s="210"/>
      <c r="H501" s="210"/>
      <c r="I501" s="210"/>
      <c r="J501" s="210"/>
      <c r="K501" s="210"/>
      <c r="L501" s="210"/>
      <c r="M501" s="210"/>
      <c r="N501" s="210"/>
      <c r="O501" s="210"/>
      <c r="P501" s="210"/>
      <c r="Q501" s="210"/>
      <c r="R501" s="210"/>
      <c r="S501" s="210"/>
      <c r="T501" s="210"/>
      <c r="U501" s="210"/>
      <c r="V501" s="210"/>
      <c r="W501" s="210"/>
      <c r="X501" s="210"/>
      <c r="Y501" s="210"/>
      <c r="Z501" s="210"/>
      <c r="AA501" s="210"/>
      <c r="AB501" s="210"/>
      <c r="AC501" s="210"/>
      <c r="AD501" s="210"/>
      <c r="AE501" s="210"/>
      <c r="AF501" s="210"/>
      <c r="AG501" s="210"/>
      <c r="AH501" s="210"/>
      <c r="AI501" s="210"/>
      <c r="AJ501" s="210"/>
      <c r="AK501" s="210"/>
      <c r="AL501" s="210"/>
      <c r="AM501" s="210"/>
      <c r="AN501" s="210"/>
      <c r="AO501" s="210"/>
      <c r="AP501" s="210"/>
      <c r="AQ501" s="210"/>
      <c r="AR501" s="210"/>
      <c r="AS501" s="210"/>
      <c r="AT501" s="210"/>
      <c r="AU501" s="210"/>
      <c r="AV501" s="210"/>
      <c r="AW501" s="210"/>
      <c r="AX501" s="210"/>
      <c r="AY501" s="210"/>
      <c r="AZ501" s="210"/>
      <c r="BA501" s="210"/>
      <c r="BB501" s="210"/>
      <c r="BC501" s="210"/>
      <c r="BD501" s="210"/>
      <c r="BE501" s="210"/>
      <c r="BF501" s="210"/>
      <c r="BG501" s="210"/>
      <c r="BH501" s="210"/>
      <c r="BI501" s="210"/>
      <c r="BJ501" s="210"/>
    </row>
    <row r="502" spans="1:62" ht="15" x14ac:dyDescent="0.2">
      <c r="A502" s="210"/>
      <c r="B502" s="210"/>
      <c r="C502" s="210"/>
      <c r="D502" s="210"/>
      <c r="E502" s="210"/>
      <c r="F502" s="210"/>
      <c r="G502" s="210"/>
      <c r="H502" s="210"/>
      <c r="I502" s="210"/>
      <c r="J502" s="210"/>
      <c r="K502" s="210"/>
      <c r="L502" s="210"/>
      <c r="M502" s="210"/>
      <c r="N502" s="210"/>
      <c r="O502" s="210"/>
      <c r="P502" s="210"/>
      <c r="Q502" s="210"/>
      <c r="R502" s="210"/>
      <c r="S502" s="210"/>
      <c r="T502" s="210"/>
      <c r="U502" s="210"/>
      <c r="V502" s="210"/>
      <c r="W502" s="210"/>
      <c r="X502" s="210"/>
      <c r="Y502" s="210"/>
      <c r="Z502" s="210"/>
      <c r="AA502" s="210"/>
      <c r="AB502" s="210"/>
      <c r="AC502" s="210"/>
      <c r="AD502" s="210"/>
      <c r="AE502" s="210"/>
      <c r="AF502" s="210"/>
      <c r="AG502" s="210"/>
      <c r="AH502" s="210"/>
      <c r="AI502" s="210"/>
      <c r="AJ502" s="210"/>
      <c r="AK502" s="210"/>
      <c r="AL502" s="210"/>
      <c r="AM502" s="210"/>
      <c r="AN502" s="210"/>
      <c r="AO502" s="210"/>
      <c r="AP502" s="210"/>
      <c r="AQ502" s="210"/>
      <c r="AR502" s="210"/>
      <c r="AS502" s="210"/>
      <c r="AT502" s="210"/>
      <c r="AU502" s="210"/>
      <c r="AV502" s="210"/>
      <c r="AW502" s="210"/>
      <c r="AX502" s="210"/>
      <c r="AY502" s="210"/>
      <c r="AZ502" s="210"/>
      <c r="BA502" s="210"/>
      <c r="BB502" s="210"/>
      <c r="BC502" s="210"/>
      <c r="BD502" s="210"/>
      <c r="BE502" s="210"/>
      <c r="BF502" s="210"/>
      <c r="BG502" s="210"/>
      <c r="BH502" s="210"/>
      <c r="BI502" s="210"/>
      <c r="BJ502" s="210"/>
    </row>
    <row r="503" spans="1:62" ht="15" x14ac:dyDescent="0.2">
      <c r="A503" s="210"/>
      <c r="B503" s="210"/>
      <c r="C503" s="210"/>
      <c r="D503" s="210"/>
      <c r="E503" s="210"/>
      <c r="F503" s="210"/>
      <c r="G503" s="210"/>
      <c r="H503" s="210"/>
      <c r="I503" s="210"/>
      <c r="J503" s="210"/>
      <c r="K503" s="210"/>
      <c r="L503" s="210"/>
      <c r="M503" s="210"/>
      <c r="N503" s="210"/>
      <c r="O503" s="210"/>
      <c r="P503" s="210"/>
      <c r="Q503" s="210"/>
      <c r="R503" s="210"/>
      <c r="S503" s="210"/>
      <c r="T503" s="210"/>
      <c r="U503" s="210"/>
      <c r="V503" s="210"/>
      <c r="W503" s="210"/>
      <c r="X503" s="210"/>
      <c r="Y503" s="210"/>
      <c r="Z503" s="210"/>
      <c r="AA503" s="210"/>
      <c r="AB503" s="210"/>
      <c r="AC503" s="210"/>
      <c r="AD503" s="210"/>
      <c r="AE503" s="210"/>
      <c r="AF503" s="210"/>
      <c r="AG503" s="210"/>
      <c r="AH503" s="210"/>
      <c r="AI503" s="210"/>
      <c r="AJ503" s="210"/>
      <c r="AK503" s="210"/>
      <c r="AL503" s="210"/>
      <c r="AM503" s="210"/>
      <c r="AN503" s="210"/>
      <c r="AO503" s="210"/>
      <c r="AP503" s="210"/>
      <c r="AQ503" s="210"/>
      <c r="AR503" s="210"/>
      <c r="AS503" s="210"/>
      <c r="AT503" s="210"/>
      <c r="AU503" s="210"/>
      <c r="AV503" s="210"/>
      <c r="AW503" s="210"/>
      <c r="AX503" s="210"/>
      <c r="AY503" s="210"/>
      <c r="AZ503" s="210"/>
      <c r="BA503" s="210"/>
      <c r="BB503" s="210"/>
      <c r="BC503" s="210"/>
      <c r="BD503" s="210"/>
      <c r="BE503" s="210"/>
      <c r="BF503" s="210"/>
      <c r="BG503" s="210"/>
      <c r="BH503" s="210"/>
      <c r="BI503" s="210"/>
      <c r="BJ503" s="210"/>
    </row>
    <row r="504" spans="1:62" ht="15" x14ac:dyDescent="0.2">
      <c r="A504" s="210"/>
      <c r="B504" s="210"/>
      <c r="C504" s="210"/>
      <c r="D504" s="210"/>
      <c r="E504" s="210"/>
      <c r="F504" s="210"/>
      <c r="G504" s="210"/>
      <c r="H504" s="210"/>
      <c r="I504" s="210"/>
      <c r="J504" s="210"/>
      <c r="K504" s="210"/>
      <c r="L504" s="210"/>
      <c r="M504" s="210"/>
      <c r="N504" s="210"/>
      <c r="O504" s="210"/>
      <c r="P504" s="210"/>
      <c r="Q504" s="210"/>
      <c r="R504" s="210"/>
      <c r="S504" s="210"/>
      <c r="T504" s="210"/>
      <c r="U504" s="210"/>
      <c r="V504" s="210"/>
      <c r="W504" s="210"/>
      <c r="X504" s="210"/>
      <c r="Y504" s="210"/>
      <c r="Z504" s="210"/>
      <c r="AA504" s="210"/>
      <c r="AB504" s="210"/>
      <c r="AC504" s="210"/>
      <c r="AD504" s="210"/>
      <c r="AE504" s="210"/>
      <c r="AF504" s="210"/>
      <c r="AG504" s="210"/>
      <c r="AH504" s="210"/>
      <c r="AI504" s="210"/>
      <c r="AJ504" s="210"/>
      <c r="AK504" s="210"/>
      <c r="AL504" s="210"/>
      <c r="AM504" s="210"/>
      <c r="AN504" s="210"/>
      <c r="AO504" s="210"/>
      <c r="AP504" s="210"/>
      <c r="AQ504" s="210"/>
      <c r="AR504" s="210"/>
      <c r="AS504" s="210"/>
      <c r="AT504" s="210"/>
      <c r="AU504" s="210"/>
      <c r="AV504" s="210"/>
      <c r="AW504" s="210"/>
      <c r="AX504" s="210"/>
      <c r="AY504" s="210"/>
      <c r="AZ504" s="210"/>
      <c r="BA504" s="210"/>
      <c r="BB504" s="210"/>
      <c r="BC504" s="210"/>
      <c r="BD504" s="210"/>
      <c r="BE504" s="210"/>
      <c r="BF504" s="210"/>
      <c r="BG504" s="210"/>
      <c r="BH504" s="210"/>
      <c r="BI504" s="210"/>
      <c r="BJ504" s="210"/>
    </row>
    <row r="505" spans="1:62" ht="15" x14ac:dyDescent="0.2">
      <c r="A505" s="210"/>
      <c r="B505" s="210"/>
      <c r="C505" s="210"/>
      <c r="D505" s="210"/>
      <c r="E505" s="210"/>
      <c r="F505" s="210"/>
      <c r="G505" s="210"/>
      <c r="H505" s="210"/>
      <c r="I505" s="210"/>
      <c r="J505" s="210"/>
      <c r="K505" s="210"/>
      <c r="L505" s="210"/>
      <c r="M505" s="210"/>
      <c r="N505" s="210"/>
      <c r="O505" s="210"/>
      <c r="P505" s="210"/>
      <c r="Q505" s="210"/>
      <c r="R505" s="210"/>
      <c r="S505" s="210"/>
      <c r="T505" s="210"/>
      <c r="U505" s="210"/>
      <c r="V505" s="210"/>
      <c r="W505" s="210"/>
      <c r="X505" s="210"/>
      <c r="Y505" s="210"/>
      <c r="Z505" s="210"/>
      <c r="AA505" s="210"/>
      <c r="AB505" s="210"/>
      <c r="AC505" s="210"/>
      <c r="AD505" s="210"/>
      <c r="AE505" s="210"/>
      <c r="AF505" s="210"/>
      <c r="AG505" s="210"/>
      <c r="AH505" s="210"/>
      <c r="AI505" s="210"/>
      <c r="AJ505" s="210"/>
      <c r="AK505" s="210"/>
      <c r="AL505" s="210"/>
      <c r="AM505" s="210"/>
      <c r="AN505" s="210"/>
      <c r="AO505" s="210"/>
      <c r="AP505" s="210"/>
      <c r="AQ505" s="210"/>
      <c r="AR505" s="210"/>
      <c r="AS505" s="210"/>
      <c r="AT505" s="210"/>
      <c r="AU505" s="210"/>
      <c r="AV505" s="210"/>
      <c r="AW505" s="210"/>
      <c r="AX505" s="210"/>
      <c r="AY505" s="210"/>
      <c r="AZ505" s="210"/>
      <c r="BA505" s="210"/>
      <c r="BB505" s="210"/>
      <c r="BC505" s="210"/>
      <c r="BD505" s="210"/>
      <c r="BE505" s="210"/>
      <c r="BF505" s="210"/>
      <c r="BG505" s="210"/>
      <c r="BH505" s="210"/>
      <c r="BI505" s="210"/>
      <c r="BJ505" s="210"/>
    </row>
    <row r="506" spans="1:62" ht="15" x14ac:dyDescent="0.2">
      <c r="A506" s="210"/>
      <c r="B506" s="210"/>
      <c r="C506" s="210"/>
      <c r="D506" s="210"/>
      <c r="E506" s="210"/>
      <c r="F506" s="210"/>
      <c r="G506" s="210"/>
      <c r="H506" s="210"/>
      <c r="I506" s="210"/>
      <c r="J506" s="210"/>
      <c r="K506" s="210"/>
      <c r="L506" s="210"/>
      <c r="M506" s="210"/>
      <c r="N506" s="210"/>
      <c r="O506" s="210"/>
      <c r="P506" s="210"/>
      <c r="Q506" s="210"/>
      <c r="R506" s="210"/>
      <c r="S506" s="210"/>
      <c r="T506" s="210"/>
      <c r="U506" s="210"/>
      <c r="V506" s="210"/>
      <c r="W506" s="210"/>
      <c r="X506" s="210"/>
      <c r="Y506" s="210"/>
      <c r="Z506" s="210"/>
      <c r="AA506" s="210"/>
      <c r="AB506" s="210"/>
      <c r="AC506" s="210"/>
      <c r="AD506" s="210"/>
      <c r="AE506" s="210"/>
      <c r="AF506" s="210"/>
      <c r="AG506" s="210"/>
      <c r="AH506" s="210"/>
      <c r="AI506" s="210"/>
      <c r="AJ506" s="210"/>
      <c r="AK506" s="210"/>
      <c r="AL506" s="210"/>
      <c r="AM506" s="210"/>
      <c r="AN506" s="210"/>
      <c r="AO506" s="210"/>
      <c r="AP506" s="210"/>
      <c r="AQ506" s="210"/>
      <c r="AR506" s="210"/>
      <c r="AS506" s="210"/>
      <c r="AT506" s="210"/>
      <c r="AU506" s="210"/>
      <c r="AV506" s="210"/>
      <c r="AW506" s="210"/>
      <c r="AX506" s="210"/>
      <c r="AY506" s="210"/>
      <c r="AZ506" s="210"/>
      <c r="BA506" s="210"/>
      <c r="BB506" s="210"/>
      <c r="BC506" s="210"/>
      <c r="BD506" s="210"/>
      <c r="BE506" s="210"/>
      <c r="BF506" s="210"/>
      <c r="BG506" s="210"/>
      <c r="BH506" s="210"/>
      <c r="BI506" s="210"/>
      <c r="BJ506" s="210"/>
    </row>
    <row r="507" spans="1:62" ht="15" x14ac:dyDescent="0.2">
      <c r="A507" s="210"/>
      <c r="B507" s="210"/>
      <c r="C507" s="210"/>
      <c r="D507" s="210"/>
      <c r="E507" s="210"/>
      <c r="F507" s="210"/>
      <c r="G507" s="210"/>
      <c r="H507" s="210"/>
      <c r="I507" s="210"/>
      <c r="J507" s="210"/>
      <c r="K507" s="210"/>
      <c r="L507" s="210"/>
      <c r="M507" s="210"/>
      <c r="N507" s="210"/>
      <c r="O507" s="210"/>
      <c r="P507" s="210"/>
      <c r="Q507" s="210"/>
      <c r="R507" s="210"/>
      <c r="S507" s="210"/>
      <c r="T507" s="210"/>
      <c r="U507" s="210"/>
      <c r="V507" s="210"/>
      <c r="W507" s="210"/>
      <c r="X507" s="210"/>
      <c r="Y507" s="210"/>
      <c r="Z507" s="210"/>
      <c r="AA507" s="210"/>
      <c r="AB507" s="210"/>
      <c r="AC507" s="210"/>
      <c r="AD507" s="210"/>
      <c r="AE507" s="210"/>
      <c r="AF507" s="210"/>
      <c r="AG507" s="210"/>
      <c r="AH507" s="210"/>
      <c r="AI507" s="210"/>
      <c r="AJ507" s="210"/>
      <c r="AK507" s="210"/>
      <c r="AL507" s="210"/>
      <c r="AM507" s="210"/>
      <c r="AN507" s="210"/>
      <c r="AO507" s="210"/>
      <c r="AP507" s="210"/>
      <c r="AQ507" s="210"/>
      <c r="AR507" s="210"/>
      <c r="AS507" s="210"/>
      <c r="AT507" s="210"/>
      <c r="AU507" s="210"/>
      <c r="AV507" s="210"/>
      <c r="AW507" s="210"/>
      <c r="AX507" s="210"/>
      <c r="AY507" s="210"/>
      <c r="AZ507" s="210"/>
      <c r="BA507" s="210"/>
      <c r="BB507" s="210"/>
      <c r="BC507" s="210"/>
      <c r="BD507" s="210"/>
      <c r="BE507" s="210"/>
      <c r="BF507" s="210"/>
      <c r="BG507" s="210"/>
      <c r="BH507" s="210"/>
      <c r="BI507" s="210"/>
      <c r="BJ507" s="210"/>
    </row>
    <row r="508" spans="1:62" ht="15" x14ac:dyDescent="0.2">
      <c r="A508" s="210"/>
      <c r="B508" s="210"/>
      <c r="C508" s="210"/>
      <c r="D508" s="210"/>
      <c r="E508" s="210"/>
      <c r="F508" s="210"/>
      <c r="G508" s="210"/>
      <c r="H508" s="210"/>
      <c r="I508" s="210"/>
      <c r="J508" s="210"/>
      <c r="K508" s="210"/>
      <c r="L508" s="210"/>
      <c r="M508" s="210"/>
      <c r="N508" s="210"/>
      <c r="O508" s="210"/>
      <c r="P508" s="210"/>
      <c r="Q508" s="210"/>
      <c r="R508" s="210"/>
      <c r="S508" s="210"/>
      <c r="T508" s="210"/>
      <c r="U508" s="210"/>
      <c r="V508" s="210"/>
      <c r="W508" s="210"/>
      <c r="X508" s="210"/>
      <c r="Y508" s="210"/>
      <c r="Z508" s="210"/>
      <c r="AA508" s="210"/>
      <c r="AB508" s="210"/>
      <c r="AC508" s="210"/>
      <c r="AD508" s="210"/>
      <c r="AE508" s="210"/>
      <c r="AF508" s="210"/>
      <c r="AG508" s="210"/>
      <c r="AH508" s="210"/>
      <c r="AI508" s="210"/>
      <c r="AJ508" s="210"/>
      <c r="AK508" s="210"/>
      <c r="AL508" s="210"/>
      <c r="AM508" s="210"/>
      <c r="AN508" s="210"/>
      <c r="AO508" s="210"/>
      <c r="AP508" s="210"/>
      <c r="AQ508" s="210"/>
      <c r="AR508" s="210"/>
      <c r="AS508" s="210"/>
      <c r="AT508" s="210"/>
      <c r="AU508" s="210"/>
      <c r="AV508" s="210"/>
      <c r="AW508" s="210"/>
      <c r="AX508" s="210"/>
      <c r="AY508" s="210"/>
      <c r="AZ508" s="210"/>
      <c r="BA508" s="210"/>
      <c r="BB508" s="210"/>
      <c r="BC508" s="210"/>
      <c r="BD508" s="210"/>
      <c r="BE508" s="210"/>
      <c r="BF508" s="210"/>
      <c r="BG508" s="210"/>
      <c r="BH508" s="210"/>
      <c r="BI508" s="210"/>
      <c r="BJ508" s="210"/>
    </row>
    <row r="509" spans="1:62" ht="15" x14ac:dyDescent="0.2">
      <c r="A509" s="210"/>
      <c r="B509" s="210"/>
      <c r="C509" s="210"/>
      <c r="D509" s="210"/>
      <c r="E509" s="210"/>
      <c r="F509" s="210"/>
      <c r="G509" s="210"/>
      <c r="H509" s="210"/>
      <c r="I509" s="210"/>
      <c r="J509" s="210"/>
      <c r="K509" s="210"/>
      <c r="L509" s="210"/>
      <c r="M509" s="210"/>
      <c r="N509" s="210"/>
      <c r="O509" s="210"/>
      <c r="P509" s="210"/>
      <c r="Q509" s="210"/>
      <c r="R509" s="210"/>
      <c r="S509" s="210"/>
      <c r="T509" s="210"/>
      <c r="U509" s="210"/>
      <c r="V509" s="210"/>
      <c r="W509" s="210"/>
      <c r="X509" s="210"/>
      <c r="Y509" s="210"/>
      <c r="Z509" s="210"/>
      <c r="AA509" s="210"/>
      <c r="AB509" s="210"/>
      <c r="AC509" s="210"/>
      <c r="AD509" s="210"/>
      <c r="AE509" s="210"/>
      <c r="AF509" s="210"/>
      <c r="AG509" s="210"/>
      <c r="AH509" s="210"/>
      <c r="AI509" s="210"/>
      <c r="AJ509" s="210"/>
      <c r="AK509" s="210"/>
      <c r="AL509" s="210"/>
      <c r="AM509" s="210"/>
      <c r="AN509" s="210"/>
      <c r="AO509" s="210"/>
      <c r="AP509" s="210"/>
      <c r="AQ509" s="210"/>
      <c r="AR509" s="210"/>
      <c r="AS509" s="210"/>
      <c r="AT509" s="210"/>
      <c r="AU509" s="210"/>
      <c r="AV509" s="210"/>
      <c r="AW509" s="210"/>
      <c r="AX509" s="210"/>
      <c r="AY509" s="210"/>
      <c r="AZ509" s="210"/>
      <c r="BA509" s="210"/>
      <c r="BB509" s="210"/>
      <c r="BC509" s="210"/>
      <c r="BD509" s="210"/>
      <c r="BE509" s="210"/>
      <c r="BF509" s="210"/>
      <c r="BG509" s="210"/>
      <c r="BH509" s="210"/>
      <c r="BI509" s="210"/>
      <c r="BJ509" s="210"/>
    </row>
    <row r="510" spans="1:62" ht="15" x14ac:dyDescent="0.2">
      <c r="A510" s="210"/>
      <c r="B510" s="210"/>
      <c r="C510" s="210"/>
      <c r="D510" s="210"/>
      <c r="E510" s="210"/>
      <c r="F510" s="210"/>
      <c r="G510" s="210"/>
      <c r="H510" s="210"/>
      <c r="I510" s="210"/>
      <c r="J510" s="210"/>
      <c r="K510" s="210"/>
      <c r="L510" s="210"/>
      <c r="M510" s="210"/>
      <c r="N510" s="210"/>
      <c r="O510" s="210"/>
      <c r="P510" s="210"/>
      <c r="Q510" s="210"/>
      <c r="R510" s="210"/>
      <c r="S510" s="210"/>
      <c r="T510" s="210"/>
      <c r="U510" s="210"/>
      <c r="V510" s="210"/>
      <c r="W510" s="210"/>
      <c r="X510" s="210"/>
      <c r="Y510" s="210"/>
      <c r="Z510" s="210"/>
      <c r="AA510" s="210"/>
      <c r="AB510" s="210"/>
      <c r="AC510" s="210"/>
      <c r="AD510" s="210"/>
      <c r="AE510" s="210"/>
      <c r="AF510" s="210"/>
      <c r="AG510" s="210"/>
      <c r="AH510" s="210"/>
      <c r="AI510" s="210"/>
      <c r="AJ510" s="210"/>
      <c r="AK510" s="210"/>
      <c r="AL510" s="210"/>
      <c r="AM510" s="210"/>
      <c r="AN510" s="210"/>
      <c r="AO510" s="210"/>
      <c r="AP510" s="210"/>
      <c r="AQ510" s="210"/>
      <c r="AR510" s="210"/>
      <c r="AS510" s="210"/>
      <c r="AT510" s="210"/>
      <c r="AU510" s="210"/>
      <c r="AV510" s="210"/>
      <c r="AW510" s="210"/>
      <c r="AX510" s="210"/>
      <c r="AY510" s="210"/>
      <c r="AZ510" s="210"/>
      <c r="BA510" s="210"/>
      <c r="BB510" s="210"/>
      <c r="BC510" s="210"/>
      <c r="BD510" s="210"/>
      <c r="BE510" s="210"/>
      <c r="BF510" s="210"/>
      <c r="BG510" s="210"/>
      <c r="BH510" s="210"/>
      <c r="BI510" s="210"/>
      <c r="BJ510" s="210"/>
    </row>
    <row r="511" spans="1:62" ht="15" x14ac:dyDescent="0.2">
      <c r="A511" s="210"/>
      <c r="B511" s="210"/>
      <c r="C511" s="210"/>
      <c r="D511" s="210"/>
      <c r="E511" s="210"/>
      <c r="F511" s="210"/>
      <c r="G511" s="210"/>
      <c r="H511" s="210"/>
      <c r="I511" s="210"/>
      <c r="J511" s="210"/>
      <c r="K511" s="210"/>
      <c r="L511" s="210"/>
      <c r="M511" s="210"/>
      <c r="N511" s="210"/>
      <c r="O511" s="210"/>
      <c r="P511" s="210"/>
      <c r="Q511" s="210"/>
      <c r="R511" s="210"/>
      <c r="S511" s="210"/>
      <c r="T511" s="210"/>
      <c r="U511" s="210"/>
      <c r="V511" s="210"/>
      <c r="W511" s="210"/>
      <c r="X511" s="210"/>
      <c r="Y511" s="210"/>
      <c r="Z511" s="210"/>
      <c r="AA511" s="210"/>
      <c r="AB511" s="210"/>
      <c r="AC511" s="210"/>
      <c r="AD511" s="210"/>
      <c r="AE511" s="210"/>
      <c r="AF511" s="210"/>
      <c r="AG511" s="210"/>
      <c r="AH511" s="210"/>
      <c r="AI511" s="210"/>
      <c r="AJ511" s="210"/>
      <c r="AK511" s="210"/>
      <c r="AL511" s="210"/>
      <c r="AM511" s="210"/>
      <c r="AN511" s="210"/>
      <c r="AO511" s="210"/>
      <c r="AP511" s="210"/>
      <c r="AQ511" s="210"/>
      <c r="AR511" s="210"/>
      <c r="AS511" s="210"/>
      <c r="AT511" s="210"/>
      <c r="AU511" s="210"/>
      <c r="AV511" s="210"/>
      <c r="AW511" s="210"/>
      <c r="AX511" s="210"/>
      <c r="AY511" s="210"/>
      <c r="AZ511" s="210"/>
      <c r="BA511" s="210"/>
      <c r="BB511" s="210"/>
      <c r="BC511" s="210"/>
      <c r="BD511" s="210"/>
      <c r="BE511" s="210"/>
      <c r="BF511" s="210"/>
      <c r="BG511" s="210"/>
      <c r="BH511" s="210"/>
      <c r="BI511" s="210"/>
      <c r="BJ511" s="210"/>
    </row>
    <row r="512" spans="1:62" ht="15" x14ac:dyDescent="0.2">
      <c r="A512" s="210"/>
      <c r="B512" s="210"/>
      <c r="C512" s="210"/>
      <c r="D512" s="210"/>
      <c r="E512" s="210"/>
      <c r="F512" s="210"/>
      <c r="G512" s="210"/>
      <c r="H512" s="210"/>
      <c r="I512" s="210"/>
      <c r="J512" s="210"/>
      <c r="K512" s="210"/>
      <c r="L512" s="210"/>
      <c r="M512" s="210"/>
      <c r="N512" s="210"/>
      <c r="O512" s="210"/>
      <c r="P512" s="210"/>
      <c r="Q512" s="210"/>
      <c r="R512" s="210"/>
      <c r="S512" s="210"/>
      <c r="T512" s="210"/>
      <c r="U512" s="210"/>
      <c r="V512" s="210"/>
      <c r="W512" s="210"/>
      <c r="X512" s="210"/>
      <c r="Y512" s="210"/>
      <c r="Z512" s="210"/>
      <c r="AA512" s="210"/>
      <c r="AB512" s="210"/>
      <c r="AC512" s="210"/>
      <c r="AD512" s="210"/>
      <c r="AE512" s="210"/>
      <c r="AF512" s="210"/>
      <c r="AG512" s="210"/>
      <c r="AH512" s="210"/>
      <c r="AI512" s="210"/>
      <c r="AJ512" s="210"/>
      <c r="AK512" s="210"/>
      <c r="AL512" s="210"/>
      <c r="AM512" s="210"/>
      <c r="AN512" s="210"/>
      <c r="AO512" s="210"/>
      <c r="AP512" s="210"/>
      <c r="AQ512" s="210"/>
      <c r="AR512" s="210"/>
      <c r="AS512" s="210"/>
      <c r="AT512" s="210"/>
      <c r="AU512" s="210"/>
      <c r="AV512" s="210"/>
      <c r="AW512" s="210"/>
      <c r="AX512" s="210"/>
      <c r="AY512" s="210"/>
      <c r="AZ512" s="210"/>
      <c r="BA512" s="210"/>
      <c r="BB512" s="210"/>
      <c r="BC512" s="210"/>
      <c r="BD512" s="210"/>
      <c r="BE512" s="210"/>
      <c r="BF512" s="210"/>
      <c r="BG512" s="210"/>
      <c r="BH512" s="210"/>
      <c r="BI512" s="210"/>
      <c r="BJ512" s="210"/>
    </row>
    <row r="513" spans="1:62" ht="15" x14ac:dyDescent="0.2">
      <c r="A513" s="210"/>
      <c r="B513" s="210"/>
      <c r="C513" s="210"/>
      <c r="D513" s="210"/>
      <c r="E513" s="210"/>
      <c r="F513" s="210"/>
      <c r="G513" s="210"/>
      <c r="H513" s="210"/>
      <c r="I513" s="210"/>
      <c r="J513" s="210"/>
      <c r="K513" s="210"/>
      <c r="L513" s="210"/>
      <c r="M513" s="210"/>
      <c r="N513" s="210"/>
      <c r="O513" s="210"/>
      <c r="P513" s="210"/>
      <c r="Q513" s="210"/>
      <c r="R513" s="210"/>
      <c r="S513" s="210"/>
      <c r="T513" s="210"/>
      <c r="U513" s="210"/>
      <c r="V513" s="210"/>
      <c r="W513" s="210"/>
      <c r="X513" s="210"/>
      <c r="Y513" s="210"/>
      <c r="Z513" s="210"/>
      <c r="AA513" s="210"/>
      <c r="AB513" s="210"/>
      <c r="AC513" s="210"/>
      <c r="AD513" s="210"/>
      <c r="AE513" s="210"/>
      <c r="AF513" s="210"/>
      <c r="AG513" s="210"/>
      <c r="AH513" s="210"/>
      <c r="AI513" s="210"/>
      <c r="AJ513" s="210"/>
      <c r="AK513" s="210"/>
      <c r="AL513" s="210"/>
      <c r="AM513" s="210"/>
      <c r="AN513" s="210"/>
      <c r="AO513" s="210"/>
      <c r="AP513" s="210"/>
      <c r="AQ513" s="210"/>
      <c r="AR513" s="210"/>
      <c r="AS513" s="210"/>
      <c r="AT513" s="210"/>
      <c r="AU513" s="210"/>
      <c r="AV513" s="210"/>
      <c r="AW513" s="210"/>
      <c r="AX513" s="210"/>
      <c r="AY513" s="210"/>
      <c r="AZ513" s="210"/>
      <c r="BA513" s="210"/>
      <c r="BB513" s="210"/>
      <c r="BC513" s="210"/>
      <c r="BD513" s="210"/>
      <c r="BE513" s="210"/>
      <c r="BF513" s="210"/>
      <c r="BG513" s="210"/>
      <c r="BH513" s="210"/>
      <c r="BI513" s="210"/>
      <c r="BJ513" s="210"/>
    </row>
    <row r="514" spans="1:62" ht="15" x14ac:dyDescent="0.2">
      <c r="A514" s="210"/>
      <c r="B514" s="210"/>
      <c r="C514" s="210"/>
      <c r="D514" s="210"/>
      <c r="E514" s="210"/>
      <c r="F514" s="210"/>
      <c r="G514" s="210"/>
      <c r="H514" s="210"/>
      <c r="I514" s="210"/>
      <c r="J514" s="210"/>
      <c r="K514" s="210"/>
      <c r="L514" s="210"/>
      <c r="M514" s="210"/>
      <c r="N514" s="210"/>
      <c r="O514" s="210"/>
      <c r="P514" s="210"/>
      <c r="Q514" s="210"/>
      <c r="R514" s="210"/>
      <c r="S514" s="210"/>
      <c r="T514" s="210"/>
      <c r="U514" s="210"/>
      <c r="V514" s="210"/>
      <c r="W514" s="210"/>
      <c r="X514" s="210"/>
      <c r="Y514" s="210"/>
      <c r="Z514" s="210"/>
      <c r="AA514" s="210"/>
      <c r="AB514" s="210"/>
      <c r="AC514" s="210"/>
      <c r="AD514" s="210"/>
      <c r="AE514" s="210"/>
      <c r="AF514" s="210"/>
      <c r="AG514" s="210"/>
      <c r="AH514" s="210"/>
      <c r="AI514" s="210"/>
      <c r="AJ514" s="210"/>
      <c r="AK514" s="210"/>
      <c r="AL514" s="210"/>
      <c r="AM514" s="210"/>
      <c r="AN514" s="210"/>
      <c r="AO514" s="210"/>
      <c r="AP514" s="210"/>
      <c r="AQ514" s="210"/>
      <c r="AR514" s="210"/>
      <c r="AS514" s="210"/>
      <c r="AT514" s="210"/>
      <c r="AU514" s="210"/>
      <c r="AV514" s="210"/>
      <c r="AW514" s="210"/>
      <c r="AX514" s="210"/>
      <c r="AY514" s="210"/>
      <c r="AZ514" s="210"/>
      <c r="BA514" s="210"/>
      <c r="BB514" s="210"/>
      <c r="BC514" s="210"/>
      <c r="BD514" s="210"/>
      <c r="BE514" s="210"/>
      <c r="BF514" s="210"/>
      <c r="BG514" s="210"/>
      <c r="BH514" s="210"/>
      <c r="BI514" s="210"/>
      <c r="BJ514" s="210"/>
    </row>
    <row r="515" spans="1:62" ht="15" x14ac:dyDescent="0.2">
      <c r="A515" s="210"/>
      <c r="B515" s="210"/>
      <c r="C515" s="210"/>
      <c r="D515" s="210"/>
      <c r="E515" s="210"/>
      <c r="F515" s="210"/>
      <c r="G515" s="210"/>
      <c r="H515" s="210"/>
      <c r="I515" s="210"/>
      <c r="J515" s="210"/>
      <c r="K515" s="210"/>
      <c r="L515" s="210"/>
      <c r="M515" s="210"/>
      <c r="N515" s="210"/>
      <c r="O515" s="210"/>
      <c r="P515" s="210"/>
      <c r="Q515" s="210"/>
      <c r="R515" s="210"/>
      <c r="S515" s="210"/>
      <c r="T515" s="210"/>
      <c r="U515" s="210"/>
      <c r="V515" s="210"/>
      <c r="W515" s="210"/>
      <c r="X515" s="210"/>
      <c r="Y515" s="210"/>
      <c r="Z515" s="210"/>
      <c r="AA515" s="210"/>
      <c r="AB515" s="210"/>
      <c r="AC515" s="210"/>
      <c r="AD515" s="210"/>
      <c r="AE515" s="210"/>
      <c r="AF515" s="210"/>
      <c r="AG515" s="210"/>
      <c r="AH515" s="210"/>
      <c r="AI515" s="210"/>
      <c r="AJ515" s="210"/>
      <c r="AK515" s="210"/>
      <c r="AL515" s="210"/>
      <c r="AM515" s="210"/>
      <c r="AN515" s="210"/>
      <c r="AO515" s="210"/>
      <c r="AP515" s="210"/>
      <c r="AQ515" s="210"/>
      <c r="AR515" s="210"/>
      <c r="AS515" s="210"/>
      <c r="AT515" s="210"/>
      <c r="AU515" s="210"/>
      <c r="AV515" s="210"/>
      <c r="AW515" s="210"/>
      <c r="AX515" s="210"/>
      <c r="AY515" s="210"/>
      <c r="AZ515" s="210"/>
      <c r="BA515" s="210"/>
      <c r="BB515" s="210"/>
      <c r="BC515" s="210"/>
      <c r="BD515" s="210"/>
      <c r="BE515" s="210"/>
      <c r="BF515" s="210"/>
      <c r="BG515" s="210"/>
      <c r="BH515" s="210"/>
      <c r="BI515" s="210"/>
      <c r="BJ515" s="210"/>
    </row>
    <row r="516" spans="1:62" ht="15" x14ac:dyDescent="0.2">
      <c r="A516" s="210"/>
      <c r="B516" s="210"/>
      <c r="C516" s="210"/>
      <c r="D516" s="210"/>
      <c r="E516" s="210"/>
      <c r="F516" s="210"/>
      <c r="G516" s="210"/>
      <c r="H516" s="210"/>
      <c r="I516" s="210"/>
      <c r="J516" s="210"/>
      <c r="K516" s="210"/>
      <c r="L516" s="210"/>
      <c r="M516" s="210"/>
      <c r="N516" s="210"/>
      <c r="O516" s="210"/>
      <c r="P516" s="210"/>
      <c r="Q516" s="210"/>
      <c r="R516" s="210"/>
      <c r="S516" s="210"/>
      <c r="T516" s="210"/>
      <c r="U516" s="210"/>
      <c r="V516" s="210"/>
      <c r="W516" s="210"/>
      <c r="X516" s="210"/>
      <c r="Y516" s="210"/>
      <c r="Z516" s="210"/>
      <c r="AA516" s="210"/>
      <c r="AB516" s="210"/>
      <c r="AC516" s="210"/>
      <c r="AD516" s="210"/>
      <c r="AE516" s="210"/>
      <c r="AF516" s="210"/>
      <c r="AG516" s="210"/>
      <c r="AH516" s="210"/>
      <c r="AI516" s="210"/>
      <c r="AJ516" s="210"/>
      <c r="AK516" s="210"/>
      <c r="AL516" s="210"/>
      <c r="AM516" s="210"/>
      <c r="AN516" s="210"/>
      <c r="AO516" s="210"/>
      <c r="AP516" s="210"/>
      <c r="AQ516" s="210"/>
      <c r="AR516" s="210"/>
      <c r="AS516" s="210"/>
      <c r="AT516" s="210"/>
      <c r="AU516" s="210"/>
      <c r="AV516" s="210"/>
      <c r="AW516" s="210"/>
      <c r="AX516" s="210"/>
      <c r="AY516" s="210"/>
      <c r="AZ516" s="210"/>
      <c r="BA516" s="210"/>
      <c r="BB516" s="210"/>
      <c r="BC516" s="210"/>
      <c r="BD516" s="210"/>
      <c r="BE516" s="210"/>
      <c r="BF516" s="210"/>
      <c r="BG516" s="210"/>
      <c r="BH516" s="210"/>
      <c r="BI516" s="210"/>
      <c r="BJ516" s="210"/>
    </row>
    <row r="517" spans="1:62" ht="15" x14ac:dyDescent="0.2">
      <c r="A517" s="210"/>
      <c r="B517" s="210"/>
      <c r="C517" s="210"/>
      <c r="D517" s="210"/>
      <c r="E517" s="210"/>
      <c r="F517" s="210"/>
      <c r="G517" s="210"/>
      <c r="H517" s="210"/>
      <c r="I517" s="210"/>
      <c r="J517" s="210"/>
      <c r="K517" s="210"/>
      <c r="L517" s="210"/>
      <c r="M517" s="210"/>
      <c r="N517" s="210"/>
      <c r="O517" s="210"/>
      <c r="P517" s="210"/>
      <c r="Q517" s="210"/>
      <c r="R517" s="210"/>
      <c r="S517" s="210"/>
      <c r="T517" s="210"/>
      <c r="U517" s="210"/>
      <c r="V517" s="210"/>
      <c r="W517" s="210"/>
      <c r="X517" s="210"/>
      <c r="Y517" s="210"/>
      <c r="Z517" s="210"/>
      <c r="AA517" s="210"/>
      <c r="AB517" s="210"/>
      <c r="AC517" s="210"/>
      <c r="AD517" s="210"/>
      <c r="AE517" s="210"/>
      <c r="AF517" s="210"/>
      <c r="AG517" s="210"/>
      <c r="AH517" s="210"/>
      <c r="AI517" s="210"/>
      <c r="AJ517" s="210"/>
      <c r="AK517" s="210"/>
      <c r="AL517" s="210"/>
      <c r="AM517" s="210"/>
      <c r="AN517" s="210"/>
      <c r="AO517" s="210"/>
      <c r="AP517" s="210"/>
      <c r="AQ517" s="210"/>
      <c r="AR517" s="210"/>
      <c r="AS517" s="210"/>
      <c r="AT517" s="210"/>
      <c r="AU517" s="210"/>
      <c r="AV517" s="210"/>
      <c r="AW517" s="210"/>
      <c r="AX517" s="210"/>
      <c r="AY517" s="210"/>
      <c r="AZ517" s="210"/>
      <c r="BA517" s="210"/>
      <c r="BB517" s="210"/>
      <c r="BC517" s="210"/>
      <c r="BD517" s="210"/>
      <c r="BE517" s="210"/>
      <c r="BF517" s="210"/>
      <c r="BG517" s="210"/>
      <c r="BH517" s="210"/>
      <c r="BI517" s="210"/>
      <c r="BJ517" s="210"/>
    </row>
    <row r="518" spans="1:62" ht="15" x14ac:dyDescent="0.2">
      <c r="A518" s="210"/>
      <c r="B518" s="210"/>
      <c r="C518" s="210"/>
      <c r="D518" s="210"/>
      <c r="E518" s="210"/>
      <c r="F518" s="210"/>
      <c r="G518" s="210"/>
      <c r="H518" s="210"/>
      <c r="I518" s="210"/>
      <c r="J518" s="210"/>
      <c r="K518" s="210"/>
      <c r="L518" s="210"/>
      <c r="M518" s="210"/>
      <c r="N518" s="210"/>
      <c r="O518" s="210"/>
      <c r="P518" s="210"/>
      <c r="Q518" s="210"/>
      <c r="R518" s="210"/>
      <c r="S518" s="210"/>
      <c r="T518" s="210"/>
      <c r="U518" s="210"/>
      <c r="V518" s="210"/>
      <c r="W518" s="210"/>
      <c r="X518" s="210"/>
      <c r="Y518" s="210"/>
      <c r="Z518" s="210"/>
      <c r="AA518" s="210"/>
      <c r="AB518" s="210"/>
      <c r="AC518" s="210"/>
      <c r="AD518" s="210"/>
      <c r="AE518" s="210"/>
      <c r="AF518" s="210"/>
      <c r="AG518" s="210"/>
      <c r="AH518" s="210"/>
      <c r="AI518" s="210"/>
      <c r="AJ518" s="210"/>
      <c r="AK518" s="210"/>
      <c r="AL518" s="210"/>
      <c r="AM518" s="210"/>
      <c r="AN518" s="210"/>
      <c r="AO518" s="210"/>
      <c r="AP518" s="210"/>
      <c r="AQ518" s="210"/>
      <c r="AR518" s="210"/>
      <c r="AS518" s="210"/>
      <c r="AT518" s="210"/>
      <c r="AU518" s="210"/>
      <c r="AV518" s="210"/>
      <c r="AW518" s="210"/>
      <c r="AX518" s="210"/>
      <c r="AY518" s="210"/>
      <c r="AZ518" s="210"/>
      <c r="BA518" s="210"/>
      <c r="BB518" s="210"/>
      <c r="BC518" s="210"/>
      <c r="BD518" s="210"/>
      <c r="BE518" s="210"/>
      <c r="BF518" s="210"/>
      <c r="BG518" s="210"/>
      <c r="BH518" s="210"/>
      <c r="BI518" s="210"/>
      <c r="BJ518" s="210"/>
    </row>
    <row r="519" spans="1:62" ht="15" x14ac:dyDescent="0.2">
      <c r="A519" s="210"/>
      <c r="B519" s="210"/>
      <c r="C519" s="210"/>
      <c r="D519" s="210"/>
      <c r="E519" s="210"/>
      <c r="F519" s="210"/>
      <c r="G519" s="210"/>
      <c r="H519" s="210"/>
      <c r="I519" s="210"/>
      <c r="J519" s="210"/>
      <c r="K519" s="210"/>
      <c r="L519" s="210"/>
      <c r="M519" s="210"/>
      <c r="N519" s="210"/>
      <c r="O519" s="210"/>
      <c r="P519" s="210"/>
      <c r="Q519" s="210"/>
      <c r="R519" s="210"/>
      <c r="S519" s="210"/>
      <c r="T519" s="210"/>
      <c r="U519" s="210"/>
      <c r="V519" s="210"/>
      <c r="W519" s="210"/>
      <c r="X519" s="210"/>
      <c r="Y519" s="210"/>
      <c r="Z519" s="210"/>
      <c r="AA519" s="210"/>
      <c r="AB519" s="210"/>
      <c r="AC519" s="210"/>
      <c r="AD519" s="210"/>
      <c r="AE519" s="210"/>
      <c r="AF519" s="210"/>
      <c r="AG519" s="210"/>
      <c r="AH519" s="210"/>
      <c r="AI519" s="210"/>
      <c r="AJ519" s="210"/>
      <c r="AK519" s="210"/>
      <c r="AL519" s="210"/>
      <c r="AM519" s="210"/>
      <c r="AN519" s="210"/>
      <c r="AO519" s="210"/>
      <c r="AP519" s="210"/>
      <c r="AQ519" s="210"/>
      <c r="AR519" s="210"/>
      <c r="AS519" s="210"/>
      <c r="AT519" s="210"/>
      <c r="AU519" s="210"/>
      <c r="AV519" s="210"/>
      <c r="AW519" s="210"/>
      <c r="AX519" s="210"/>
      <c r="AY519" s="210"/>
      <c r="AZ519" s="210"/>
      <c r="BA519" s="210"/>
      <c r="BB519" s="210"/>
      <c r="BC519" s="210"/>
      <c r="BD519" s="210"/>
      <c r="BE519" s="210"/>
      <c r="BF519" s="210"/>
      <c r="BG519" s="210"/>
      <c r="BH519" s="210"/>
      <c r="BI519" s="210"/>
      <c r="BJ519" s="210"/>
    </row>
    <row r="520" spans="1:62" ht="15" x14ac:dyDescent="0.2">
      <c r="A520" s="210"/>
      <c r="B520" s="210"/>
      <c r="C520" s="210"/>
      <c r="D520" s="210"/>
      <c r="E520" s="210"/>
      <c r="F520" s="210"/>
      <c r="G520" s="210"/>
      <c r="H520" s="210"/>
      <c r="I520" s="210"/>
      <c r="J520" s="210"/>
      <c r="K520" s="210"/>
      <c r="L520" s="210"/>
      <c r="M520" s="210"/>
      <c r="N520" s="210"/>
      <c r="O520" s="210"/>
      <c r="P520" s="210"/>
      <c r="Q520" s="210"/>
      <c r="R520" s="210"/>
      <c r="S520" s="210"/>
      <c r="T520" s="210"/>
      <c r="U520" s="210"/>
      <c r="V520" s="210"/>
      <c r="W520" s="210"/>
      <c r="X520" s="210"/>
      <c r="Y520" s="210"/>
      <c r="Z520" s="210"/>
      <c r="AA520" s="210"/>
      <c r="AB520" s="210"/>
      <c r="AC520" s="210"/>
      <c r="AD520" s="210"/>
      <c r="AE520" s="210"/>
      <c r="AF520" s="210"/>
      <c r="AG520" s="210"/>
      <c r="AH520" s="210"/>
      <c r="AI520" s="210"/>
      <c r="AJ520" s="210"/>
      <c r="AK520" s="210"/>
      <c r="AL520" s="210"/>
      <c r="AM520" s="210"/>
      <c r="AN520" s="210"/>
      <c r="AO520" s="210"/>
      <c r="AP520" s="210"/>
      <c r="AQ520" s="210"/>
      <c r="AR520" s="210"/>
      <c r="AS520" s="210"/>
      <c r="AT520" s="210"/>
      <c r="AU520" s="210"/>
      <c r="AV520" s="210"/>
      <c r="AW520" s="210"/>
      <c r="AX520" s="210"/>
      <c r="AY520" s="210"/>
      <c r="AZ520" s="210"/>
      <c r="BA520" s="210"/>
      <c r="BB520" s="210"/>
      <c r="BC520" s="210"/>
      <c r="BD520" s="210"/>
      <c r="BE520" s="210"/>
      <c r="BF520" s="210"/>
      <c r="BG520" s="210"/>
      <c r="BH520" s="210"/>
      <c r="BI520" s="210"/>
      <c r="BJ520" s="210"/>
    </row>
    <row r="521" spans="1:62" ht="15" x14ac:dyDescent="0.2">
      <c r="A521" s="210"/>
      <c r="B521" s="210"/>
      <c r="C521" s="210"/>
      <c r="D521" s="210"/>
      <c r="E521" s="210"/>
      <c r="F521" s="210"/>
      <c r="G521" s="210"/>
      <c r="H521" s="210"/>
      <c r="I521" s="210"/>
      <c r="J521" s="210"/>
      <c r="K521" s="210"/>
      <c r="L521" s="210"/>
      <c r="M521" s="210"/>
      <c r="N521" s="210"/>
      <c r="O521" s="210"/>
      <c r="P521" s="210"/>
      <c r="Q521" s="210"/>
      <c r="R521" s="210"/>
      <c r="S521" s="210"/>
      <c r="T521" s="210"/>
      <c r="U521" s="210"/>
      <c r="V521" s="210"/>
      <c r="W521" s="210"/>
      <c r="X521" s="210"/>
      <c r="Y521" s="210"/>
      <c r="Z521" s="210"/>
      <c r="AA521" s="210"/>
      <c r="AB521" s="210"/>
      <c r="AC521" s="210"/>
      <c r="AD521" s="210"/>
      <c r="AE521" s="210"/>
      <c r="AF521" s="210"/>
      <c r="AG521" s="210"/>
      <c r="AH521" s="210"/>
      <c r="AI521" s="210"/>
      <c r="AJ521" s="210"/>
      <c r="AK521" s="210"/>
      <c r="AL521" s="210"/>
      <c r="AM521" s="210"/>
      <c r="AN521" s="210"/>
      <c r="AO521" s="210"/>
      <c r="AP521" s="210"/>
      <c r="AQ521" s="210"/>
      <c r="AR521" s="210"/>
      <c r="AS521" s="210"/>
      <c r="AT521" s="210"/>
      <c r="AU521" s="210"/>
      <c r="AV521" s="210"/>
      <c r="AW521" s="210"/>
      <c r="AX521" s="210"/>
      <c r="AY521" s="210"/>
      <c r="AZ521" s="210"/>
      <c r="BA521" s="210"/>
      <c r="BB521" s="210"/>
      <c r="BC521" s="210"/>
      <c r="BD521" s="210"/>
      <c r="BE521" s="210"/>
      <c r="BF521" s="210"/>
      <c r="BG521" s="210"/>
      <c r="BH521" s="210"/>
      <c r="BI521" s="210"/>
      <c r="BJ521" s="210"/>
    </row>
    <row r="522" spans="1:62" ht="15" x14ac:dyDescent="0.2">
      <c r="A522" s="210"/>
      <c r="B522" s="210"/>
      <c r="C522" s="210"/>
      <c r="D522" s="210"/>
      <c r="E522" s="210"/>
      <c r="F522" s="210"/>
      <c r="G522" s="210"/>
      <c r="H522" s="210"/>
      <c r="I522" s="210"/>
      <c r="J522" s="210"/>
      <c r="K522" s="210"/>
      <c r="L522" s="210"/>
      <c r="M522" s="210"/>
      <c r="N522" s="210"/>
      <c r="O522" s="210"/>
      <c r="P522" s="210"/>
      <c r="Q522" s="210"/>
      <c r="R522" s="210"/>
      <c r="S522" s="210"/>
      <c r="T522" s="210"/>
      <c r="U522" s="210"/>
      <c r="V522" s="210"/>
      <c r="W522" s="210"/>
      <c r="X522" s="210"/>
      <c r="Y522" s="210"/>
      <c r="Z522" s="210"/>
      <c r="AA522" s="210"/>
      <c r="AB522" s="210"/>
      <c r="AC522" s="210"/>
      <c r="AD522" s="210"/>
      <c r="AE522" s="210"/>
      <c r="AF522" s="210"/>
      <c r="AG522" s="210"/>
      <c r="AH522" s="210"/>
      <c r="AI522" s="210"/>
      <c r="AJ522" s="210"/>
      <c r="AK522" s="210"/>
      <c r="AL522" s="210"/>
      <c r="AM522" s="210"/>
      <c r="AN522" s="210"/>
      <c r="AO522" s="210"/>
      <c r="AP522" s="210"/>
      <c r="AQ522" s="210"/>
      <c r="AR522" s="210"/>
      <c r="AS522" s="210"/>
      <c r="AT522" s="210"/>
      <c r="AU522" s="210"/>
      <c r="AV522" s="210"/>
      <c r="AW522" s="210"/>
      <c r="AX522" s="210"/>
      <c r="AY522" s="210"/>
      <c r="AZ522" s="210"/>
      <c r="BA522" s="210"/>
      <c r="BB522" s="210"/>
      <c r="BC522" s="210"/>
      <c r="BD522" s="210"/>
      <c r="BE522" s="210"/>
      <c r="BF522" s="210"/>
      <c r="BG522" s="210"/>
      <c r="BH522" s="210"/>
      <c r="BI522" s="210"/>
      <c r="BJ522" s="210"/>
    </row>
    <row r="523" spans="1:62" ht="15" x14ac:dyDescent="0.2">
      <c r="A523" s="210"/>
      <c r="B523" s="210"/>
      <c r="C523" s="210"/>
      <c r="D523" s="210"/>
      <c r="E523" s="210"/>
      <c r="F523" s="210"/>
      <c r="G523" s="210"/>
      <c r="H523" s="210"/>
      <c r="I523" s="210"/>
      <c r="J523" s="210"/>
      <c r="K523" s="210"/>
      <c r="L523" s="210"/>
      <c r="M523" s="210"/>
      <c r="N523" s="210"/>
      <c r="O523" s="210"/>
      <c r="P523" s="210"/>
      <c r="Q523" s="210"/>
      <c r="R523" s="210"/>
      <c r="S523" s="210"/>
      <c r="T523" s="210"/>
      <c r="U523" s="210"/>
      <c r="V523" s="210"/>
      <c r="W523" s="210"/>
      <c r="X523" s="210"/>
      <c r="Y523" s="210"/>
      <c r="Z523" s="210"/>
      <c r="AA523" s="210"/>
      <c r="AB523" s="210"/>
      <c r="AC523" s="210"/>
      <c r="AD523" s="210"/>
      <c r="AE523" s="210"/>
      <c r="AF523" s="210"/>
      <c r="AG523" s="210"/>
      <c r="AH523" s="210"/>
      <c r="AI523" s="210"/>
      <c r="AJ523" s="210"/>
      <c r="AK523" s="210"/>
      <c r="AL523" s="210"/>
      <c r="AM523" s="210"/>
      <c r="AN523" s="210"/>
      <c r="AO523" s="210"/>
      <c r="AP523" s="210"/>
      <c r="AQ523" s="210"/>
      <c r="AR523" s="210"/>
      <c r="AS523" s="210"/>
      <c r="AT523" s="210"/>
      <c r="AU523" s="210"/>
      <c r="AV523" s="210"/>
      <c r="AW523" s="210"/>
      <c r="AX523" s="210"/>
      <c r="AY523" s="210"/>
      <c r="AZ523" s="210"/>
      <c r="BA523" s="210"/>
      <c r="BB523" s="210"/>
      <c r="BC523" s="210"/>
      <c r="BD523" s="210"/>
      <c r="BE523" s="210"/>
      <c r="BF523" s="210"/>
      <c r="BG523" s="210"/>
      <c r="BH523" s="210"/>
      <c r="BI523" s="210"/>
      <c r="BJ523" s="210"/>
    </row>
    <row r="524" spans="1:62" ht="15" x14ac:dyDescent="0.2">
      <c r="A524" s="210"/>
      <c r="B524" s="210"/>
      <c r="C524" s="210"/>
      <c r="D524" s="210"/>
      <c r="E524" s="210"/>
      <c r="F524" s="210"/>
      <c r="G524" s="210"/>
      <c r="H524" s="210"/>
      <c r="I524" s="210"/>
      <c r="J524" s="210"/>
      <c r="K524" s="210"/>
      <c r="L524" s="210"/>
      <c r="M524" s="210"/>
      <c r="N524" s="210"/>
      <c r="O524" s="210"/>
      <c r="P524" s="210"/>
      <c r="Q524" s="210"/>
      <c r="R524" s="210"/>
      <c r="S524" s="210"/>
      <c r="T524" s="210"/>
      <c r="U524" s="210"/>
      <c r="V524" s="210"/>
      <c r="W524" s="210"/>
      <c r="X524" s="210"/>
      <c r="Y524" s="210"/>
      <c r="Z524" s="210"/>
      <c r="AA524" s="210"/>
      <c r="AB524" s="210"/>
      <c r="AC524" s="210"/>
      <c r="AD524" s="210"/>
      <c r="AE524" s="210"/>
      <c r="AF524" s="210"/>
      <c r="AG524" s="210"/>
      <c r="AH524" s="210"/>
      <c r="AI524" s="210"/>
      <c r="AJ524" s="210"/>
      <c r="AK524" s="210"/>
      <c r="AL524" s="210"/>
      <c r="AM524" s="210"/>
      <c r="AN524" s="210"/>
      <c r="AO524" s="210"/>
      <c r="AP524" s="210"/>
      <c r="AQ524" s="210"/>
      <c r="AR524" s="210"/>
      <c r="AS524" s="210"/>
      <c r="AT524" s="210"/>
      <c r="AU524" s="210"/>
      <c r="AV524" s="210"/>
      <c r="AW524" s="210"/>
      <c r="AX524" s="210"/>
      <c r="AY524" s="210"/>
      <c r="AZ524" s="210"/>
      <c r="BA524" s="210"/>
      <c r="BB524" s="210"/>
      <c r="BC524" s="210"/>
      <c r="BD524" s="210"/>
      <c r="BE524" s="210"/>
      <c r="BF524" s="210"/>
      <c r="BG524" s="210"/>
      <c r="BH524" s="210"/>
      <c r="BI524" s="210"/>
      <c r="BJ524" s="210"/>
    </row>
    <row r="525" spans="1:62" ht="15" x14ac:dyDescent="0.2">
      <c r="A525" s="210"/>
      <c r="B525" s="210"/>
      <c r="C525" s="210"/>
      <c r="D525" s="210"/>
      <c r="E525" s="210"/>
      <c r="F525" s="210"/>
      <c r="G525" s="210"/>
      <c r="H525" s="210"/>
      <c r="I525" s="210"/>
      <c r="J525" s="210"/>
      <c r="K525" s="210"/>
      <c r="L525" s="210"/>
      <c r="M525" s="210"/>
      <c r="N525" s="210"/>
      <c r="O525" s="210"/>
      <c r="P525" s="210"/>
      <c r="Q525" s="210"/>
      <c r="R525" s="210"/>
      <c r="S525" s="210"/>
      <c r="T525" s="210"/>
      <c r="U525" s="210"/>
      <c r="V525" s="210"/>
      <c r="W525" s="210"/>
      <c r="X525" s="210"/>
      <c r="Y525" s="210"/>
      <c r="Z525" s="210"/>
      <c r="AA525" s="210"/>
      <c r="AB525" s="210"/>
      <c r="AC525" s="210"/>
      <c r="AD525" s="210"/>
      <c r="AE525" s="210"/>
      <c r="AF525" s="210"/>
      <c r="AG525" s="210"/>
      <c r="AH525" s="210"/>
      <c r="AI525" s="210"/>
      <c r="AJ525" s="210"/>
      <c r="AK525" s="210"/>
      <c r="AL525" s="210"/>
      <c r="AM525" s="210"/>
      <c r="AN525" s="210"/>
      <c r="AO525" s="210"/>
      <c r="AP525" s="210"/>
      <c r="AQ525" s="210"/>
      <c r="AR525" s="210"/>
      <c r="AS525" s="210"/>
      <c r="AT525" s="210"/>
      <c r="AU525" s="210"/>
      <c r="AV525" s="210"/>
      <c r="AW525" s="210"/>
      <c r="AX525" s="210"/>
      <c r="AY525" s="210"/>
      <c r="AZ525" s="210"/>
      <c r="BA525" s="210"/>
      <c r="BB525" s="210"/>
      <c r="BC525" s="210"/>
      <c r="BD525" s="210"/>
      <c r="BE525" s="210"/>
      <c r="BF525" s="210"/>
      <c r="BG525" s="210"/>
      <c r="BH525" s="210"/>
      <c r="BI525" s="210"/>
      <c r="BJ525" s="210"/>
    </row>
    <row r="526" spans="1:62" ht="15" x14ac:dyDescent="0.2">
      <c r="A526" s="210"/>
      <c r="B526" s="210"/>
      <c r="C526" s="210"/>
      <c r="D526" s="210"/>
      <c r="E526" s="210"/>
      <c r="F526" s="210"/>
      <c r="G526" s="210"/>
      <c r="H526" s="210"/>
      <c r="I526" s="210"/>
      <c r="J526" s="210"/>
      <c r="K526" s="210"/>
      <c r="L526" s="210"/>
      <c r="M526" s="210"/>
      <c r="N526" s="210"/>
      <c r="O526" s="210"/>
      <c r="P526" s="210"/>
      <c r="Q526" s="210"/>
      <c r="R526" s="210"/>
      <c r="S526" s="210"/>
      <c r="T526" s="210"/>
      <c r="U526" s="210"/>
      <c r="V526" s="210"/>
      <c r="W526" s="210"/>
      <c r="X526" s="210"/>
      <c r="Y526" s="210"/>
      <c r="Z526" s="210"/>
      <c r="AA526" s="210"/>
      <c r="AB526" s="210"/>
      <c r="AC526" s="210"/>
      <c r="AD526" s="210"/>
      <c r="AE526" s="210"/>
      <c r="AF526" s="210"/>
      <c r="AG526" s="210"/>
      <c r="AH526" s="210"/>
      <c r="AI526" s="210"/>
      <c r="AJ526" s="210"/>
      <c r="AK526" s="210"/>
      <c r="AL526" s="210"/>
      <c r="AM526" s="210"/>
      <c r="AN526" s="210"/>
      <c r="AO526" s="210"/>
      <c r="AP526" s="210"/>
      <c r="AQ526" s="210"/>
      <c r="AR526" s="210"/>
      <c r="AS526" s="210"/>
      <c r="AT526" s="210"/>
      <c r="AU526" s="210"/>
      <c r="AV526" s="210"/>
      <c r="AW526" s="210"/>
      <c r="AX526" s="210"/>
      <c r="AY526" s="210"/>
      <c r="AZ526" s="210"/>
      <c r="BA526" s="210"/>
      <c r="BB526" s="210"/>
      <c r="BC526" s="210"/>
      <c r="BD526" s="210"/>
      <c r="BE526" s="210"/>
      <c r="BF526" s="210"/>
      <c r="BG526" s="210"/>
      <c r="BH526" s="210"/>
      <c r="BI526" s="210"/>
      <c r="BJ526" s="210"/>
    </row>
    <row r="527" spans="1:62" ht="15" x14ac:dyDescent="0.2">
      <c r="A527" s="210"/>
      <c r="B527" s="210"/>
      <c r="C527" s="210"/>
      <c r="D527" s="210"/>
      <c r="E527" s="210"/>
      <c r="F527" s="210"/>
      <c r="G527" s="210"/>
      <c r="H527" s="210"/>
      <c r="I527" s="210"/>
      <c r="J527" s="210"/>
      <c r="K527" s="210"/>
      <c r="L527" s="210"/>
      <c r="M527" s="210"/>
      <c r="N527" s="210"/>
      <c r="O527" s="210"/>
      <c r="P527" s="210"/>
      <c r="Q527" s="210"/>
      <c r="R527" s="210"/>
      <c r="S527" s="210"/>
      <c r="T527" s="210"/>
      <c r="U527" s="210"/>
      <c r="V527" s="210"/>
      <c r="W527" s="210"/>
      <c r="X527" s="210"/>
      <c r="Y527" s="210"/>
      <c r="Z527" s="210"/>
      <c r="AA527" s="210"/>
      <c r="AB527" s="210"/>
      <c r="AC527" s="210"/>
      <c r="AD527" s="210"/>
      <c r="AE527" s="210"/>
      <c r="AF527" s="210"/>
      <c r="AG527" s="210"/>
      <c r="AH527" s="210"/>
      <c r="AI527" s="210"/>
      <c r="AJ527" s="210"/>
      <c r="AK527" s="210"/>
      <c r="AL527" s="210"/>
      <c r="AM527" s="210"/>
      <c r="AN527" s="210"/>
      <c r="AO527" s="210"/>
      <c r="AP527" s="210"/>
      <c r="AQ527" s="210"/>
      <c r="AR527" s="210"/>
      <c r="AS527" s="210"/>
      <c r="AT527" s="210"/>
      <c r="AU527" s="210"/>
      <c r="AV527" s="210"/>
      <c r="AW527" s="210"/>
      <c r="AX527" s="210"/>
      <c r="AY527" s="210"/>
      <c r="AZ527" s="210"/>
      <c r="BA527" s="210"/>
      <c r="BB527" s="210"/>
      <c r="BC527" s="210"/>
      <c r="BD527" s="210"/>
      <c r="BE527" s="210"/>
      <c r="BF527" s="210"/>
      <c r="BG527" s="210"/>
      <c r="BH527" s="210"/>
      <c r="BI527" s="210"/>
      <c r="BJ527" s="210"/>
    </row>
    <row r="528" spans="1:62" ht="15" x14ac:dyDescent="0.2">
      <c r="A528" s="210"/>
      <c r="B528" s="210"/>
      <c r="C528" s="210"/>
      <c r="D528" s="210"/>
      <c r="E528" s="210"/>
      <c r="F528" s="210"/>
      <c r="G528" s="210"/>
      <c r="H528" s="210"/>
      <c r="I528" s="210"/>
      <c r="J528" s="210"/>
      <c r="K528" s="210"/>
      <c r="L528" s="210"/>
      <c r="M528" s="210"/>
      <c r="N528" s="210"/>
      <c r="O528" s="210"/>
      <c r="P528" s="210"/>
      <c r="Q528" s="210"/>
      <c r="R528" s="210"/>
      <c r="S528" s="210"/>
      <c r="T528" s="210"/>
      <c r="U528" s="210"/>
      <c r="V528" s="210"/>
      <c r="W528" s="210"/>
      <c r="X528" s="210"/>
      <c r="Y528" s="210"/>
      <c r="Z528" s="210"/>
      <c r="AA528" s="210"/>
      <c r="AB528" s="210"/>
      <c r="AC528" s="210"/>
      <c r="AD528" s="210"/>
      <c r="AE528" s="210"/>
      <c r="AF528" s="210"/>
      <c r="AG528" s="210"/>
      <c r="AH528" s="210"/>
      <c r="AI528" s="210"/>
      <c r="AJ528" s="210"/>
      <c r="AK528" s="210"/>
      <c r="AL528" s="210"/>
      <c r="AM528" s="210"/>
      <c r="AN528" s="210"/>
      <c r="AO528" s="210"/>
      <c r="AP528" s="210"/>
      <c r="AQ528" s="210"/>
      <c r="AR528" s="210"/>
      <c r="AS528" s="210"/>
      <c r="AT528" s="210"/>
      <c r="AU528" s="210"/>
      <c r="AV528" s="210"/>
      <c r="AW528" s="210"/>
      <c r="AX528" s="210"/>
      <c r="AY528" s="210"/>
      <c r="AZ528" s="210"/>
      <c r="BA528" s="210"/>
      <c r="BB528" s="210"/>
      <c r="BC528" s="210"/>
      <c r="BD528" s="210"/>
      <c r="BE528" s="210"/>
      <c r="BF528" s="210"/>
      <c r="BG528" s="210"/>
      <c r="BH528" s="210"/>
      <c r="BI528" s="210"/>
      <c r="BJ528" s="210"/>
    </row>
    <row r="529" spans="1:62" ht="15" x14ac:dyDescent="0.2">
      <c r="A529" s="210"/>
      <c r="B529" s="210"/>
      <c r="C529" s="210"/>
      <c r="D529" s="210"/>
      <c r="E529" s="210"/>
      <c r="F529" s="210"/>
      <c r="G529" s="210"/>
      <c r="H529" s="210"/>
      <c r="I529" s="210"/>
      <c r="J529" s="210"/>
      <c r="K529" s="210"/>
      <c r="L529" s="210"/>
      <c r="M529" s="210"/>
      <c r="N529" s="210"/>
      <c r="O529" s="210"/>
      <c r="P529" s="210"/>
      <c r="Q529" s="210"/>
      <c r="R529" s="210"/>
      <c r="S529" s="210"/>
      <c r="T529" s="210"/>
      <c r="U529" s="210"/>
      <c r="V529" s="210"/>
      <c r="W529" s="210"/>
      <c r="X529" s="210"/>
      <c r="Y529" s="210"/>
      <c r="Z529" s="210"/>
      <c r="AA529" s="210"/>
      <c r="AB529" s="210"/>
      <c r="AC529" s="210"/>
      <c r="AD529" s="210"/>
      <c r="AE529" s="210"/>
      <c r="AF529" s="210"/>
      <c r="AG529" s="210"/>
      <c r="AH529" s="210"/>
      <c r="AI529" s="210"/>
      <c r="AJ529" s="210"/>
      <c r="AK529" s="210"/>
      <c r="AL529" s="210"/>
      <c r="AM529" s="210"/>
      <c r="AN529" s="210"/>
      <c r="AO529" s="210"/>
      <c r="AP529" s="210"/>
      <c r="AQ529" s="210"/>
      <c r="AR529" s="210"/>
      <c r="AS529" s="210"/>
      <c r="AT529" s="210"/>
      <c r="AU529" s="210"/>
      <c r="AV529" s="210"/>
      <c r="AW529" s="210"/>
      <c r="AX529" s="210"/>
      <c r="AY529" s="210"/>
      <c r="AZ529" s="210"/>
      <c r="BA529" s="210"/>
      <c r="BB529" s="210"/>
      <c r="BC529" s="210"/>
      <c r="BD529" s="210"/>
      <c r="BE529" s="210"/>
      <c r="BF529" s="210"/>
      <c r="BG529" s="210"/>
      <c r="BH529" s="210"/>
      <c r="BI529" s="210"/>
      <c r="BJ529" s="210"/>
    </row>
    <row r="530" spans="1:62" ht="15" x14ac:dyDescent="0.2">
      <c r="A530" s="210"/>
      <c r="B530" s="210"/>
      <c r="C530" s="210"/>
      <c r="D530" s="210"/>
      <c r="E530" s="210"/>
      <c r="F530" s="210"/>
      <c r="G530" s="210"/>
      <c r="H530" s="210"/>
      <c r="I530" s="210"/>
      <c r="J530" s="210"/>
      <c r="K530" s="210"/>
      <c r="L530" s="210"/>
      <c r="M530" s="210"/>
      <c r="N530" s="210"/>
      <c r="O530" s="210"/>
      <c r="P530" s="210"/>
      <c r="Q530" s="210"/>
      <c r="R530" s="210"/>
      <c r="S530" s="210"/>
      <c r="T530" s="210"/>
      <c r="U530" s="210"/>
      <c r="V530" s="210"/>
      <c r="W530" s="210"/>
      <c r="X530" s="210"/>
      <c r="Y530" s="210"/>
      <c r="Z530" s="210"/>
      <c r="AA530" s="210"/>
      <c r="AB530" s="210"/>
      <c r="AC530" s="210"/>
      <c r="AD530" s="210"/>
      <c r="AE530" s="210"/>
      <c r="AF530" s="210"/>
      <c r="AG530" s="210"/>
      <c r="AH530" s="210"/>
      <c r="AI530" s="210"/>
      <c r="AJ530" s="210"/>
      <c r="AK530" s="210"/>
      <c r="AL530" s="210"/>
      <c r="AM530" s="210"/>
      <c r="AN530" s="210"/>
      <c r="AO530" s="210"/>
      <c r="AP530" s="210"/>
      <c r="AQ530" s="210"/>
      <c r="AR530" s="210"/>
      <c r="AS530" s="210"/>
      <c r="AT530" s="210"/>
      <c r="AU530" s="210"/>
      <c r="AV530" s="210"/>
      <c r="AW530" s="210"/>
      <c r="AX530" s="210"/>
      <c r="AY530" s="210"/>
      <c r="AZ530" s="210"/>
      <c r="BA530" s="210"/>
      <c r="BB530" s="210"/>
      <c r="BC530" s="210"/>
      <c r="BD530" s="210"/>
      <c r="BE530" s="210"/>
      <c r="BF530" s="210"/>
      <c r="BG530" s="210"/>
      <c r="BH530" s="210"/>
      <c r="BI530" s="210"/>
      <c r="BJ530" s="210"/>
    </row>
    <row r="531" spans="1:62" ht="15" x14ac:dyDescent="0.2">
      <c r="A531" s="210"/>
      <c r="B531" s="210"/>
      <c r="C531" s="210"/>
      <c r="D531" s="210"/>
      <c r="E531" s="210"/>
      <c r="F531" s="210"/>
      <c r="G531" s="210"/>
      <c r="H531" s="210"/>
      <c r="I531" s="210"/>
      <c r="J531" s="210"/>
      <c r="K531" s="210"/>
      <c r="L531" s="210"/>
      <c r="M531" s="210"/>
      <c r="N531" s="210"/>
      <c r="O531" s="210"/>
      <c r="P531" s="210"/>
      <c r="Q531" s="210"/>
      <c r="R531" s="210"/>
      <c r="S531" s="210"/>
      <c r="T531" s="210"/>
      <c r="U531" s="210"/>
      <c r="V531" s="210"/>
      <c r="W531" s="210"/>
      <c r="X531" s="210"/>
      <c r="Y531" s="210"/>
      <c r="Z531" s="210"/>
      <c r="AA531" s="210"/>
      <c r="AB531" s="210"/>
      <c r="AC531" s="210"/>
      <c r="AD531" s="210"/>
      <c r="AE531" s="210"/>
      <c r="AF531" s="210"/>
      <c r="AG531" s="210"/>
      <c r="AH531" s="210"/>
      <c r="AI531" s="210"/>
      <c r="AJ531" s="210"/>
      <c r="AK531" s="210"/>
      <c r="AL531" s="210"/>
      <c r="AM531" s="210"/>
      <c r="AN531" s="210"/>
      <c r="AO531" s="210"/>
      <c r="AP531" s="210"/>
      <c r="AQ531" s="210"/>
      <c r="AR531" s="210"/>
      <c r="AS531" s="210"/>
      <c r="AT531" s="210"/>
      <c r="AU531" s="210"/>
      <c r="AV531" s="210"/>
      <c r="AW531" s="210"/>
      <c r="AX531" s="210"/>
      <c r="AY531" s="210"/>
      <c r="AZ531" s="210"/>
      <c r="BA531" s="210"/>
      <c r="BB531" s="210"/>
      <c r="BC531" s="210"/>
      <c r="BD531" s="210"/>
      <c r="BE531" s="210"/>
      <c r="BF531" s="210"/>
      <c r="BG531" s="210"/>
      <c r="BH531" s="210"/>
      <c r="BI531" s="210"/>
      <c r="BJ531" s="210"/>
    </row>
    <row r="532" spans="1:62" ht="15" x14ac:dyDescent="0.2">
      <c r="A532" s="210"/>
      <c r="B532" s="210"/>
      <c r="C532" s="210"/>
      <c r="D532" s="210"/>
      <c r="E532" s="210"/>
      <c r="F532" s="210"/>
      <c r="G532" s="210"/>
      <c r="H532" s="210"/>
      <c r="I532" s="210"/>
      <c r="J532" s="210"/>
      <c r="K532" s="210"/>
      <c r="L532" s="210"/>
      <c r="M532" s="210"/>
      <c r="N532" s="210"/>
      <c r="O532" s="210"/>
      <c r="P532" s="210"/>
      <c r="Q532" s="210"/>
      <c r="R532" s="210"/>
      <c r="S532" s="210"/>
      <c r="T532" s="210"/>
      <c r="U532" s="210"/>
      <c r="V532" s="210"/>
      <c r="W532" s="210"/>
      <c r="X532" s="210"/>
      <c r="Y532" s="210"/>
      <c r="Z532" s="210"/>
      <c r="AA532" s="210"/>
      <c r="AB532" s="210"/>
      <c r="AC532" s="210"/>
      <c r="AD532" s="210"/>
      <c r="AE532" s="210"/>
      <c r="AF532" s="210"/>
      <c r="AG532" s="210"/>
      <c r="AH532" s="210"/>
      <c r="AI532" s="210"/>
      <c r="AJ532" s="210"/>
      <c r="AK532" s="210"/>
      <c r="AL532" s="210"/>
      <c r="AM532" s="210"/>
      <c r="AN532" s="210"/>
      <c r="AO532" s="210"/>
      <c r="AP532" s="210"/>
      <c r="AQ532" s="210"/>
      <c r="AR532" s="210"/>
      <c r="AS532" s="210"/>
      <c r="AT532" s="210"/>
      <c r="AU532" s="210"/>
      <c r="AV532" s="210"/>
      <c r="AW532" s="210"/>
      <c r="AX532" s="210"/>
      <c r="AY532" s="210"/>
      <c r="AZ532" s="210"/>
      <c r="BA532" s="210"/>
      <c r="BB532" s="210"/>
      <c r="BC532" s="210"/>
      <c r="BD532" s="210"/>
      <c r="BE532" s="210"/>
      <c r="BF532" s="210"/>
      <c r="BG532" s="210"/>
      <c r="BH532" s="210"/>
      <c r="BI532" s="210"/>
      <c r="BJ532" s="210"/>
    </row>
    <row r="533" spans="1:62" ht="15" x14ac:dyDescent="0.2">
      <c r="A533" s="210"/>
      <c r="B533" s="210"/>
      <c r="C533" s="210"/>
      <c r="D533" s="210"/>
      <c r="E533" s="210"/>
      <c r="F533" s="210"/>
      <c r="G533" s="210"/>
      <c r="H533" s="210"/>
      <c r="I533" s="210"/>
      <c r="J533" s="210"/>
      <c r="K533" s="210"/>
      <c r="L533" s="210"/>
      <c r="M533" s="210"/>
      <c r="N533" s="210"/>
      <c r="O533" s="210"/>
      <c r="P533" s="210"/>
      <c r="Q533" s="210"/>
      <c r="R533" s="210"/>
      <c r="S533" s="210"/>
      <c r="T533" s="210"/>
      <c r="U533" s="210"/>
      <c r="V533" s="210"/>
      <c r="W533" s="210"/>
      <c r="X533" s="210"/>
      <c r="Y533" s="210"/>
      <c r="Z533" s="210"/>
      <c r="AA533" s="210"/>
      <c r="AB533" s="210"/>
      <c r="AC533" s="210"/>
      <c r="AD533" s="210"/>
      <c r="AE533" s="210"/>
      <c r="AF533" s="210"/>
      <c r="AG533" s="210"/>
      <c r="AH533" s="210"/>
      <c r="AI533" s="210"/>
      <c r="AJ533" s="210"/>
      <c r="AK533" s="210"/>
      <c r="AL533" s="210"/>
      <c r="AM533" s="210"/>
      <c r="AN533" s="210"/>
      <c r="AO533" s="210"/>
      <c r="AP533" s="210"/>
      <c r="AQ533" s="210"/>
      <c r="AR533" s="210"/>
      <c r="AS533" s="210"/>
      <c r="AT533" s="210"/>
      <c r="AU533" s="210"/>
      <c r="AV533" s="210"/>
      <c r="AW533" s="210"/>
      <c r="AX533" s="210"/>
      <c r="AY533" s="210"/>
      <c r="AZ533" s="210"/>
      <c r="BA533" s="210"/>
      <c r="BB533" s="210"/>
      <c r="BC533" s="210"/>
      <c r="BD533" s="210"/>
      <c r="BE533" s="210"/>
      <c r="BF533" s="210"/>
      <c r="BG533" s="210"/>
      <c r="BH533" s="210"/>
      <c r="BI533" s="210"/>
      <c r="BJ533" s="210"/>
    </row>
    <row r="534" spans="1:62" ht="15" x14ac:dyDescent="0.2">
      <c r="A534" s="210"/>
      <c r="B534" s="210"/>
      <c r="C534" s="210"/>
      <c r="D534" s="210"/>
      <c r="E534" s="210"/>
      <c r="F534" s="210"/>
      <c r="G534" s="210"/>
      <c r="H534" s="210"/>
      <c r="I534" s="210"/>
      <c r="J534" s="210"/>
      <c r="K534" s="210"/>
      <c r="L534" s="210"/>
      <c r="M534" s="210"/>
      <c r="N534" s="210"/>
      <c r="O534" s="210"/>
      <c r="P534" s="210"/>
      <c r="Q534" s="210"/>
      <c r="R534" s="210"/>
      <c r="S534" s="210"/>
      <c r="T534" s="210"/>
      <c r="U534" s="210"/>
      <c r="V534" s="210"/>
      <c r="W534" s="210"/>
      <c r="X534" s="210"/>
      <c r="Y534" s="210"/>
      <c r="Z534" s="210"/>
      <c r="AA534" s="210"/>
      <c r="AB534" s="210"/>
      <c r="AC534" s="210"/>
      <c r="AD534" s="210"/>
      <c r="AE534" s="210"/>
      <c r="AF534" s="210"/>
      <c r="AG534" s="210"/>
      <c r="AH534" s="210"/>
      <c r="AI534" s="210"/>
      <c r="AJ534" s="210"/>
      <c r="AK534" s="210"/>
      <c r="AL534" s="210"/>
      <c r="AM534" s="210"/>
      <c r="AN534" s="210"/>
      <c r="AO534" s="210"/>
      <c r="AP534" s="210"/>
      <c r="AQ534" s="210"/>
      <c r="AR534" s="210"/>
      <c r="AS534" s="210"/>
      <c r="AT534" s="210"/>
      <c r="AU534" s="210"/>
      <c r="AV534" s="210"/>
      <c r="AW534" s="210"/>
      <c r="AX534" s="210"/>
      <c r="AY534" s="210"/>
      <c r="AZ534" s="210"/>
      <c r="BA534" s="210"/>
      <c r="BB534" s="210"/>
      <c r="BC534" s="210"/>
      <c r="BD534" s="210"/>
      <c r="BE534" s="210"/>
      <c r="BF534" s="210"/>
      <c r="BG534" s="210"/>
      <c r="BH534" s="210"/>
      <c r="BI534" s="210"/>
      <c r="BJ534" s="210"/>
    </row>
    <row r="535" spans="1:62" ht="15" x14ac:dyDescent="0.2">
      <c r="A535" s="210"/>
      <c r="B535" s="210"/>
      <c r="C535" s="210"/>
      <c r="D535" s="210"/>
      <c r="E535" s="210"/>
      <c r="F535" s="210"/>
      <c r="G535" s="210"/>
      <c r="H535" s="210"/>
      <c r="I535" s="210"/>
      <c r="J535" s="210"/>
      <c r="K535" s="210"/>
      <c r="L535" s="210"/>
      <c r="M535" s="210"/>
      <c r="N535" s="210"/>
      <c r="O535" s="210"/>
      <c r="P535" s="210"/>
      <c r="Q535" s="210"/>
      <c r="R535" s="210"/>
      <c r="S535" s="210"/>
      <c r="T535" s="210"/>
      <c r="U535" s="210"/>
      <c r="V535" s="210"/>
      <c r="W535" s="210"/>
      <c r="X535" s="210"/>
      <c r="Y535" s="210"/>
      <c r="Z535" s="210"/>
      <c r="AA535" s="210"/>
      <c r="AB535" s="210"/>
      <c r="AC535" s="210"/>
      <c r="AD535" s="210"/>
      <c r="AE535" s="210"/>
      <c r="AF535" s="210"/>
      <c r="AG535" s="210"/>
      <c r="AH535" s="210"/>
      <c r="AI535" s="210"/>
      <c r="AJ535" s="210"/>
      <c r="AK535" s="210"/>
      <c r="AL535" s="210"/>
      <c r="AM535" s="210"/>
      <c r="AN535" s="210"/>
      <c r="AO535" s="210"/>
      <c r="AP535" s="210"/>
      <c r="AQ535" s="210"/>
      <c r="AR535" s="210"/>
      <c r="AS535" s="210"/>
      <c r="AT535" s="210"/>
      <c r="AU535" s="210"/>
      <c r="AV535" s="210"/>
      <c r="AW535" s="210"/>
      <c r="AX535" s="210"/>
      <c r="AY535" s="210"/>
      <c r="AZ535" s="210"/>
      <c r="BA535" s="210"/>
      <c r="BB535" s="210"/>
      <c r="BC535" s="210"/>
      <c r="BD535" s="210"/>
      <c r="BE535" s="210"/>
      <c r="BF535" s="210"/>
      <c r="BG535" s="210"/>
      <c r="BH535" s="210"/>
      <c r="BI535" s="210"/>
      <c r="BJ535" s="210"/>
    </row>
    <row r="536" spans="1:62" ht="15" x14ac:dyDescent="0.2">
      <c r="A536" s="210"/>
      <c r="B536" s="210"/>
      <c r="C536" s="210"/>
      <c r="D536" s="210"/>
      <c r="E536" s="210"/>
      <c r="F536" s="210"/>
      <c r="G536" s="210"/>
      <c r="H536" s="210"/>
      <c r="I536" s="210"/>
      <c r="J536" s="210"/>
      <c r="K536" s="210"/>
      <c r="L536" s="210"/>
      <c r="M536" s="210"/>
      <c r="N536" s="210"/>
      <c r="O536" s="210"/>
      <c r="P536" s="210"/>
      <c r="Q536" s="210"/>
      <c r="R536" s="210"/>
      <c r="S536" s="210"/>
      <c r="T536" s="210"/>
      <c r="U536" s="210"/>
      <c r="V536" s="210"/>
      <c r="W536" s="210"/>
      <c r="X536" s="210"/>
      <c r="Y536" s="210"/>
      <c r="Z536" s="210"/>
      <c r="AA536" s="210"/>
      <c r="AB536" s="210"/>
      <c r="AC536" s="210"/>
      <c r="AD536" s="210"/>
      <c r="AE536" s="210"/>
      <c r="AF536" s="210"/>
      <c r="AG536" s="210"/>
      <c r="AH536" s="210"/>
      <c r="AI536" s="210"/>
      <c r="AJ536" s="210"/>
      <c r="AK536" s="210"/>
      <c r="AL536" s="210"/>
      <c r="AM536" s="210"/>
      <c r="AN536" s="210"/>
      <c r="AO536" s="210"/>
      <c r="AP536" s="210"/>
      <c r="AQ536" s="210"/>
      <c r="AR536" s="210"/>
      <c r="AS536" s="210"/>
      <c r="AT536" s="210"/>
      <c r="AU536" s="210"/>
      <c r="AV536" s="210"/>
      <c r="AW536" s="210"/>
      <c r="AX536" s="210"/>
      <c r="AY536" s="210"/>
      <c r="AZ536" s="210"/>
      <c r="BA536" s="210"/>
      <c r="BB536" s="210"/>
      <c r="BC536" s="210"/>
      <c r="BD536" s="210"/>
      <c r="BE536" s="210"/>
      <c r="BF536" s="210"/>
      <c r="BG536" s="210"/>
      <c r="BH536" s="210"/>
      <c r="BI536" s="210"/>
      <c r="BJ536" s="210"/>
    </row>
    <row r="537" spans="1:62" ht="15" x14ac:dyDescent="0.2">
      <c r="A537" s="210"/>
      <c r="B537" s="210"/>
      <c r="C537" s="210"/>
      <c r="D537" s="210"/>
      <c r="E537" s="210"/>
      <c r="F537" s="210"/>
      <c r="G537" s="210"/>
      <c r="H537" s="210"/>
      <c r="I537" s="210"/>
      <c r="J537" s="210"/>
      <c r="K537" s="210"/>
      <c r="L537" s="210"/>
      <c r="M537" s="210"/>
      <c r="N537" s="210"/>
      <c r="O537" s="210"/>
      <c r="P537" s="210"/>
      <c r="Q537" s="210"/>
      <c r="R537" s="210"/>
      <c r="S537" s="210"/>
      <c r="T537" s="210"/>
      <c r="U537" s="210"/>
      <c r="V537" s="210"/>
      <c r="W537" s="210"/>
      <c r="X537" s="210"/>
      <c r="Y537" s="210"/>
      <c r="Z537" s="210"/>
      <c r="AA537" s="210"/>
      <c r="AB537" s="210"/>
      <c r="AC537" s="210"/>
      <c r="AD537" s="210"/>
      <c r="AE537" s="210"/>
      <c r="AF537" s="210"/>
      <c r="AG537" s="210"/>
      <c r="AH537" s="210"/>
      <c r="AI537" s="210"/>
      <c r="AJ537" s="210"/>
      <c r="AK537" s="210"/>
      <c r="AL537" s="210"/>
      <c r="AM537" s="210"/>
      <c r="AN537" s="210"/>
      <c r="AO537" s="210"/>
      <c r="AP537" s="210"/>
      <c r="AQ537" s="210"/>
      <c r="AR537" s="210"/>
      <c r="AS537" s="210"/>
      <c r="AT537" s="210"/>
      <c r="AU537" s="210"/>
      <c r="AV537" s="210"/>
      <c r="AW537" s="210"/>
      <c r="AX537" s="210"/>
      <c r="AY537" s="210"/>
      <c r="AZ537" s="210"/>
      <c r="BA537" s="210"/>
      <c r="BB537" s="210"/>
      <c r="BC537" s="210"/>
      <c r="BD537" s="210"/>
      <c r="BE537" s="210"/>
      <c r="BF537" s="210"/>
      <c r="BG537" s="210"/>
      <c r="BH537" s="210"/>
      <c r="BI537" s="210"/>
      <c r="BJ537" s="210"/>
    </row>
    <row r="538" spans="1:62" ht="15" x14ac:dyDescent="0.2">
      <c r="A538" s="210"/>
      <c r="B538" s="210"/>
      <c r="C538" s="210"/>
      <c r="D538" s="210"/>
      <c r="E538" s="210"/>
      <c r="F538" s="210"/>
      <c r="G538" s="210"/>
      <c r="H538" s="210"/>
      <c r="I538" s="210"/>
      <c r="J538" s="210"/>
      <c r="K538" s="210"/>
      <c r="L538" s="210"/>
      <c r="M538" s="210"/>
      <c r="N538" s="210"/>
      <c r="O538" s="210"/>
      <c r="P538" s="210"/>
      <c r="Q538" s="210"/>
      <c r="R538" s="210"/>
      <c r="S538" s="210"/>
      <c r="T538" s="210"/>
      <c r="U538" s="210"/>
      <c r="V538" s="210"/>
      <c r="W538" s="210"/>
      <c r="X538" s="210"/>
      <c r="Y538" s="210"/>
      <c r="Z538" s="210"/>
      <c r="AA538" s="210"/>
      <c r="AB538" s="210"/>
      <c r="AC538" s="210"/>
      <c r="AD538" s="210"/>
      <c r="AE538" s="210"/>
      <c r="AF538" s="210"/>
      <c r="AG538" s="210"/>
      <c r="AH538" s="210"/>
      <c r="AI538" s="210"/>
      <c r="AJ538" s="210"/>
      <c r="AK538" s="210"/>
      <c r="AL538" s="210"/>
      <c r="AM538" s="210"/>
      <c r="AN538" s="210"/>
      <c r="AO538" s="210"/>
      <c r="AP538" s="210"/>
      <c r="AQ538" s="210"/>
      <c r="AR538" s="210"/>
      <c r="AS538" s="210"/>
      <c r="AT538" s="210"/>
      <c r="AU538" s="210"/>
      <c r="AV538" s="210"/>
      <c r="AW538" s="210"/>
      <c r="AX538" s="210"/>
      <c r="AY538" s="210"/>
      <c r="AZ538" s="210"/>
      <c r="BA538" s="210"/>
      <c r="BB538" s="210"/>
      <c r="BC538" s="210"/>
      <c r="BD538" s="210"/>
      <c r="BE538" s="210"/>
      <c r="BF538" s="210"/>
      <c r="BG538" s="210"/>
      <c r="BH538" s="210"/>
      <c r="BI538" s="210"/>
      <c r="BJ538" s="210"/>
    </row>
    <row r="539" spans="1:62" ht="15" x14ac:dyDescent="0.2">
      <c r="A539" s="210"/>
      <c r="B539" s="210"/>
      <c r="C539" s="210"/>
      <c r="D539" s="210"/>
      <c r="E539" s="210"/>
      <c r="F539" s="210"/>
      <c r="G539" s="210"/>
      <c r="H539" s="210"/>
      <c r="I539" s="210"/>
      <c r="J539" s="210"/>
      <c r="K539" s="210"/>
      <c r="L539" s="210"/>
      <c r="M539" s="210"/>
      <c r="N539" s="210"/>
      <c r="O539" s="210"/>
      <c r="P539" s="210"/>
      <c r="Q539" s="210"/>
      <c r="R539" s="210"/>
      <c r="S539" s="210"/>
      <c r="T539" s="210"/>
      <c r="U539" s="210"/>
      <c r="V539" s="210"/>
      <c r="W539" s="210"/>
      <c r="X539" s="210"/>
      <c r="Y539" s="210"/>
      <c r="Z539" s="210"/>
      <c r="AA539" s="210"/>
      <c r="AB539" s="210"/>
      <c r="AC539" s="210"/>
      <c r="AD539" s="210"/>
      <c r="AE539" s="210"/>
      <c r="AF539" s="210"/>
      <c r="AG539" s="210"/>
      <c r="AH539" s="210"/>
      <c r="AI539" s="210"/>
      <c r="AJ539" s="210"/>
      <c r="AK539" s="210"/>
      <c r="AL539" s="210"/>
      <c r="AM539" s="210"/>
      <c r="AN539" s="210"/>
      <c r="AO539" s="210"/>
      <c r="AP539" s="210"/>
      <c r="AQ539" s="210"/>
      <c r="AR539" s="210"/>
      <c r="AS539" s="210"/>
      <c r="AT539" s="210"/>
      <c r="AU539" s="210"/>
      <c r="AV539" s="210"/>
      <c r="AW539" s="210"/>
      <c r="AX539" s="210"/>
      <c r="AY539" s="210"/>
      <c r="AZ539" s="210"/>
      <c r="BA539" s="210"/>
      <c r="BB539" s="210"/>
      <c r="BC539" s="210"/>
      <c r="BD539" s="210"/>
      <c r="BE539" s="210"/>
      <c r="BF539" s="210"/>
      <c r="BG539" s="210"/>
      <c r="BH539" s="210"/>
      <c r="BI539" s="210"/>
      <c r="BJ539" s="210"/>
    </row>
    <row r="540" spans="1:62" ht="15" x14ac:dyDescent="0.2">
      <c r="A540" s="210"/>
      <c r="B540" s="210"/>
      <c r="C540" s="210"/>
      <c r="D540" s="210"/>
      <c r="E540" s="210"/>
      <c r="F540" s="210"/>
      <c r="G540" s="210"/>
      <c r="H540" s="210"/>
      <c r="I540" s="210"/>
      <c r="J540" s="210"/>
      <c r="K540" s="210"/>
      <c r="L540" s="210"/>
      <c r="M540" s="210"/>
      <c r="N540" s="210"/>
      <c r="O540" s="210"/>
      <c r="P540" s="210"/>
      <c r="Q540" s="210"/>
      <c r="R540" s="210"/>
      <c r="S540" s="210"/>
      <c r="T540" s="210"/>
      <c r="U540" s="210"/>
      <c r="V540" s="210"/>
      <c r="W540" s="210"/>
      <c r="X540" s="210"/>
      <c r="Y540" s="210"/>
      <c r="Z540" s="210"/>
      <c r="AA540" s="210"/>
      <c r="AB540" s="210"/>
      <c r="AC540" s="210"/>
      <c r="AD540" s="210"/>
      <c r="AE540" s="210"/>
      <c r="AF540" s="210"/>
      <c r="AG540" s="210"/>
      <c r="AH540" s="210"/>
      <c r="AI540" s="210"/>
      <c r="AJ540" s="210"/>
      <c r="AK540" s="210"/>
      <c r="AL540" s="210"/>
      <c r="AM540" s="210"/>
      <c r="AN540" s="210"/>
      <c r="AO540" s="210"/>
      <c r="AP540" s="210"/>
      <c r="AQ540" s="210"/>
      <c r="AR540" s="210"/>
      <c r="AS540" s="210"/>
      <c r="AT540" s="210"/>
      <c r="AU540" s="210"/>
      <c r="AV540" s="210"/>
      <c r="AW540" s="210"/>
      <c r="AX540" s="210"/>
      <c r="AY540" s="210"/>
      <c r="AZ540" s="210"/>
      <c r="BA540" s="210"/>
      <c r="BB540" s="210"/>
      <c r="BC540" s="210"/>
      <c r="BD540" s="210"/>
      <c r="BE540" s="210"/>
      <c r="BF540" s="210"/>
      <c r="BG540" s="210"/>
      <c r="BH540" s="210"/>
      <c r="BI540" s="210"/>
      <c r="BJ540" s="210"/>
    </row>
    <row r="541" spans="1:62" ht="15" x14ac:dyDescent="0.2">
      <c r="A541" s="210"/>
      <c r="B541" s="210"/>
      <c r="C541" s="210"/>
      <c r="D541" s="210"/>
      <c r="E541" s="210"/>
      <c r="F541" s="210"/>
      <c r="G541" s="210"/>
      <c r="H541" s="210"/>
      <c r="I541" s="210"/>
      <c r="J541" s="210"/>
      <c r="K541" s="210"/>
      <c r="L541" s="210"/>
      <c r="M541" s="210"/>
      <c r="N541" s="210"/>
      <c r="O541" s="210"/>
      <c r="P541" s="210"/>
      <c r="Q541" s="210"/>
      <c r="R541" s="210"/>
      <c r="S541" s="210"/>
      <c r="T541" s="210"/>
      <c r="U541" s="210"/>
      <c r="V541" s="210"/>
      <c r="W541" s="210"/>
      <c r="X541" s="210"/>
      <c r="Y541" s="210"/>
      <c r="Z541" s="210"/>
      <c r="AA541" s="210"/>
      <c r="AB541" s="210"/>
      <c r="AC541" s="210"/>
      <c r="AD541" s="210"/>
      <c r="AE541" s="210"/>
      <c r="AF541" s="210"/>
      <c r="AG541" s="210"/>
      <c r="AH541" s="210"/>
      <c r="AI541" s="210"/>
      <c r="AJ541" s="210"/>
      <c r="AK541" s="210"/>
      <c r="AL541" s="210"/>
      <c r="AM541" s="210"/>
      <c r="AN541" s="210"/>
      <c r="AO541" s="210"/>
      <c r="AP541" s="210"/>
      <c r="AQ541" s="210"/>
      <c r="AR541" s="210"/>
      <c r="AS541" s="210"/>
      <c r="AT541" s="210"/>
      <c r="AU541" s="210"/>
      <c r="AV541" s="210"/>
      <c r="AW541" s="210"/>
      <c r="AX541" s="210"/>
      <c r="AY541" s="210"/>
      <c r="AZ541" s="210"/>
      <c r="BA541" s="210"/>
      <c r="BB541" s="210"/>
      <c r="BC541" s="210"/>
      <c r="BD541" s="210"/>
      <c r="BE541" s="210"/>
      <c r="BF541" s="210"/>
      <c r="BG541" s="210"/>
      <c r="BH541" s="210"/>
      <c r="BI541" s="210"/>
      <c r="BJ541" s="210"/>
    </row>
    <row r="542" spans="1:62" ht="15" x14ac:dyDescent="0.2">
      <c r="A542" s="210"/>
      <c r="B542" s="210"/>
      <c r="C542" s="210"/>
      <c r="D542" s="210"/>
      <c r="E542" s="210"/>
      <c r="F542" s="210"/>
      <c r="G542" s="210"/>
      <c r="H542" s="210"/>
      <c r="I542" s="210"/>
      <c r="J542" s="210"/>
      <c r="K542" s="210"/>
      <c r="L542" s="210"/>
      <c r="M542" s="210"/>
      <c r="N542" s="210"/>
      <c r="O542" s="210"/>
      <c r="P542" s="210"/>
      <c r="Q542" s="210"/>
      <c r="R542" s="210"/>
      <c r="S542" s="210"/>
      <c r="T542" s="210"/>
      <c r="U542" s="210"/>
      <c r="V542" s="210"/>
      <c r="W542" s="210"/>
      <c r="X542" s="210"/>
      <c r="Y542" s="210"/>
      <c r="Z542" s="210"/>
      <c r="AA542" s="210"/>
      <c r="AB542" s="210"/>
      <c r="AC542" s="210"/>
      <c r="AD542" s="210"/>
      <c r="AE542" s="210"/>
      <c r="AF542" s="210"/>
      <c r="AG542" s="210"/>
      <c r="AH542" s="210"/>
      <c r="AI542" s="210"/>
      <c r="AJ542" s="210"/>
      <c r="AK542" s="210"/>
      <c r="AL542" s="210"/>
      <c r="AM542" s="210"/>
      <c r="AN542" s="210"/>
      <c r="AO542" s="210"/>
      <c r="AP542" s="210"/>
      <c r="AQ542" s="210"/>
      <c r="AR542" s="210"/>
      <c r="AS542" s="210"/>
      <c r="AT542" s="210"/>
      <c r="AU542" s="210"/>
      <c r="AV542" s="210"/>
      <c r="AW542" s="210"/>
      <c r="AX542" s="210"/>
      <c r="AY542" s="210"/>
      <c r="AZ542" s="210"/>
      <c r="BA542" s="210"/>
      <c r="BB542" s="210"/>
      <c r="BC542" s="210"/>
      <c r="BD542" s="210"/>
      <c r="BE542" s="210"/>
      <c r="BF542" s="210"/>
      <c r="BG542" s="210"/>
      <c r="BH542" s="210"/>
      <c r="BI542" s="210"/>
      <c r="BJ542" s="210"/>
    </row>
    <row r="543" spans="1:62" ht="15" x14ac:dyDescent="0.2">
      <c r="A543" s="210"/>
      <c r="B543" s="210"/>
      <c r="C543" s="210"/>
      <c r="D543" s="210"/>
      <c r="E543" s="210"/>
      <c r="F543" s="210"/>
      <c r="G543" s="210"/>
      <c r="H543" s="210"/>
      <c r="I543" s="210"/>
      <c r="J543" s="210"/>
      <c r="K543" s="210"/>
      <c r="L543" s="210"/>
      <c r="M543" s="210"/>
      <c r="N543" s="210"/>
      <c r="O543" s="210"/>
      <c r="P543" s="210"/>
      <c r="Q543" s="210"/>
      <c r="R543" s="210"/>
      <c r="S543" s="210"/>
      <c r="T543" s="210"/>
      <c r="U543" s="210"/>
      <c r="V543" s="210"/>
      <c r="W543" s="210"/>
      <c r="X543" s="210"/>
      <c r="Y543" s="210"/>
      <c r="Z543" s="210"/>
      <c r="AA543" s="210"/>
      <c r="AB543" s="210"/>
      <c r="AC543" s="210"/>
      <c r="AD543" s="210"/>
      <c r="AE543" s="210"/>
      <c r="AF543" s="210"/>
      <c r="AG543" s="210"/>
      <c r="AH543" s="210"/>
      <c r="AI543" s="210"/>
      <c r="AJ543" s="210"/>
      <c r="AK543" s="210"/>
      <c r="AL543" s="210"/>
      <c r="AM543" s="210"/>
      <c r="AN543" s="210"/>
      <c r="AO543" s="210"/>
      <c r="AP543" s="210"/>
      <c r="AQ543" s="210"/>
      <c r="AR543" s="210"/>
      <c r="AS543" s="210"/>
      <c r="AT543" s="210"/>
      <c r="AU543" s="210"/>
      <c r="AV543" s="210"/>
      <c r="AW543" s="210"/>
      <c r="AX543" s="210"/>
      <c r="AY543" s="210"/>
      <c r="AZ543" s="210"/>
      <c r="BA543" s="210"/>
      <c r="BB543" s="210"/>
      <c r="BC543" s="210"/>
      <c r="BD543" s="210"/>
      <c r="BE543" s="210"/>
      <c r="BF543" s="210"/>
      <c r="BG543" s="210"/>
      <c r="BH543" s="210"/>
      <c r="BI543" s="210"/>
      <c r="BJ543" s="210"/>
    </row>
    <row r="544" spans="1:62" ht="15" x14ac:dyDescent="0.2">
      <c r="A544" s="210"/>
      <c r="B544" s="210"/>
      <c r="C544" s="210"/>
      <c r="D544" s="210"/>
      <c r="E544" s="210"/>
      <c r="F544" s="210"/>
      <c r="G544" s="210"/>
      <c r="H544" s="210"/>
      <c r="I544" s="210"/>
      <c r="J544" s="210"/>
      <c r="K544" s="210"/>
      <c r="L544" s="210"/>
      <c r="M544" s="210"/>
      <c r="N544" s="210"/>
      <c r="O544" s="210"/>
      <c r="P544" s="210"/>
      <c r="Q544" s="210"/>
      <c r="R544" s="210"/>
      <c r="S544" s="210"/>
      <c r="T544" s="210"/>
      <c r="U544" s="210"/>
      <c r="V544" s="210"/>
      <c r="W544" s="210"/>
      <c r="X544" s="210"/>
      <c r="Y544" s="210"/>
      <c r="Z544" s="210"/>
      <c r="AA544" s="210"/>
      <c r="AB544" s="210"/>
      <c r="AC544" s="210"/>
      <c r="AD544" s="210"/>
      <c r="AE544" s="210"/>
      <c r="AF544" s="210"/>
      <c r="AG544" s="210"/>
      <c r="AH544" s="210"/>
      <c r="AI544" s="210"/>
      <c r="AJ544" s="210"/>
      <c r="AK544" s="210"/>
      <c r="AL544" s="210"/>
      <c r="AM544" s="210"/>
      <c r="AN544" s="210"/>
      <c r="AO544" s="210"/>
      <c r="AP544" s="210"/>
      <c r="AQ544" s="210"/>
      <c r="AR544" s="210"/>
      <c r="AS544" s="210"/>
      <c r="AT544" s="210"/>
      <c r="AU544" s="210"/>
      <c r="AV544" s="210"/>
      <c r="AW544" s="210"/>
      <c r="AX544" s="210"/>
      <c r="AY544" s="210"/>
      <c r="AZ544" s="210"/>
      <c r="BA544" s="210"/>
      <c r="BB544" s="210"/>
      <c r="BC544" s="210"/>
      <c r="BD544" s="210"/>
      <c r="BE544" s="210"/>
      <c r="BF544" s="210"/>
      <c r="BG544" s="210"/>
      <c r="BH544" s="210"/>
      <c r="BI544" s="210"/>
      <c r="BJ544" s="210"/>
    </row>
    <row r="545" spans="1:62" ht="15" x14ac:dyDescent="0.2">
      <c r="A545" s="210"/>
      <c r="B545" s="210"/>
      <c r="C545" s="210"/>
      <c r="D545" s="210"/>
      <c r="E545" s="210"/>
      <c r="F545" s="210"/>
      <c r="G545" s="210"/>
      <c r="H545" s="210"/>
      <c r="I545" s="210"/>
      <c r="J545" s="210"/>
      <c r="K545" s="210"/>
      <c r="L545" s="210"/>
      <c r="M545" s="210"/>
      <c r="N545" s="210"/>
      <c r="O545" s="210"/>
      <c r="P545" s="210"/>
      <c r="Q545" s="210"/>
      <c r="R545" s="210"/>
      <c r="S545" s="210"/>
      <c r="T545" s="210"/>
      <c r="U545" s="210"/>
      <c r="V545" s="210"/>
      <c r="W545" s="210"/>
      <c r="X545" s="210"/>
      <c r="Y545" s="210"/>
      <c r="Z545" s="210"/>
      <c r="AA545" s="210"/>
      <c r="AB545" s="210"/>
      <c r="AC545" s="210"/>
      <c r="AD545" s="210"/>
      <c r="AE545" s="210"/>
      <c r="AF545" s="210"/>
      <c r="AG545" s="210"/>
      <c r="AH545" s="210"/>
      <c r="AI545" s="210"/>
      <c r="AJ545" s="210"/>
      <c r="AK545" s="210"/>
      <c r="AL545" s="210"/>
      <c r="AM545" s="210"/>
      <c r="AN545" s="210"/>
      <c r="AO545" s="210"/>
      <c r="AP545" s="210"/>
      <c r="AQ545" s="210"/>
      <c r="AR545" s="210"/>
      <c r="AS545" s="210"/>
      <c r="AT545" s="210"/>
      <c r="AU545" s="210"/>
      <c r="AV545" s="210"/>
      <c r="AW545" s="210"/>
      <c r="AX545" s="210"/>
      <c r="AY545" s="210"/>
      <c r="AZ545" s="210"/>
      <c r="BA545" s="210"/>
      <c r="BB545" s="210"/>
      <c r="BC545" s="210"/>
      <c r="BD545" s="210"/>
      <c r="BE545" s="210"/>
      <c r="BF545" s="210"/>
      <c r="BG545" s="210"/>
      <c r="BH545" s="210"/>
      <c r="BI545" s="210"/>
      <c r="BJ545" s="210"/>
    </row>
    <row r="546" spans="1:62" ht="15" x14ac:dyDescent="0.2">
      <c r="A546" s="210"/>
      <c r="B546" s="210"/>
      <c r="C546" s="210"/>
      <c r="D546" s="210"/>
      <c r="E546" s="210"/>
      <c r="F546" s="210"/>
      <c r="G546" s="210"/>
      <c r="H546" s="210"/>
      <c r="I546" s="210"/>
      <c r="J546" s="210"/>
      <c r="K546" s="210"/>
      <c r="L546" s="210"/>
      <c r="M546" s="210"/>
      <c r="N546" s="210"/>
      <c r="O546" s="210"/>
      <c r="P546" s="210"/>
      <c r="Q546" s="210"/>
      <c r="R546" s="210"/>
      <c r="S546" s="210"/>
      <c r="T546" s="210"/>
      <c r="U546" s="210"/>
      <c r="V546" s="210"/>
      <c r="W546" s="210"/>
      <c r="X546" s="210"/>
      <c r="Y546" s="210"/>
      <c r="Z546" s="210"/>
      <c r="AA546" s="210"/>
      <c r="AB546" s="210"/>
      <c r="AC546" s="210"/>
      <c r="AD546" s="210"/>
      <c r="AE546" s="210"/>
      <c r="AF546" s="210"/>
      <c r="AG546" s="210"/>
      <c r="AH546" s="210"/>
      <c r="AI546" s="210"/>
      <c r="AJ546" s="210"/>
      <c r="AK546" s="210"/>
      <c r="AL546" s="210"/>
      <c r="AM546" s="210"/>
      <c r="AN546" s="210"/>
      <c r="AO546" s="210"/>
      <c r="AP546" s="210"/>
      <c r="AQ546" s="210"/>
      <c r="AR546" s="210"/>
      <c r="AS546" s="210"/>
      <c r="AT546" s="210"/>
      <c r="AU546" s="210"/>
      <c r="AV546" s="210"/>
      <c r="AW546" s="210"/>
      <c r="AX546" s="210"/>
      <c r="AY546" s="210"/>
      <c r="AZ546" s="210"/>
      <c r="BA546" s="210"/>
      <c r="BB546" s="210"/>
      <c r="BC546" s="210"/>
      <c r="BD546" s="210"/>
      <c r="BE546" s="210"/>
      <c r="BF546" s="210"/>
      <c r="BG546" s="210"/>
      <c r="BH546" s="210"/>
      <c r="BI546" s="210"/>
      <c r="BJ546" s="210"/>
    </row>
    <row r="547" spans="1:62" ht="15" x14ac:dyDescent="0.2">
      <c r="A547" s="210"/>
      <c r="B547" s="210"/>
      <c r="C547" s="210"/>
      <c r="D547" s="210"/>
      <c r="E547" s="210"/>
      <c r="F547" s="210"/>
      <c r="G547" s="210"/>
      <c r="H547" s="210"/>
      <c r="I547" s="210"/>
      <c r="J547" s="210"/>
      <c r="K547" s="210"/>
      <c r="L547" s="210"/>
      <c r="M547" s="210"/>
      <c r="N547" s="210"/>
      <c r="O547" s="210"/>
      <c r="P547" s="210"/>
      <c r="Q547" s="210"/>
      <c r="R547" s="210"/>
      <c r="S547" s="210"/>
      <c r="T547" s="210"/>
      <c r="U547" s="210"/>
      <c r="V547" s="210"/>
      <c r="W547" s="210"/>
      <c r="X547" s="210"/>
      <c r="Y547" s="210"/>
      <c r="Z547" s="210"/>
      <c r="AA547" s="210"/>
      <c r="AB547" s="210"/>
      <c r="AC547" s="210"/>
      <c r="AD547" s="210"/>
      <c r="AE547" s="210"/>
      <c r="AF547" s="210"/>
      <c r="AG547" s="210"/>
      <c r="AH547" s="210"/>
      <c r="AI547" s="210"/>
      <c r="AJ547" s="210"/>
      <c r="AK547" s="210"/>
      <c r="AL547" s="210"/>
      <c r="AM547" s="210"/>
      <c r="AN547" s="210"/>
      <c r="AO547" s="210"/>
      <c r="AP547" s="210"/>
      <c r="AQ547" s="210"/>
      <c r="AR547" s="210"/>
      <c r="AS547" s="210"/>
      <c r="AT547" s="210"/>
      <c r="AU547" s="210"/>
      <c r="AV547" s="210"/>
      <c r="AW547" s="210"/>
      <c r="AX547" s="210"/>
      <c r="AY547" s="210"/>
      <c r="AZ547" s="210"/>
      <c r="BA547" s="210"/>
      <c r="BB547" s="210"/>
      <c r="BC547" s="210"/>
      <c r="BD547" s="210"/>
      <c r="BE547" s="210"/>
      <c r="BF547" s="210"/>
      <c r="BG547" s="210"/>
      <c r="BH547" s="210"/>
      <c r="BI547" s="210"/>
      <c r="BJ547" s="210"/>
    </row>
    <row r="548" spans="1:62" ht="15" x14ac:dyDescent="0.2">
      <c r="A548" s="210"/>
      <c r="B548" s="210"/>
      <c r="C548" s="210"/>
      <c r="D548" s="210"/>
      <c r="E548" s="210"/>
      <c r="F548" s="210"/>
      <c r="G548" s="210"/>
      <c r="H548" s="210"/>
      <c r="I548" s="210"/>
      <c r="J548" s="210"/>
      <c r="K548" s="210"/>
      <c r="L548" s="210"/>
      <c r="M548" s="210"/>
      <c r="N548" s="210"/>
      <c r="O548" s="210"/>
      <c r="P548" s="210"/>
      <c r="Q548" s="210"/>
      <c r="R548" s="210"/>
      <c r="S548" s="210"/>
      <c r="T548" s="210"/>
      <c r="U548" s="210"/>
      <c r="V548" s="210"/>
      <c r="W548" s="210"/>
      <c r="X548" s="210"/>
      <c r="Y548" s="210"/>
      <c r="Z548" s="210"/>
      <c r="AA548" s="210"/>
      <c r="AB548" s="210"/>
      <c r="AC548" s="210"/>
      <c r="AD548" s="210"/>
      <c r="AE548" s="210"/>
      <c r="AF548" s="210"/>
      <c r="AG548" s="210"/>
      <c r="AH548" s="210"/>
      <c r="AI548" s="210"/>
      <c r="AJ548" s="210"/>
      <c r="AK548" s="210"/>
      <c r="AL548" s="210"/>
      <c r="AM548" s="210"/>
      <c r="AN548" s="210"/>
      <c r="AO548" s="210"/>
      <c r="AP548" s="210"/>
      <c r="AQ548" s="210"/>
      <c r="AR548" s="210"/>
      <c r="AS548" s="210"/>
      <c r="AT548" s="210"/>
      <c r="AU548" s="210"/>
      <c r="AV548" s="210"/>
      <c r="AW548" s="210"/>
      <c r="AX548" s="210"/>
      <c r="AY548" s="210"/>
      <c r="AZ548" s="210"/>
      <c r="BA548" s="210"/>
      <c r="BB548" s="210"/>
      <c r="BC548" s="210"/>
      <c r="BD548" s="210"/>
      <c r="BE548" s="210"/>
      <c r="BF548" s="210"/>
      <c r="BG548" s="210"/>
      <c r="BH548" s="210"/>
      <c r="BI548" s="210"/>
      <c r="BJ548" s="210"/>
    </row>
    <row r="549" spans="1:62" ht="15" x14ac:dyDescent="0.2">
      <c r="A549" s="210"/>
      <c r="B549" s="210"/>
      <c r="C549" s="210"/>
      <c r="D549" s="210"/>
      <c r="E549" s="210"/>
      <c r="F549" s="210"/>
      <c r="G549" s="210"/>
      <c r="H549" s="210"/>
      <c r="I549" s="210"/>
      <c r="J549" s="210"/>
      <c r="K549" s="210"/>
      <c r="L549" s="210"/>
      <c r="M549" s="210"/>
      <c r="N549" s="210"/>
      <c r="O549" s="210"/>
      <c r="P549" s="210"/>
      <c r="Q549" s="210"/>
      <c r="R549" s="210"/>
      <c r="S549" s="210"/>
      <c r="T549" s="210"/>
      <c r="U549" s="210"/>
      <c r="V549" s="210"/>
      <c r="W549" s="210"/>
      <c r="X549" s="210"/>
      <c r="Y549" s="210"/>
      <c r="Z549" s="210"/>
      <c r="AA549" s="210"/>
      <c r="AB549" s="210"/>
      <c r="AC549" s="210"/>
      <c r="AD549" s="210"/>
      <c r="AE549" s="210"/>
      <c r="AF549" s="210"/>
      <c r="AG549" s="210"/>
      <c r="AH549" s="210"/>
      <c r="AI549" s="210"/>
      <c r="AJ549" s="210"/>
      <c r="AK549" s="210"/>
      <c r="AL549" s="210"/>
      <c r="AM549" s="210"/>
      <c r="AN549" s="210"/>
      <c r="AO549" s="210"/>
      <c r="AP549" s="210"/>
      <c r="AQ549" s="210"/>
      <c r="AR549" s="210"/>
      <c r="AS549" s="210"/>
      <c r="AT549" s="210"/>
      <c r="AU549" s="210"/>
      <c r="AV549" s="210"/>
      <c r="AW549" s="210"/>
      <c r="AX549" s="210"/>
      <c r="AY549" s="210"/>
      <c r="AZ549" s="210"/>
      <c r="BA549" s="210"/>
      <c r="BB549" s="210"/>
      <c r="BC549" s="210"/>
      <c r="BD549" s="210"/>
      <c r="BE549" s="210"/>
      <c r="BF549" s="210"/>
      <c r="BG549" s="210"/>
      <c r="BH549" s="210"/>
      <c r="BI549" s="210"/>
      <c r="BJ549" s="210"/>
    </row>
    <row r="550" spans="1:62" ht="15" x14ac:dyDescent="0.2">
      <c r="A550" s="210"/>
      <c r="B550" s="210"/>
      <c r="C550" s="210"/>
      <c r="D550" s="210"/>
      <c r="E550" s="210"/>
      <c r="F550" s="210"/>
      <c r="G550" s="210"/>
      <c r="H550" s="210"/>
      <c r="I550" s="210"/>
      <c r="J550" s="210"/>
      <c r="K550" s="210"/>
      <c r="L550" s="210"/>
      <c r="M550" s="210"/>
      <c r="N550" s="210"/>
      <c r="O550" s="210"/>
      <c r="P550" s="210"/>
      <c r="Q550" s="210"/>
      <c r="R550" s="210"/>
      <c r="S550" s="210"/>
      <c r="T550" s="210"/>
      <c r="U550" s="210"/>
      <c r="V550" s="210"/>
      <c r="W550" s="210"/>
      <c r="X550" s="210"/>
      <c r="Y550" s="210"/>
      <c r="Z550" s="210"/>
      <c r="AA550" s="210"/>
      <c r="AB550" s="210"/>
      <c r="AC550" s="210"/>
      <c r="AD550" s="210"/>
      <c r="AE550" s="210"/>
      <c r="AF550" s="210"/>
      <c r="AG550" s="210"/>
      <c r="AH550" s="210"/>
      <c r="AI550" s="210"/>
      <c r="AJ550" s="210"/>
      <c r="AK550" s="210"/>
      <c r="AL550" s="210"/>
      <c r="AM550" s="210"/>
      <c r="AN550" s="210"/>
      <c r="AO550" s="210"/>
      <c r="AP550" s="210"/>
      <c r="AQ550" s="210"/>
      <c r="AR550" s="210"/>
      <c r="AS550" s="210"/>
      <c r="AT550" s="210"/>
      <c r="AU550" s="210"/>
      <c r="AV550" s="210"/>
      <c r="AW550" s="210"/>
      <c r="AX550" s="210"/>
      <c r="AY550" s="210"/>
      <c r="AZ550" s="210"/>
      <c r="BA550" s="210"/>
      <c r="BB550" s="210"/>
      <c r="BC550" s="210"/>
      <c r="BD550" s="210"/>
      <c r="BE550" s="210"/>
      <c r="BF550" s="210"/>
      <c r="BG550" s="210"/>
      <c r="BH550" s="210"/>
      <c r="BI550" s="210"/>
      <c r="BJ550" s="210"/>
    </row>
    <row r="551" spans="1:62" ht="15" x14ac:dyDescent="0.2">
      <c r="A551" s="210"/>
      <c r="B551" s="210"/>
      <c r="C551" s="210"/>
      <c r="D551" s="210"/>
      <c r="E551" s="210"/>
      <c r="F551" s="210"/>
      <c r="G551" s="210"/>
      <c r="H551" s="210"/>
      <c r="I551" s="210"/>
      <c r="J551" s="210"/>
      <c r="K551" s="210"/>
      <c r="L551" s="210"/>
      <c r="M551" s="210"/>
      <c r="N551" s="210"/>
      <c r="O551" s="210"/>
      <c r="P551" s="210"/>
      <c r="Q551" s="210"/>
      <c r="R551" s="210"/>
      <c r="S551" s="210"/>
      <c r="T551" s="210"/>
      <c r="U551" s="210"/>
      <c r="V551" s="210"/>
      <c r="W551" s="210"/>
      <c r="X551" s="210"/>
      <c r="Y551" s="210"/>
      <c r="Z551" s="210"/>
      <c r="AA551" s="210"/>
      <c r="AB551" s="210"/>
      <c r="AC551" s="210"/>
      <c r="AD551" s="210"/>
      <c r="AE551" s="210"/>
      <c r="AF551" s="210"/>
      <c r="AG551" s="210"/>
      <c r="AH551" s="210"/>
      <c r="AI551" s="210"/>
      <c r="AJ551" s="210"/>
      <c r="AK551" s="210"/>
      <c r="AL551" s="210"/>
      <c r="AM551" s="210"/>
      <c r="AN551" s="210"/>
      <c r="AO551" s="210"/>
      <c r="AP551" s="210"/>
      <c r="AQ551" s="210"/>
      <c r="AR551" s="210"/>
      <c r="AS551" s="210"/>
      <c r="AT551" s="210"/>
      <c r="AU551" s="210"/>
      <c r="AV551" s="210"/>
      <c r="AW551" s="210"/>
      <c r="AX551" s="210"/>
      <c r="AY551" s="210"/>
      <c r="AZ551" s="210"/>
      <c r="BA551" s="210"/>
      <c r="BB551" s="210"/>
      <c r="BC551" s="210"/>
      <c r="BD551" s="210"/>
      <c r="BE551" s="210"/>
      <c r="BF551" s="210"/>
      <c r="BG551" s="210"/>
      <c r="BH551" s="210"/>
      <c r="BI551" s="210"/>
      <c r="BJ551" s="210"/>
    </row>
    <row r="552" spans="1:62" ht="15" x14ac:dyDescent="0.2">
      <c r="A552" s="210"/>
      <c r="B552" s="210"/>
      <c r="C552" s="210"/>
      <c r="D552" s="210"/>
      <c r="E552" s="210"/>
      <c r="F552" s="210"/>
      <c r="G552" s="210"/>
      <c r="H552" s="210"/>
      <c r="I552" s="210"/>
      <c r="J552" s="210"/>
      <c r="K552" s="210"/>
      <c r="L552" s="210"/>
      <c r="M552" s="210"/>
      <c r="N552" s="210"/>
      <c r="O552" s="210"/>
      <c r="P552" s="210"/>
      <c r="Q552" s="210"/>
      <c r="R552" s="210"/>
      <c r="S552" s="210"/>
      <c r="T552" s="210"/>
      <c r="U552" s="210"/>
      <c r="V552" s="210"/>
      <c r="W552" s="210"/>
      <c r="X552" s="210"/>
      <c r="Y552" s="210"/>
      <c r="Z552" s="210"/>
      <c r="AA552" s="210"/>
      <c r="AB552" s="210"/>
      <c r="AC552" s="210"/>
      <c r="AD552" s="210"/>
      <c r="AE552" s="210"/>
      <c r="AF552" s="210"/>
      <c r="AG552" s="210"/>
      <c r="AH552" s="210"/>
      <c r="AI552" s="210"/>
      <c r="AJ552" s="210"/>
      <c r="AK552" s="210"/>
      <c r="AL552" s="210"/>
      <c r="AM552" s="210"/>
      <c r="AN552" s="210"/>
      <c r="AO552" s="210"/>
      <c r="AP552" s="210"/>
      <c r="AQ552" s="210"/>
      <c r="AR552" s="210"/>
      <c r="AS552" s="210"/>
      <c r="AT552" s="210"/>
      <c r="AU552" s="210"/>
      <c r="AV552" s="210"/>
      <c r="AW552" s="210"/>
      <c r="AX552" s="210"/>
      <c r="AY552" s="210"/>
      <c r="AZ552" s="210"/>
      <c r="BA552" s="210"/>
      <c r="BB552" s="210"/>
      <c r="BC552" s="210"/>
      <c r="BD552" s="210"/>
      <c r="BE552" s="210"/>
      <c r="BF552" s="210"/>
      <c r="BG552" s="210"/>
      <c r="BH552" s="210"/>
      <c r="BI552" s="210"/>
      <c r="BJ552" s="210"/>
    </row>
    <row r="553" spans="1:62" ht="15" x14ac:dyDescent="0.2">
      <c r="A553" s="210"/>
      <c r="B553" s="210"/>
      <c r="C553" s="210"/>
      <c r="D553" s="210"/>
      <c r="E553" s="210"/>
      <c r="F553" s="210"/>
      <c r="G553" s="210"/>
      <c r="H553" s="210"/>
      <c r="I553" s="210"/>
      <c r="J553" s="210"/>
      <c r="K553" s="210"/>
      <c r="L553" s="210"/>
      <c r="M553" s="210"/>
      <c r="N553" s="210"/>
      <c r="O553" s="210"/>
      <c r="P553" s="210"/>
      <c r="Q553" s="210"/>
      <c r="R553" s="210"/>
      <c r="S553" s="210"/>
      <c r="T553" s="210"/>
      <c r="U553" s="210"/>
      <c r="V553" s="210"/>
      <c r="W553" s="210"/>
      <c r="X553" s="210"/>
      <c r="Y553" s="210"/>
      <c r="Z553" s="210"/>
      <c r="AA553" s="210"/>
      <c r="AB553" s="210"/>
      <c r="AC553" s="210"/>
      <c r="AD553" s="210"/>
      <c r="AE553" s="210"/>
      <c r="AF553" s="210"/>
      <c r="AG553" s="210"/>
      <c r="AH553" s="210"/>
      <c r="AI553" s="210"/>
      <c r="AJ553" s="210"/>
      <c r="AK553" s="210"/>
      <c r="AL553" s="210"/>
      <c r="AM553" s="210"/>
      <c r="AN553" s="210"/>
      <c r="AO553" s="210"/>
      <c r="AP553" s="210"/>
      <c r="AQ553" s="210"/>
      <c r="AR553" s="210"/>
      <c r="AS553" s="210"/>
      <c r="AT553" s="210"/>
      <c r="AU553" s="210"/>
      <c r="AV553" s="210"/>
      <c r="AW553" s="210"/>
      <c r="AX553" s="210"/>
      <c r="AY553" s="210"/>
      <c r="AZ553" s="210"/>
      <c r="BA553" s="210"/>
      <c r="BB553" s="210"/>
      <c r="BC553" s="210"/>
      <c r="BD553" s="210"/>
      <c r="BE553" s="210"/>
      <c r="BF553" s="210"/>
      <c r="BG553" s="210"/>
      <c r="BH553" s="210"/>
      <c r="BI553" s="210"/>
      <c r="BJ553" s="210"/>
    </row>
    <row r="554" spans="1:62" ht="15" x14ac:dyDescent="0.2">
      <c r="A554" s="210"/>
      <c r="B554" s="210"/>
      <c r="C554" s="210"/>
      <c r="D554" s="210"/>
      <c r="E554" s="210"/>
      <c r="F554" s="210"/>
      <c r="G554" s="210"/>
      <c r="H554" s="210"/>
      <c r="I554" s="210"/>
      <c r="J554" s="210"/>
      <c r="K554" s="210"/>
      <c r="L554" s="210"/>
      <c r="M554" s="210"/>
      <c r="N554" s="210"/>
      <c r="O554" s="210"/>
      <c r="P554" s="210"/>
      <c r="Q554" s="210"/>
      <c r="R554" s="210"/>
      <c r="S554" s="210"/>
      <c r="T554" s="210"/>
      <c r="U554" s="210"/>
      <c r="V554" s="210"/>
      <c r="W554" s="210"/>
      <c r="X554" s="210"/>
      <c r="Y554" s="210"/>
      <c r="Z554" s="210"/>
      <c r="AA554" s="210"/>
      <c r="AB554" s="210"/>
      <c r="AC554" s="210"/>
      <c r="AD554" s="210"/>
      <c r="AE554" s="210"/>
      <c r="AF554" s="210"/>
      <c r="AG554" s="210"/>
      <c r="AH554" s="210"/>
      <c r="AI554" s="210"/>
      <c r="AJ554" s="210"/>
      <c r="AK554" s="210"/>
      <c r="AL554" s="210"/>
      <c r="AM554" s="210"/>
      <c r="AN554" s="210"/>
      <c r="AO554" s="210"/>
      <c r="AP554" s="210"/>
      <c r="AQ554" s="210"/>
      <c r="AR554" s="210"/>
      <c r="AS554" s="210"/>
      <c r="AT554" s="210"/>
      <c r="AU554" s="210"/>
      <c r="AV554" s="210"/>
      <c r="AW554" s="210"/>
      <c r="AX554" s="210"/>
      <c r="AY554" s="210"/>
      <c r="AZ554" s="210"/>
      <c r="BA554" s="210"/>
      <c r="BB554" s="210"/>
      <c r="BC554" s="210"/>
      <c r="BD554" s="210"/>
      <c r="BE554" s="210"/>
      <c r="BF554" s="210"/>
      <c r="BG554" s="210"/>
      <c r="BH554" s="210"/>
      <c r="BI554" s="210"/>
      <c r="BJ554" s="210"/>
    </row>
    <row r="555" spans="1:62" ht="15" x14ac:dyDescent="0.2">
      <c r="A555" s="210"/>
      <c r="B555" s="210"/>
      <c r="C555" s="210"/>
      <c r="D555" s="210"/>
      <c r="E555" s="210"/>
      <c r="F555" s="210"/>
      <c r="G555" s="210"/>
      <c r="H555" s="210"/>
      <c r="I555" s="210"/>
      <c r="J555" s="210"/>
      <c r="K555" s="210"/>
      <c r="L555" s="210"/>
      <c r="M555" s="210"/>
      <c r="N555" s="210"/>
      <c r="O555" s="210"/>
      <c r="P555" s="210"/>
      <c r="Q555" s="210"/>
      <c r="R555" s="210"/>
      <c r="S555" s="210"/>
      <c r="T555" s="210"/>
      <c r="U555" s="210"/>
      <c r="V555" s="210"/>
      <c r="W555" s="210"/>
      <c r="X555" s="210"/>
      <c r="Y555" s="210"/>
      <c r="Z555" s="210"/>
      <c r="AA555" s="210"/>
      <c r="AB555" s="210"/>
      <c r="AC555" s="210"/>
      <c r="AD555" s="210"/>
      <c r="AE555" s="210"/>
      <c r="AF555" s="210"/>
      <c r="AG555" s="210"/>
      <c r="AH555" s="210"/>
      <c r="AI555" s="210"/>
      <c r="AJ555" s="210"/>
      <c r="AK555" s="210"/>
      <c r="AL555" s="210"/>
      <c r="AM555" s="210"/>
      <c r="AN555" s="210"/>
      <c r="AO555" s="210"/>
      <c r="AP555" s="210"/>
      <c r="AQ555" s="210"/>
      <c r="AR555" s="210"/>
      <c r="AS555" s="210"/>
      <c r="AT555" s="210"/>
      <c r="AU555" s="210"/>
      <c r="AV555" s="210"/>
      <c r="AW555" s="210"/>
      <c r="AX555" s="210"/>
      <c r="AY555" s="210"/>
      <c r="AZ555" s="210"/>
      <c r="BA555" s="210"/>
      <c r="BB555" s="210"/>
      <c r="BC555" s="210"/>
      <c r="BD555" s="210"/>
      <c r="BE555" s="210"/>
      <c r="BF555" s="210"/>
      <c r="BG555" s="210"/>
      <c r="BH555" s="210"/>
      <c r="BI555" s="210"/>
      <c r="BJ555" s="210"/>
    </row>
    <row r="556" spans="1:62" ht="15" x14ac:dyDescent="0.2">
      <c r="A556" s="210"/>
      <c r="B556" s="210"/>
      <c r="C556" s="210"/>
      <c r="D556" s="210"/>
      <c r="E556" s="210"/>
      <c r="F556" s="210"/>
      <c r="G556" s="210"/>
      <c r="H556" s="210"/>
      <c r="I556" s="210"/>
      <c r="J556" s="210"/>
      <c r="K556" s="210"/>
      <c r="L556" s="210"/>
      <c r="M556" s="210"/>
      <c r="N556" s="210"/>
      <c r="O556" s="210"/>
      <c r="P556" s="210"/>
      <c r="Q556" s="210"/>
      <c r="R556" s="210"/>
      <c r="S556" s="210"/>
      <c r="T556" s="210"/>
      <c r="U556" s="210"/>
      <c r="V556" s="210"/>
      <c r="W556" s="210"/>
      <c r="X556" s="210"/>
      <c r="Y556" s="210"/>
      <c r="Z556" s="210"/>
      <c r="AA556" s="210"/>
      <c r="AB556" s="210"/>
      <c r="AC556" s="210"/>
      <c r="AD556" s="210"/>
      <c r="AE556" s="210"/>
      <c r="AF556" s="210"/>
      <c r="AG556" s="210"/>
      <c r="AH556" s="210"/>
      <c r="AI556" s="210"/>
      <c r="AJ556" s="210"/>
      <c r="AK556" s="210"/>
      <c r="AL556" s="210"/>
      <c r="AM556" s="210"/>
      <c r="AN556" s="210"/>
      <c r="AO556" s="210"/>
      <c r="AP556" s="210"/>
      <c r="AQ556" s="210"/>
      <c r="AR556" s="210"/>
      <c r="AS556" s="210"/>
      <c r="AT556" s="210"/>
      <c r="AU556" s="210"/>
      <c r="AV556" s="210"/>
      <c r="AW556" s="210"/>
      <c r="AX556" s="210"/>
      <c r="AY556" s="210"/>
      <c r="AZ556" s="210"/>
      <c r="BA556" s="210"/>
      <c r="BB556" s="210"/>
      <c r="BC556" s="210"/>
      <c r="BD556" s="210"/>
      <c r="BE556" s="210"/>
      <c r="BF556" s="210"/>
      <c r="BG556" s="210"/>
      <c r="BH556" s="210"/>
      <c r="BI556" s="210"/>
      <c r="BJ556" s="210"/>
    </row>
    <row r="557" spans="1:62" ht="15" x14ac:dyDescent="0.2">
      <c r="A557" s="210"/>
      <c r="B557" s="210"/>
      <c r="C557" s="210"/>
      <c r="D557" s="210"/>
      <c r="E557" s="210"/>
      <c r="F557" s="210"/>
      <c r="G557" s="210"/>
      <c r="H557" s="210"/>
      <c r="I557" s="210"/>
      <c r="J557" s="210"/>
      <c r="K557" s="210"/>
      <c r="L557" s="210"/>
      <c r="M557" s="210"/>
      <c r="N557" s="210"/>
      <c r="O557" s="210"/>
      <c r="P557" s="210"/>
      <c r="Q557" s="210"/>
      <c r="R557" s="210"/>
      <c r="S557" s="210"/>
      <c r="T557" s="210"/>
      <c r="U557" s="210"/>
      <c r="V557" s="210"/>
      <c r="W557" s="210"/>
      <c r="X557" s="210"/>
      <c r="Y557" s="210"/>
      <c r="Z557" s="210"/>
      <c r="AA557" s="210"/>
      <c r="AB557" s="210"/>
      <c r="AC557" s="210"/>
      <c r="AD557" s="210"/>
      <c r="AE557" s="210"/>
      <c r="AF557" s="210"/>
      <c r="AG557" s="210"/>
      <c r="AH557" s="210"/>
      <c r="AI557" s="210"/>
      <c r="AJ557" s="210"/>
      <c r="AK557" s="210"/>
      <c r="AL557" s="210"/>
      <c r="AM557" s="210"/>
      <c r="AN557" s="210"/>
      <c r="AO557" s="210"/>
      <c r="AP557" s="210"/>
      <c r="AQ557" s="210"/>
      <c r="AR557" s="210"/>
      <c r="AS557" s="210"/>
      <c r="AT557" s="210"/>
      <c r="AU557" s="210"/>
      <c r="AV557" s="210"/>
      <c r="AW557" s="210"/>
      <c r="AX557" s="210"/>
      <c r="AY557" s="210"/>
      <c r="AZ557" s="210"/>
      <c r="BA557" s="210"/>
      <c r="BB557" s="210"/>
      <c r="BC557" s="210"/>
      <c r="BD557" s="210"/>
      <c r="BE557" s="210"/>
      <c r="BF557" s="210"/>
      <c r="BG557" s="210"/>
      <c r="BH557" s="210"/>
      <c r="BI557" s="210"/>
      <c r="BJ557" s="210"/>
    </row>
    <row r="558" spans="1:62" ht="15" x14ac:dyDescent="0.2">
      <c r="A558" s="210"/>
      <c r="B558" s="210"/>
      <c r="C558" s="210"/>
      <c r="D558" s="210"/>
      <c r="E558" s="210"/>
      <c r="F558" s="210"/>
      <c r="G558" s="210"/>
      <c r="H558" s="210"/>
      <c r="I558" s="210"/>
      <c r="J558" s="210"/>
      <c r="K558" s="210"/>
      <c r="L558" s="210"/>
      <c r="M558" s="210"/>
      <c r="N558" s="210"/>
      <c r="O558" s="210"/>
      <c r="P558" s="210"/>
      <c r="Q558" s="210"/>
      <c r="R558" s="210"/>
      <c r="S558" s="210"/>
      <c r="T558" s="210"/>
      <c r="U558" s="210"/>
      <c r="V558" s="210"/>
      <c r="W558" s="210"/>
      <c r="X558" s="210"/>
      <c r="Y558" s="210"/>
      <c r="Z558" s="210"/>
      <c r="AA558" s="210"/>
      <c r="AB558" s="210"/>
      <c r="AC558" s="210"/>
      <c r="AD558" s="210"/>
      <c r="AE558" s="210"/>
      <c r="AF558" s="210"/>
      <c r="AG558" s="210"/>
      <c r="AH558" s="210"/>
      <c r="AI558" s="210"/>
      <c r="AJ558" s="210"/>
      <c r="AK558" s="210"/>
      <c r="AL558" s="210"/>
      <c r="AM558" s="210"/>
      <c r="AN558" s="210"/>
      <c r="AO558" s="210"/>
      <c r="AP558" s="210"/>
      <c r="AQ558" s="210"/>
      <c r="AR558" s="210"/>
      <c r="AS558" s="210"/>
      <c r="AT558" s="210"/>
      <c r="AU558" s="210"/>
      <c r="AV558" s="210"/>
      <c r="AW558" s="210"/>
      <c r="AX558" s="210"/>
      <c r="AY558" s="210"/>
      <c r="AZ558" s="210"/>
      <c r="BA558" s="210"/>
      <c r="BB558" s="210"/>
      <c r="BC558" s="210"/>
      <c r="BD558" s="210"/>
      <c r="BE558" s="210"/>
      <c r="BF558" s="210"/>
      <c r="BG558" s="210"/>
      <c r="BH558" s="210"/>
      <c r="BI558" s="210"/>
      <c r="BJ558" s="210"/>
    </row>
    <row r="559" spans="1:62" ht="15" x14ac:dyDescent="0.2">
      <c r="A559" s="210"/>
      <c r="B559" s="210"/>
      <c r="C559" s="210"/>
      <c r="D559" s="210"/>
      <c r="E559" s="210"/>
      <c r="F559" s="210"/>
      <c r="G559" s="210"/>
      <c r="H559" s="210"/>
      <c r="I559" s="210"/>
      <c r="J559" s="210"/>
      <c r="K559" s="210"/>
      <c r="L559" s="210"/>
      <c r="M559" s="210"/>
      <c r="N559" s="210"/>
      <c r="O559" s="210"/>
      <c r="P559" s="210"/>
      <c r="Q559" s="210"/>
      <c r="R559" s="210"/>
      <c r="S559" s="210"/>
      <c r="T559" s="210"/>
      <c r="U559" s="210"/>
      <c r="V559" s="210"/>
      <c r="W559" s="210"/>
      <c r="X559" s="210"/>
      <c r="Y559" s="210"/>
      <c r="Z559" s="210"/>
      <c r="AA559" s="210"/>
      <c r="AB559" s="210"/>
      <c r="AC559" s="210"/>
      <c r="AD559" s="210"/>
      <c r="AE559" s="210"/>
      <c r="AF559" s="210"/>
      <c r="AG559" s="210"/>
      <c r="AH559" s="210"/>
      <c r="AI559" s="210"/>
      <c r="AJ559" s="210"/>
      <c r="AK559" s="210"/>
      <c r="AL559" s="210"/>
      <c r="AM559" s="210"/>
      <c r="AN559" s="210"/>
      <c r="AO559" s="210"/>
      <c r="AP559" s="210"/>
      <c r="AQ559" s="210"/>
      <c r="AR559" s="210"/>
      <c r="AS559" s="210"/>
      <c r="AT559" s="210"/>
      <c r="AU559" s="210"/>
      <c r="AV559" s="210"/>
      <c r="AW559" s="210"/>
      <c r="AX559" s="210"/>
      <c r="AY559" s="210"/>
      <c r="AZ559" s="210"/>
      <c r="BA559" s="210"/>
      <c r="BB559" s="210"/>
      <c r="BC559" s="210"/>
      <c r="BD559" s="210"/>
      <c r="BE559" s="210"/>
      <c r="BF559" s="210"/>
      <c r="BG559" s="210"/>
      <c r="BH559" s="210"/>
      <c r="BI559" s="210"/>
      <c r="BJ559" s="210"/>
    </row>
    <row r="560" spans="1:62" ht="15" x14ac:dyDescent="0.2">
      <c r="A560" s="210"/>
      <c r="B560" s="210"/>
      <c r="C560" s="210"/>
      <c r="D560" s="210"/>
      <c r="E560" s="210"/>
      <c r="F560" s="210"/>
      <c r="G560" s="210"/>
      <c r="H560" s="210"/>
      <c r="I560" s="210"/>
      <c r="J560" s="210"/>
      <c r="K560" s="210"/>
      <c r="L560" s="210"/>
      <c r="M560" s="210"/>
      <c r="N560" s="210"/>
      <c r="O560" s="210"/>
      <c r="P560" s="210"/>
      <c r="Q560" s="210"/>
      <c r="R560" s="210"/>
      <c r="S560" s="210"/>
      <c r="T560" s="210"/>
      <c r="U560" s="210"/>
      <c r="V560" s="210"/>
      <c r="W560" s="210"/>
      <c r="X560" s="210"/>
      <c r="Y560" s="210"/>
      <c r="Z560" s="210"/>
      <c r="AA560" s="210"/>
      <c r="AB560" s="210"/>
      <c r="AC560" s="210"/>
      <c r="AD560" s="210"/>
      <c r="AE560" s="210"/>
      <c r="AF560" s="210"/>
      <c r="AG560" s="210"/>
      <c r="AH560" s="210"/>
      <c r="AI560" s="210"/>
      <c r="AJ560" s="210"/>
      <c r="AK560" s="210"/>
      <c r="AL560" s="210"/>
      <c r="AM560" s="210"/>
      <c r="AN560" s="210"/>
      <c r="AO560" s="210"/>
      <c r="AP560" s="210"/>
      <c r="AQ560" s="210"/>
      <c r="AR560" s="210"/>
      <c r="AS560" s="210"/>
      <c r="AT560" s="210"/>
      <c r="AU560" s="210"/>
      <c r="AV560" s="210"/>
      <c r="AW560" s="210"/>
      <c r="AX560" s="210"/>
      <c r="AY560" s="210"/>
      <c r="AZ560" s="210"/>
      <c r="BA560" s="210"/>
      <c r="BB560" s="210"/>
      <c r="BC560" s="210"/>
      <c r="BD560" s="210"/>
      <c r="BE560" s="210"/>
      <c r="BF560" s="210"/>
      <c r="BG560" s="210"/>
      <c r="BH560" s="210"/>
      <c r="BI560" s="210"/>
      <c r="BJ560" s="210"/>
    </row>
    <row r="561" spans="1:62" ht="15" x14ac:dyDescent="0.2">
      <c r="A561" s="210"/>
      <c r="B561" s="210"/>
      <c r="C561" s="210"/>
      <c r="D561" s="210"/>
      <c r="E561" s="210"/>
      <c r="F561" s="210"/>
      <c r="G561" s="210"/>
      <c r="H561" s="210"/>
      <c r="I561" s="210"/>
      <c r="J561" s="210"/>
      <c r="K561" s="210"/>
      <c r="L561" s="210"/>
      <c r="M561" s="210"/>
      <c r="N561" s="210"/>
      <c r="O561" s="210"/>
      <c r="P561" s="210"/>
      <c r="Q561" s="210"/>
      <c r="R561" s="210"/>
      <c r="S561" s="210"/>
      <c r="T561" s="210"/>
      <c r="U561" s="210"/>
      <c r="V561" s="210"/>
      <c r="W561" s="210"/>
      <c r="X561" s="210"/>
      <c r="Y561" s="210"/>
      <c r="Z561" s="210"/>
      <c r="AA561" s="210"/>
      <c r="AB561" s="210"/>
      <c r="AC561" s="210"/>
      <c r="AD561" s="210"/>
      <c r="AE561" s="210"/>
      <c r="AF561" s="210"/>
      <c r="AG561" s="210"/>
      <c r="AH561" s="210"/>
      <c r="AI561" s="210"/>
      <c r="AJ561" s="210"/>
      <c r="AK561" s="210"/>
      <c r="AL561" s="210"/>
      <c r="AM561" s="210"/>
      <c r="AN561" s="210"/>
      <c r="AO561" s="210"/>
      <c r="AP561" s="210"/>
      <c r="AQ561" s="210"/>
      <c r="AR561" s="210"/>
      <c r="AS561" s="210"/>
      <c r="AT561" s="210"/>
      <c r="AU561" s="210"/>
      <c r="AV561" s="210"/>
      <c r="AW561" s="210"/>
      <c r="AX561" s="210"/>
      <c r="AY561" s="210"/>
      <c r="AZ561" s="210"/>
      <c r="BA561" s="210"/>
      <c r="BB561" s="210"/>
      <c r="BC561" s="210"/>
      <c r="BD561" s="210"/>
      <c r="BE561" s="210"/>
      <c r="BF561" s="210"/>
      <c r="BG561" s="210"/>
      <c r="BH561" s="210"/>
      <c r="BI561" s="210"/>
      <c r="BJ561" s="210"/>
    </row>
    <row r="562" spans="1:62" ht="15" x14ac:dyDescent="0.2">
      <c r="A562" s="210"/>
      <c r="B562" s="210"/>
      <c r="C562" s="210"/>
      <c r="D562" s="210"/>
      <c r="E562" s="210"/>
      <c r="F562" s="210"/>
      <c r="G562" s="210"/>
      <c r="H562" s="210"/>
      <c r="I562" s="210"/>
      <c r="J562" s="210"/>
      <c r="K562" s="210"/>
      <c r="L562" s="210"/>
      <c r="M562" s="210"/>
      <c r="N562" s="210"/>
      <c r="O562" s="210"/>
      <c r="P562" s="210"/>
      <c r="Q562" s="210"/>
      <c r="R562" s="210"/>
      <c r="S562" s="210"/>
      <c r="T562" s="210"/>
      <c r="U562" s="210"/>
      <c r="V562" s="210"/>
      <c r="W562" s="210"/>
      <c r="X562" s="210"/>
      <c r="Y562" s="210"/>
      <c r="Z562" s="210"/>
      <c r="AA562" s="210"/>
      <c r="AB562" s="210"/>
      <c r="AC562" s="210"/>
      <c r="AD562" s="210"/>
      <c r="AE562" s="210"/>
      <c r="AF562" s="210"/>
      <c r="AG562" s="210"/>
      <c r="AH562" s="210"/>
      <c r="AI562" s="210"/>
      <c r="AJ562" s="210"/>
      <c r="AK562" s="210"/>
      <c r="AL562" s="210"/>
      <c r="AM562" s="210"/>
      <c r="AN562" s="210"/>
      <c r="AO562" s="210"/>
      <c r="AP562" s="210"/>
      <c r="AQ562" s="210"/>
      <c r="AR562" s="210"/>
      <c r="AS562" s="210"/>
      <c r="AT562" s="210"/>
      <c r="AU562" s="210"/>
      <c r="AV562" s="210"/>
      <c r="AW562" s="210"/>
      <c r="AX562" s="210"/>
      <c r="AY562" s="210"/>
      <c r="AZ562" s="210"/>
      <c r="BA562" s="210"/>
      <c r="BB562" s="210"/>
      <c r="BC562" s="210"/>
      <c r="BD562" s="210"/>
      <c r="BE562" s="210"/>
      <c r="BF562" s="210"/>
      <c r="BG562" s="210"/>
      <c r="BH562" s="210"/>
      <c r="BI562" s="210"/>
      <c r="BJ562" s="210"/>
    </row>
    <row r="563" spans="1:62" ht="15" x14ac:dyDescent="0.2">
      <c r="A563" s="210"/>
      <c r="B563" s="210"/>
      <c r="C563" s="210"/>
      <c r="D563" s="210"/>
      <c r="E563" s="210"/>
      <c r="F563" s="210"/>
      <c r="G563" s="210"/>
      <c r="H563" s="210"/>
      <c r="I563" s="210"/>
      <c r="J563" s="210"/>
      <c r="K563" s="210"/>
      <c r="L563" s="210"/>
      <c r="M563" s="210"/>
      <c r="N563" s="210"/>
      <c r="O563" s="210"/>
      <c r="P563" s="210"/>
      <c r="Q563" s="210"/>
      <c r="R563" s="210"/>
      <c r="S563" s="210"/>
      <c r="T563" s="210"/>
      <c r="U563" s="210"/>
      <c r="V563" s="210"/>
      <c r="W563" s="210"/>
      <c r="X563" s="210"/>
      <c r="Y563" s="210"/>
      <c r="Z563" s="210"/>
      <c r="AA563" s="210"/>
      <c r="AB563" s="210"/>
      <c r="AC563" s="210"/>
      <c r="AD563" s="210"/>
      <c r="AE563" s="210"/>
      <c r="AF563" s="210"/>
      <c r="AG563" s="210"/>
      <c r="AH563" s="210"/>
      <c r="AI563" s="210"/>
      <c r="AJ563" s="210"/>
      <c r="AK563" s="210"/>
      <c r="AL563" s="210"/>
      <c r="AM563" s="210"/>
      <c r="AN563" s="210"/>
      <c r="AO563" s="210"/>
      <c r="AP563" s="210"/>
      <c r="AQ563" s="210"/>
      <c r="AR563" s="210"/>
      <c r="AS563" s="210"/>
      <c r="AT563" s="210"/>
      <c r="AU563" s="210"/>
      <c r="AV563" s="210"/>
      <c r="AW563" s="210"/>
      <c r="AX563" s="210"/>
      <c r="AY563" s="210"/>
      <c r="AZ563" s="210"/>
      <c r="BA563" s="210"/>
      <c r="BB563" s="210"/>
      <c r="BC563" s="210"/>
      <c r="BD563" s="210"/>
      <c r="BE563" s="210"/>
      <c r="BF563" s="210"/>
      <c r="BG563" s="210"/>
      <c r="BH563" s="210"/>
      <c r="BI563" s="210"/>
      <c r="BJ563" s="210"/>
    </row>
    <row r="564" spans="1:62" ht="15" x14ac:dyDescent="0.2">
      <c r="A564" s="210"/>
      <c r="B564" s="210"/>
      <c r="C564" s="210"/>
      <c r="D564" s="210"/>
      <c r="E564" s="210"/>
      <c r="F564" s="210"/>
      <c r="G564" s="210"/>
      <c r="H564" s="210"/>
      <c r="I564" s="210"/>
      <c r="J564" s="210"/>
      <c r="K564" s="210"/>
      <c r="L564" s="210"/>
      <c r="M564" s="210"/>
      <c r="N564" s="210"/>
      <c r="O564" s="210"/>
      <c r="P564" s="210"/>
      <c r="Q564" s="210"/>
      <c r="R564" s="210"/>
      <c r="S564" s="210"/>
      <c r="T564" s="210"/>
      <c r="U564" s="210"/>
      <c r="V564" s="210"/>
      <c r="W564" s="210"/>
      <c r="X564" s="210"/>
      <c r="Y564" s="210"/>
      <c r="Z564" s="210"/>
      <c r="AA564" s="210"/>
      <c r="AB564" s="210"/>
      <c r="AC564" s="210"/>
      <c r="AD564" s="210"/>
      <c r="AE564" s="210"/>
      <c r="AF564" s="210"/>
      <c r="AG564" s="210"/>
      <c r="AH564" s="210"/>
      <c r="AI564" s="210"/>
      <c r="AJ564" s="210"/>
      <c r="AK564" s="210"/>
      <c r="AL564" s="210"/>
      <c r="AM564" s="210"/>
      <c r="AN564" s="210"/>
      <c r="AO564" s="210"/>
      <c r="AP564" s="210"/>
      <c r="AQ564" s="210"/>
      <c r="AR564" s="210"/>
      <c r="AS564" s="210"/>
      <c r="AT564" s="210"/>
      <c r="AU564" s="210"/>
      <c r="AV564" s="210"/>
      <c r="AW564" s="210"/>
      <c r="AX564" s="210"/>
      <c r="AY564" s="210"/>
      <c r="AZ564" s="210"/>
      <c r="BA564" s="210"/>
      <c r="BB564" s="210"/>
      <c r="BC564" s="210"/>
      <c r="BD564" s="210"/>
      <c r="BE564" s="210"/>
      <c r="BF564" s="210"/>
      <c r="BG564" s="210"/>
      <c r="BH564" s="210"/>
      <c r="BI564" s="210"/>
      <c r="BJ564" s="210"/>
    </row>
    <row r="565" spans="1:62" ht="15" x14ac:dyDescent="0.2">
      <c r="A565" s="210"/>
      <c r="B565" s="210"/>
      <c r="C565" s="210"/>
      <c r="D565" s="210"/>
      <c r="E565" s="210"/>
      <c r="F565" s="210"/>
      <c r="G565" s="210"/>
      <c r="H565" s="210"/>
      <c r="I565" s="210"/>
      <c r="J565" s="210"/>
      <c r="K565" s="210"/>
      <c r="L565" s="210"/>
      <c r="M565" s="210"/>
      <c r="N565" s="210"/>
      <c r="O565" s="210"/>
      <c r="P565" s="210"/>
      <c r="Q565" s="210"/>
      <c r="R565" s="210"/>
      <c r="S565" s="210"/>
      <c r="T565" s="210"/>
      <c r="U565" s="210"/>
      <c r="V565" s="210"/>
      <c r="W565" s="210"/>
      <c r="X565" s="210"/>
      <c r="Y565" s="210"/>
      <c r="Z565" s="210"/>
      <c r="AA565" s="210"/>
      <c r="AB565" s="210"/>
      <c r="AC565" s="210"/>
      <c r="AD565" s="210"/>
      <c r="AE565" s="210"/>
      <c r="AF565" s="210"/>
      <c r="AG565" s="210"/>
      <c r="AH565" s="210"/>
      <c r="AI565" s="210"/>
      <c r="AJ565" s="210"/>
      <c r="AK565" s="210"/>
      <c r="AL565" s="210"/>
      <c r="AM565" s="210"/>
      <c r="AN565" s="210"/>
      <c r="AO565" s="210"/>
      <c r="AP565" s="210"/>
      <c r="AQ565" s="210"/>
      <c r="AR565" s="210"/>
      <c r="AS565" s="210"/>
      <c r="AT565" s="210"/>
      <c r="AU565" s="210"/>
      <c r="AV565" s="210"/>
      <c r="AW565" s="210"/>
      <c r="AX565" s="210"/>
      <c r="AY565" s="210"/>
      <c r="AZ565" s="210"/>
      <c r="BA565" s="210"/>
      <c r="BB565" s="210"/>
      <c r="BC565" s="210"/>
      <c r="BD565" s="210"/>
      <c r="BE565" s="210"/>
      <c r="BF565" s="210"/>
      <c r="BG565" s="210"/>
      <c r="BH565" s="210"/>
      <c r="BI565" s="210"/>
      <c r="BJ565" s="210"/>
    </row>
    <row r="566" spans="1:62" ht="15" x14ac:dyDescent="0.2">
      <c r="A566" s="210"/>
      <c r="B566" s="210"/>
      <c r="C566" s="210"/>
      <c r="D566" s="210"/>
      <c r="E566" s="210"/>
      <c r="F566" s="210"/>
      <c r="G566" s="210"/>
      <c r="H566" s="210"/>
      <c r="I566" s="210"/>
      <c r="J566" s="210"/>
      <c r="K566" s="210"/>
      <c r="L566" s="210"/>
      <c r="M566" s="210"/>
      <c r="N566" s="210"/>
      <c r="O566" s="210"/>
      <c r="P566" s="210"/>
      <c r="Q566" s="210"/>
      <c r="R566" s="210"/>
      <c r="S566" s="210"/>
      <c r="T566" s="210"/>
      <c r="U566" s="210"/>
      <c r="V566" s="210"/>
      <c r="W566" s="210"/>
      <c r="X566" s="210"/>
      <c r="Y566" s="210"/>
      <c r="Z566" s="210"/>
      <c r="AA566" s="210"/>
      <c r="AB566" s="210"/>
      <c r="AC566" s="210"/>
      <c r="AD566" s="210"/>
      <c r="AE566" s="210"/>
      <c r="AF566" s="210"/>
      <c r="AG566" s="210"/>
      <c r="AH566" s="210"/>
      <c r="AI566" s="210"/>
      <c r="AJ566" s="210"/>
      <c r="AK566" s="210"/>
      <c r="AL566" s="210"/>
      <c r="AM566" s="210"/>
      <c r="AN566" s="210"/>
      <c r="AO566" s="210"/>
      <c r="AP566" s="210"/>
      <c r="AQ566" s="210"/>
      <c r="AR566" s="210"/>
      <c r="AS566" s="210"/>
      <c r="AT566" s="210"/>
      <c r="AU566" s="210"/>
      <c r="AV566" s="210"/>
      <c r="AW566" s="210"/>
      <c r="AX566" s="210"/>
      <c r="AY566" s="210"/>
      <c r="AZ566" s="210"/>
      <c r="BA566" s="210"/>
      <c r="BB566" s="210"/>
      <c r="BC566" s="210"/>
      <c r="BD566" s="210"/>
      <c r="BE566" s="210"/>
      <c r="BF566" s="210"/>
      <c r="BG566" s="210"/>
      <c r="BH566" s="210"/>
      <c r="BI566" s="210"/>
      <c r="BJ566" s="210"/>
    </row>
    <row r="567" spans="1:62" ht="15" x14ac:dyDescent="0.2">
      <c r="A567" s="210"/>
      <c r="B567" s="210"/>
      <c r="C567" s="210"/>
      <c r="D567" s="210"/>
      <c r="E567" s="210"/>
      <c r="F567" s="210"/>
      <c r="G567" s="210"/>
      <c r="H567" s="210"/>
      <c r="I567" s="210"/>
      <c r="J567" s="210"/>
      <c r="K567" s="210"/>
      <c r="L567" s="210"/>
      <c r="M567" s="210"/>
      <c r="N567" s="210"/>
      <c r="O567" s="210"/>
      <c r="P567" s="210"/>
      <c r="Q567" s="210"/>
      <c r="R567" s="210"/>
      <c r="S567" s="210"/>
      <c r="T567" s="210"/>
      <c r="U567" s="210"/>
      <c r="V567" s="210"/>
      <c r="W567" s="210"/>
      <c r="X567" s="210"/>
      <c r="Y567" s="210"/>
      <c r="Z567" s="210"/>
      <c r="AA567" s="210"/>
      <c r="AB567" s="210"/>
      <c r="AC567" s="210"/>
      <c r="AD567" s="210"/>
      <c r="AE567" s="210"/>
      <c r="AF567" s="210"/>
      <c r="AG567" s="210"/>
      <c r="AH567" s="210"/>
      <c r="AI567" s="210"/>
      <c r="AJ567" s="210"/>
      <c r="AK567" s="210"/>
      <c r="AL567" s="210"/>
      <c r="AM567" s="210"/>
      <c r="AN567" s="210"/>
      <c r="AO567" s="210"/>
      <c r="AP567" s="210"/>
      <c r="AQ567" s="210"/>
      <c r="AR567" s="210"/>
      <c r="AS567" s="210"/>
      <c r="AT567" s="210"/>
      <c r="AU567" s="210"/>
      <c r="AV567" s="210"/>
      <c r="AW567" s="210"/>
      <c r="AX567" s="210"/>
      <c r="AY567" s="210"/>
      <c r="AZ567" s="210"/>
      <c r="BA567" s="210"/>
      <c r="BB567" s="210"/>
      <c r="BC567" s="210"/>
      <c r="BD567" s="210"/>
      <c r="BE567" s="210"/>
      <c r="BF567" s="210"/>
      <c r="BG567" s="210"/>
      <c r="BH567" s="210"/>
      <c r="BI567" s="210"/>
      <c r="BJ567" s="210"/>
    </row>
    <row r="568" spans="1:62" ht="15" x14ac:dyDescent="0.2">
      <c r="A568" s="210"/>
      <c r="B568" s="210"/>
      <c r="C568" s="210"/>
      <c r="D568" s="210"/>
      <c r="E568" s="210"/>
      <c r="F568" s="210"/>
      <c r="G568" s="210"/>
      <c r="H568" s="210"/>
      <c r="I568" s="210"/>
      <c r="J568" s="210"/>
      <c r="K568" s="210"/>
      <c r="L568" s="210"/>
      <c r="M568" s="210"/>
      <c r="N568" s="210"/>
      <c r="O568" s="210"/>
      <c r="P568" s="210"/>
      <c r="Q568" s="210"/>
      <c r="R568" s="210"/>
      <c r="S568" s="210"/>
      <c r="T568" s="210"/>
      <c r="U568" s="210"/>
      <c r="V568" s="210"/>
      <c r="W568" s="210"/>
      <c r="X568" s="210"/>
      <c r="Y568" s="210"/>
      <c r="Z568" s="210"/>
      <c r="AA568" s="210"/>
      <c r="AB568" s="210"/>
      <c r="AC568" s="210"/>
      <c r="AD568" s="210"/>
      <c r="AE568" s="210"/>
      <c r="AF568" s="210"/>
      <c r="AG568" s="210"/>
      <c r="AH568" s="210"/>
      <c r="AI568" s="210"/>
      <c r="AJ568" s="210"/>
      <c r="AK568" s="210"/>
      <c r="AL568" s="210"/>
      <c r="AM568" s="210"/>
      <c r="AN568" s="210"/>
      <c r="AO568" s="210"/>
      <c r="AP568" s="210"/>
      <c r="AQ568" s="210"/>
      <c r="AR568" s="210"/>
      <c r="AS568" s="210"/>
      <c r="AT568" s="210"/>
      <c r="AU568" s="210"/>
      <c r="AV568" s="210"/>
      <c r="AW568" s="210"/>
      <c r="AX568" s="210"/>
      <c r="AY568" s="210"/>
      <c r="AZ568" s="210"/>
      <c r="BA568" s="210"/>
      <c r="BB568" s="210"/>
      <c r="BC568" s="210"/>
      <c r="BD568" s="210"/>
      <c r="BE568" s="210"/>
      <c r="BF568" s="210"/>
      <c r="BG568" s="210"/>
      <c r="BH568" s="210"/>
      <c r="BI568" s="210"/>
      <c r="BJ568" s="210"/>
    </row>
    <row r="569" spans="1:62" ht="15" x14ac:dyDescent="0.2">
      <c r="A569" s="210"/>
      <c r="B569" s="210"/>
      <c r="C569" s="210"/>
      <c r="D569" s="210"/>
      <c r="E569" s="210"/>
      <c r="F569" s="210"/>
      <c r="G569" s="210"/>
      <c r="H569" s="210"/>
      <c r="I569" s="210"/>
      <c r="J569" s="210"/>
      <c r="K569" s="210"/>
      <c r="L569" s="210"/>
      <c r="M569" s="210"/>
      <c r="N569" s="210"/>
      <c r="O569" s="210"/>
      <c r="P569" s="210"/>
      <c r="Q569" s="210"/>
      <c r="R569" s="210"/>
      <c r="S569" s="210"/>
      <c r="T569" s="210"/>
      <c r="U569" s="210"/>
      <c r="V569" s="210"/>
      <c r="W569" s="210"/>
      <c r="X569" s="210"/>
      <c r="Y569" s="210"/>
      <c r="Z569" s="210"/>
      <c r="AA569" s="210"/>
      <c r="AB569" s="210"/>
      <c r="AC569" s="210"/>
      <c r="AD569" s="210"/>
      <c r="AE569" s="210"/>
      <c r="AF569" s="210"/>
      <c r="AG569" s="210"/>
      <c r="AH569" s="210"/>
      <c r="AI569" s="210"/>
      <c r="AJ569" s="210"/>
      <c r="AK569" s="210"/>
      <c r="AL569" s="210"/>
      <c r="AM569" s="210"/>
      <c r="AN569" s="210"/>
      <c r="AO569" s="210"/>
      <c r="AP569" s="210"/>
      <c r="AQ569" s="210"/>
      <c r="AR569" s="210"/>
      <c r="AS569" s="210"/>
      <c r="AT569" s="210"/>
      <c r="AU569" s="210"/>
      <c r="AV569" s="210"/>
      <c r="AW569" s="210"/>
      <c r="AX569" s="210"/>
      <c r="AY569" s="210"/>
      <c r="AZ569" s="210"/>
      <c r="BA569" s="210"/>
      <c r="BB569" s="210"/>
      <c r="BC569" s="210"/>
      <c r="BD569" s="210"/>
      <c r="BE569" s="210"/>
      <c r="BF569" s="210"/>
      <c r="BG569" s="210"/>
      <c r="BH569" s="210"/>
      <c r="BI569" s="210"/>
      <c r="BJ569" s="210"/>
    </row>
    <row r="570" spans="1:62" ht="15" x14ac:dyDescent="0.2">
      <c r="A570" s="210"/>
      <c r="B570" s="210"/>
      <c r="C570" s="210"/>
      <c r="D570" s="210"/>
      <c r="E570" s="210"/>
      <c r="F570" s="210"/>
      <c r="G570" s="210"/>
      <c r="H570" s="210"/>
      <c r="I570" s="210"/>
      <c r="J570" s="210"/>
      <c r="K570" s="210"/>
      <c r="L570" s="210"/>
      <c r="M570" s="210"/>
      <c r="N570" s="210"/>
      <c r="O570" s="210"/>
      <c r="P570" s="210"/>
      <c r="Q570" s="210"/>
      <c r="R570" s="210"/>
      <c r="S570" s="210"/>
      <c r="T570" s="210"/>
      <c r="U570" s="210"/>
      <c r="V570" s="210"/>
      <c r="W570" s="210"/>
      <c r="X570" s="210"/>
      <c r="Y570" s="210"/>
      <c r="Z570" s="210"/>
      <c r="AA570" s="210"/>
      <c r="AB570" s="210"/>
      <c r="AC570" s="210"/>
      <c r="AD570" s="210"/>
      <c r="AE570" s="210"/>
      <c r="AF570" s="210"/>
      <c r="AG570" s="210"/>
      <c r="AH570" s="210"/>
      <c r="AI570" s="210"/>
      <c r="AJ570" s="210"/>
      <c r="AK570" s="210"/>
      <c r="AL570" s="210"/>
      <c r="AM570" s="210"/>
      <c r="AN570" s="210"/>
      <c r="AO570" s="210"/>
      <c r="AP570" s="210"/>
      <c r="AQ570" s="210"/>
      <c r="AR570" s="210"/>
      <c r="AS570" s="210"/>
      <c r="AT570" s="210"/>
      <c r="AU570" s="210"/>
      <c r="AV570" s="210"/>
      <c r="AW570" s="210"/>
      <c r="AX570" s="210"/>
      <c r="AY570" s="210"/>
      <c r="AZ570" s="210"/>
      <c r="BA570" s="210"/>
      <c r="BB570" s="210"/>
      <c r="BC570" s="210"/>
      <c r="BD570" s="210"/>
      <c r="BE570" s="210"/>
      <c r="BF570" s="210"/>
      <c r="BG570" s="210"/>
      <c r="BH570" s="210"/>
      <c r="BI570" s="210"/>
      <c r="BJ570" s="210"/>
    </row>
    <row r="571" spans="1:62" ht="15" x14ac:dyDescent="0.2">
      <c r="A571" s="210"/>
      <c r="B571" s="210"/>
      <c r="C571" s="210"/>
      <c r="D571" s="210"/>
      <c r="E571" s="210"/>
      <c r="F571" s="210"/>
      <c r="G571" s="210"/>
      <c r="H571" s="210"/>
      <c r="I571" s="210"/>
      <c r="J571" s="210"/>
      <c r="K571" s="210"/>
      <c r="L571" s="210"/>
      <c r="M571" s="210"/>
      <c r="N571" s="210"/>
      <c r="O571" s="210"/>
      <c r="P571" s="210"/>
      <c r="Q571" s="210"/>
      <c r="R571" s="210"/>
      <c r="S571" s="210"/>
      <c r="T571" s="210"/>
      <c r="U571" s="210"/>
      <c r="V571" s="210"/>
      <c r="W571" s="210"/>
      <c r="X571" s="210"/>
      <c r="Y571" s="210"/>
      <c r="Z571" s="210"/>
      <c r="AA571" s="210"/>
      <c r="AB571" s="210"/>
      <c r="AC571" s="210"/>
      <c r="AD571" s="210"/>
      <c r="AE571" s="210"/>
      <c r="AF571" s="210"/>
      <c r="AG571" s="210"/>
      <c r="AH571" s="210"/>
      <c r="AI571" s="210"/>
      <c r="AJ571" s="210"/>
      <c r="AK571" s="210"/>
      <c r="AL571" s="210"/>
      <c r="AM571" s="210"/>
      <c r="AN571" s="210"/>
      <c r="AO571" s="210"/>
      <c r="AP571" s="210"/>
      <c r="AQ571" s="210"/>
      <c r="AR571" s="210"/>
      <c r="AS571" s="210"/>
      <c r="AT571" s="210"/>
      <c r="AU571" s="210"/>
      <c r="AV571" s="210"/>
      <c r="AW571" s="210"/>
      <c r="AX571" s="210"/>
      <c r="AY571" s="210"/>
      <c r="AZ571" s="210"/>
      <c r="BA571" s="210"/>
      <c r="BB571" s="210"/>
      <c r="BC571" s="210"/>
      <c r="BD571" s="210"/>
      <c r="BE571" s="210"/>
      <c r="BF571" s="210"/>
      <c r="BG571" s="210"/>
      <c r="BH571" s="210"/>
      <c r="BI571" s="210"/>
      <c r="BJ571" s="210"/>
    </row>
    <row r="572" spans="1:62" ht="15" x14ac:dyDescent="0.2">
      <c r="A572" s="210"/>
      <c r="B572" s="210"/>
      <c r="C572" s="210"/>
      <c r="D572" s="210"/>
      <c r="E572" s="210"/>
      <c r="F572" s="210"/>
      <c r="G572" s="210"/>
      <c r="H572" s="210"/>
      <c r="I572" s="210"/>
      <c r="J572" s="210"/>
      <c r="K572" s="210"/>
      <c r="L572" s="210"/>
      <c r="M572" s="210"/>
      <c r="N572" s="210"/>
      <c r="O572" s="210"/>
      <c r="P572" s="210"/>
      <c r="Q572" s="210"/>
      <c r="R572" s="210"/>
      <c r="S572" s="210"/>
      <c r="T572" s="210"/>
      <c r="U572" s="210"/>
      <c r="V572" s="210"/>
      <c r="W572" s="210"/>
      <c r="X572" s="210"/>
      <c r="Y572" s="210"/>
      <c r="Z572" s="210"/>
      <c r="AA572" s="210"/>
      <c r="AB572" s="210"/>
      <c r="AC572" s="210"/>
      <c r="AD572" s="210"/>
      <c r="AE572" s="210"/>
      <c r="AF572" s="210"/>
      <c r="AG572" s="210"/>
      <c r="AH572" s="210"/>
      <c r="AI572" s="210"/>
      <c r="AJ572" s="210"/>
      <c r="AK572" s="210"/>
      <c r="AL572" s="210"/>
      <c r="AM572" s="210"/>
      <c r="AN572" s="210"/>
      <c r="AO572" s="210"/>
      <c r="AP572" s="210"/>
      <c r="AQ572" s="210"/>
      <c r="AR572" s="210"/>
      <c r="AS572" s="210"/>
      <c r="AT572" s="210"/>
      <c r="AU572" s="210"/>
      <c r="AV572" s="210"/>
      <c r="AW572" s="210"/>
      <c r="AX572" s="210"/>
      <c r="AY572" s="210"/>
      <c r="AZ572" s="210"/>
      <c r="BA572" s="210"/>
      <c r="BB572" s="210"/>
      <c r="BC572" s="210"/>
      <c r="BD572" s="210"/>
      <c r="BE572" s="210"/>
      <c r="BF572" s="210"/>
      <c r="BG572" s="210"/>
      <c r="BH572" s="210"/>
      <c r="BI572" s="210"/>
      <c r="BJ572" s="210"/>
    </row>
    <row r="573" spans="1:62" ht="15" x14ac:dyDescent="0.2">
      <c r="A573" s="210"/>
      <c r="B573" s="210"/>
      <c r="C573" s="210"/>
      <c r="D573" s="210"/>
      <c r="E573" s="210"/>
      <c r="F573" s="210"/>
      <c r="G573" s="210"/>
      <c r="H573" s="210"/>
      <c r="I573" s="210"/>
      <c r="J573" s="210"/>
      <c r="K573" s="210"/>
      <c r="L573" s="210"/>
      <c r="M573" s="210"/>
      <c r="N573" s="210"/>
      <c r="O573" s="210"/>
      <c r="P573" s="210"/>
      <c r="Q573" s="210"/>
      <c r="R573" s="210"/>
      <c r="S573" s="210"/>
      <c r="T573" s="210"/>
      <c r="U573" s="210"/>
      <c r="V573" s="210"/>
      <c r="W573" s="210"/>
      <c r="X573" s="210"/>
      <c r="Y573" s="210"/>
      <c r="Z573" s="210"/>
      <c r="AA573" s="210"/>
      <c r="AB573" s="210"/>
      <c r="AC573" s="210"/>
      <c r="AD573" s="210"/>
      <c r="AE573" s="210"/>
      <c r="AF573" s="210"/>
      <c r="AG573" s="210"/>
      <c r="AH573" s="210"/>
      <c r="AI573" s="210"/>
      <c r="AJ573" s="210"/>
      <c r="AK573" s="210"/>
      <c r="AL573" s="210"/>
      <c r="AM573" s="210"/>
      <c r="AN573" s="210"/>
      <c r="AO573" s="210"/>
      <c r="AP573" s="210"/>
      <c r="AQ573" s="210"/>
      <c r="AR573" s="210"/>
      <c r="AS573" s="210"/>
      <c r="AT573" s="210"/>
      <c r="AU573" s="210"/>
      <c r="AV573" s="210"/>
      <c r="AW573" s="210"/>
      <c r="AX573" s="210"/>
      <c r="AY573" s="210"/>
      <c r="AZ573" s="210"/>
      <c r="BA573" s="210"/>
      <c r="BB573" s="210"/>
      <c r="BC573" s="210"/>
      <c r="BD573" s="210"/>
      <c r="BE573" s="210"/>
      <c r="BF573" s="210"/>
      <c r="BG573" s="210"/>
      <c r="BH573" s="210"/>
      <c r="BI573" s="210"/>
      <c r="BJ573" s="210"/>
    </row>
    <row r="574" spans="1:62" ht="15" x14ac:dyDescent="0.2">
      <c r="A574" s="210"/>
      <c r="B574" s="210"/>
      <c r="C574" s="210"/>
      <c r="D574" s="210"/>
      <c r="E574" s="210"/>
      <c r="F574" s="210"/>
      <c r="G574" s="210"/>
      <c r="H574" s="210"/>
      <c r="I574" s="210"/>
      <c r="J574" s="210"/>
      <c r="K574" s="210"/>
      <c r="L574" s="210"/>
      <c r="M574" s="210"/>
      <c r="N574" s="210"/>
      <c r="O574" s="210"/>
      <c r="P574" s="210"/>
      <c r="Q574" s="210"/>
      <c r="R574" s="210"/>
      <c r="S574" s="210"/>
      <c r="T574" s="210"/>
      <c r="U574" s="210"/>
      <c r="V574" s="210"/>
      <c r="W574" s="210"/>
      <c r="X574" s="210"/>
      <c r="Y574" s="210"/>
      <c r="Z574" s="210"/>
      <c r="AA574" s="210"/>
      <c r="AB574" s="210"/>
      <c r="AC574" s="210"/>
      <c r="AD574" s="210"/>
      <c r="AE574" s="210"/>
      <c r="AF574" s="210"/>
      <c r="AG574" s="210"/>
      <c r="AH574" s="210"/>
      <c r="AI574" s="210"/>
      <c r="AJ574" s="210"/>
      <c r="AK574" s="210"/>
      <c r="AL574" s="210"/>
      <c r="AM574" s="210"/>
      <c r="AN574" s="210"/>
      <c r="AO574" s="210"/>
      <c r="AP574" s="210"/>
      <c r="AQ574" s="210"/>
      <c r="AR574" s="210"/>
      <c r="AS574" s="210"/>
      <c r="AT574" s="210"/>
      <c r="AU574" s="210"/>
      <c r="AV574" s="210"/>
      <c r="AW574" s="210"/>
      <c r="AX574" s="210"/>
      <c r="AY574" s="210"/>
      <c r="AZ574" s="210"/>
      <c r="BA574" s="210"/>
      <c r="BB574" s="210"/>
      <c r="BC574" s="210"/>
      <c r="BD574" s="210"/>
      <c r="BE574" s="210"/>
      <c r="BF574" s="210"/>
      <c r="BG574" s="210"/>
      <c r="BH574" s="210"/>
      <c r="BI574" s="210"/>
      <c r="BJ574" s="210"/>
    </row>
    <row r="575" spans="1:62" ht="15" x14ac:dyDescent="0.2">
      <c r="A575" s="210"/>
      <c r="B575" s="210"/>
      <c r="C575" s="210"/>
      <c r="D575" s="210"/>
      <c r="E575" s="210"/>
      <c r="F575" s="210"/>
      <c r="G575" s="210"/>
      <c r="H575" s="210"/>
      <c r="I575" s="210"/>
      <c r="J575" s="210"/>
      <c r="K575" s="210"/>
      <c r="L575" s="210"/>
      <c r="M575" s="210"/>
      <c r="N575" s="210"/>
      <c r="O575" s="210"/>
      <c r="P575" s="210"/>
      <c r="Q575" s="210"/>
      <c r="R575" s="210"/>
      <c r="S575" s="210"/>
      <c r="T575" s="210"/>
      <c r="U575" s="210"/>
      <c r="V575" s="210"/>
      <c r="W575" s="210"/>
      <c r="X575" s="210"/>
      <c r="Y575" s="210"/>
      <c r="Z575" s="210"/>
      <c r="AA575" s="210"/>
      <c r="AB575" s="210"/>
      <c r="AC575" s="210"/>
      <c r="AD575" s="210"/>
      <c r="AE575" s="210"/>
      <c r="AF575" s="210"/>
      <c r="AG575" s="210"/>
      <c r="AH575" s="210"/>
      <c r="AI575" s="210"/>
      <c r="AJ575" s="210"/>
      <c r="AK575" s="210"/>
      <c r="AL575" s="210"/>
      <c r="AM575" s="210"/>
      <c r="AN575" s="210"/>
      <c r="AO575" s="210"/>
      <c r="AP575" s="210"/>
      <c r="AQ575" s="210"/>
      <c r="AR575" s="210"/>
      <c r="AS575" s="210"/>
      <c r="AT575" s="210"/>
      <c r="AU575" s="210"/>
      <c r="AV575" s="210"/>
      <c r="AW575" s="210"/>
      <c r="AX575" s="210"/>
      <c r="AY575" s="210"/>
      <c r="AZ575" s="210"/>
      <c r="BA575" s="210"/>
      <c r="BB575" s="210"/>
      <c r="BC575" s="210"/>
      <c r="BD575" s="210"/>
      <c r="BE575" s="210"/>
      <c r="BF575" s="210"/>
      <c r="BG575" s="210"/>
      <c r="BH575" s="210"/>
      <c r="BI575" s="210"/>
      <c r="BJ575" s="210"/>
    </row>
    <row r="576" spans="1:62" ht="15" x14ac:dyDescent="0.2">
      <c r="A576" s="210"/>
      <c r="B576" s="210"/>
      <c r="C576" s="210"/>
      <c r="D576" s="210"/>
      <c r="E576" s="210"/>
      <c r="F576" s="210"/>
      <c r="G576" s="210"/>
      <c r="H576" s="210"/>
      <c r="I576" s="210"/>
      <c r="J576" s="210"/>
      <c r="K576" s="210"/>
      <c r="L576" s="210"/>
      <c r="M576" s="210"/>
      <c r="N576" s="210"/>
      <c r="O576" s="210"/>
      <c r="P576" s="210"/>
      <c r="Q576" s="210"/>
      <c r="R576" s="210"/>
      <c r="S576" s="210"/>
      <c r="T576" s="210"/>
      <c r="U576" s="210"/>
      <c r="V576" s="210"/>
      <c r="W576" s="210"/>
      <c r="X576" s="210"/>
      <c r="Y576" s="210"/>
      <c r="Z576" s="210"/>
      <c r="AA576" s="210"/>
      <c r="AB576" s="210"/>
      <c r="AC576" s="210"/>
      <c r="AD576" s="210"/>
      <c r="AE576" s="210"/>
      <c r="AF576" s="210"/>
      <c r="AG576" s="210"/>
      <c r="AH576" s="210"/>
      <c r="AI576" s="210"/>
      <c r="AJ576" s="210"/>
      <c r="AK576" s="210"/>
      <c r="AL576" s="210"/>
      <c r="AM576" s="210"/>
      <c r="AN576" s="210"/>
      <c r="AO576" s="210"/>
      <c r="AP576" s="210"/>
      <c r="AQ576" s="210"/>
      <c r="AR576" s="210"/>
      <c r="AS576" s="210"/>
      <c r="AT576" s="210"/>
      <c r="AU576" s="210"/>
      <c r="AV576" s="210"/>
      <c r="AW576" s="210"/>
      <c r="AX576" s="210"/>
      <c r="AY576" s="210"/>
      <c r="AZ576" s="210"/>
      <c r="BA576" s="210"/>
      <c r="BB576" s="210"/>
      <c r="BC576" s="210"/>
      <c r="BD576" s="210"/>
      <c r="BE576" s="210"/>
      <c r="BF576" s="210"/>
      <c r="BG576" s="210"/>
      <c r="BH576" s="210"/>
      <c r="BI576" s="210"/>
      <c r="BJ576" s="210"/>
    </row>
    <row r="577" spans="1:62" ht="15" x14ac:dyDescent="0.2">
      <c r="A577" s="210"/>
      <c r="B577" s="210"/>
      <c r="C577" s="210"/>
      <c r="D577" s="210"/>
      <c r="E577" s="210"/>
      <c r="F577" s="210"/>
      <c r="G577" s="210"/>
      <c r="H577" s="210"/>
      <c r="I577" s="210"/>
      <c r="J577" s="210"/>
      <c r="K577" s="210"/>
      <c r="L577" s="210"/>
      <c r="M577" s="210"/>
      <c r="N577" s="210"/>
      <c r="O577" s="210"/>
      <c r="P577" s="210"/>
      <c r="Q577" s="210"/>
      <c r="R577" s="210"/>
      <c r="S577" s="210"/>
      <c r="T577" s="210"/>
      <c r="U577" s="210"/>
      <c r="V577" s="210"/>
      <c r="W577" s="210"/>
      <c r="X577" s="210"/>
      <c r="Y577" s="210"/>
      <c r="Z577" s="210"/>
      <c r="AA577" s="210"/>
      <c r="AB577" s="210"/>
      <c r="AC577" s="210"/>
      <c r="AD577" s="210"/>
      <c r="AE577" s="210"/>
      <c r="AF577" s="210"/>
      <c r="AG577" s="210"/>
      <c r="AH577" s="210"/>
      <c r="AI577" s="210"/>
      <c r="AJ577" s="210"/>
      <c r="AK577" s="210"/>
      <c r="AL577" s="210"/>
      <c r="AM577" s="210"/>
      <c r="AN577" s="210"/>
      <c r="AO577" s="210"/>
      <c r="AP577" s="210"/>
      <c r="AQ577" s="210"/>
      <c r="AR577" s="210"/>
      <c r="AS577" s="210"/>
      <c r="AT577" s="210"/>
      <c r="AU577" s="210"/>
      <c r="AV577" s="210"/>
      <c r="AW577" s="210"/>
      <c r="AX577" s="210"/>
      <c r="AY577" s="210"/>
      <c r="AZ577" s="210"/>
      <c r="BA577" s="210"/>
      <c r="BB577" s="210"/>
      <c r="BC577" s="210"/>
      <c r="BD577" s="210"/>
      <c r="BE577" s="210"/>
      <c r="BF577" s="210"/>
      <c r="BG577" s="210"/>
      <c r="BH577" s="210"/>
      <c r="BI577" s="210"/>
      <c r="BJ577" s="210"/>
    </row>
    <row r="578" spans="1:62" ht="15" x14ac:dyDescent="0.2">
      <c r="A578" s="210"/>
      <c r="B578" s="210"/>
      <c r="C578" s="210"/>
      <c r="D578" s="210"/>
      <c r="E578" s="210"/>
      <c r="F578" s="210"/>
      <c r="G578" s="210"/>
      <c r="H578" s="210"/>
      <c r="I578" s="210"/>
      <c r="J578" s="210"/>
      <c r="K578" s="210"/>
      <c r="L578" s="210"/>
      <c r="M578" s="210"/>
      <c r="N578" s="210"/>
      <c r="O578" s="210"/>
      <c r="P578" s="210"/>
      <c r="Q578" s="210"/>
      <c r="R578" s="210"/>
      <c r="S578" s="210"/>
      <c r="T578" s="210"/>
      <c r="U578" s="210"/>
      <c r="V578" s="210"/>
      <c r="W578" s="210"/>
      <c r="X578" s="210"/>
      <c r="Y578" s="210"/>
      <c r="Z578" s="210"/>
      <c r="AA578" s="210"/>
      <c r="AB578" s="210"/>
      <c r="AC578" s="210"/>
      <c r="AD578" s="210"/>
      <c r="AE578" s="210"/>
      <c r="AF578" s="210"/>
      <c r="AG578" s="210"/>
      <c r="AH578" s="210"/>
      <c r="AI578" s="210"/>
      <c r="AJ578" s="210"/>
      <c r="AK578" s="210"/>
      <c r="AL578" s="210"/>
      <c r="AM578" s="210"/>
      <c r="AN578" s="210"/>
      <c r="AO578" s="210"/>
      <c r="AP578" s="210"/>
      <c r="AQ578" s="210"/>
      <c r="AR578" s="210"/>
      <c r="AS578" s="210"/>
      <c r="AT578" s="210"/>
      <c r="AU578" s="210"/>
      <c r="AV578" s="210"/>
      <c r="AW578" s="210"/>
      <c r="AX578" s="210"/>
      <c r="AY578" s="210"/>
      <c r="AZ578" s="210"/>
      <c r="BA578" s="210"/>
      <c r="BB578" s="210"/>
      <c r="BC578" s="210"/>
      <c r="BD578" s="210"/>
      <c r="BE578" s="210"/>
      <c r="BF578" s="210"/>
      <c r="BG578" s="210"/>
      <c r="BH578" s="210"/>
      <c r="BI578" s="210"/>
      <c r="BJ578" s="210"/>
    </row>
    <row r="579" spans="1:62" ht="15" x14ac:dyDescent="0.2">
      <c r="A579" s="210"/>
      <c r="B579" s="210"/>
      <c r="C579" s="210"/>
      <c r="D579" s="210"/>
      <c r="E579" s="210"/>
      <c r="F579" s="210"/>
      <c r="G579" s="210"/>
      <c r="H579" s="210"/>
      <c r="I579" s="210"/>
      <c r="J579" s="210"/>
      <c r="K579" s="210"/>
      <c r="L579" s="210"/>
      <c r="M579" s="210"/>
      <c r="N579" s="210"/>
      <c r="O579" s="210"/>
      <c r="P579" s="210"/>
      <c r="Q579" s="210"/>
      <c r="R579" s="210"/>
      <c r="S579" s="210"/>
      <c r="T579" s="210"/>
      <c r="U579" s="210"/>
      <c r="V579" s="210"/>
      <c r="W579" s="210"/>
      <c r="X579" s="210"/>
      <c r="Y579" s="210"/>
      <c r="Z579" s="210"/>
      <c r="AA579" s="210"/>
      <c r="AB579" s="210"/>
      <c r="AC579" s="210"/>
      <c r="AD579" s="210"/>
      <c r="AE579" s="210"/>
      <c r="AF579" s="210"/>
      <c r="AG579" s="210"/>
      <c r="AH579" s="210"/>
      <c r="AI579" s="210"/>
      <c r="AJ579" s="210"/>
      <c r="AK579" s="210"/>
      <c r="AL579" s="210"/>
      <c r="AM579" s="210"/>
      <c r="AN579" s="210"/>
      <c r="AO579" s="210"/>
      <c r="AP579" s="210"/>
      <c r="AQ579" s="210"/>
      <c r="AR579" s="210"/>
      <c r="AS579" s="210"/>
      <c r="AT579" s="210"/>
      <c r="AU579" s="210"/>
      <c r="AV579" s="210"/>
      <c r="AW579" s="210"/>
      <c r="AX579" s="210"/>
      <c r="AY579" s="210"/>
      <c r="AZ579" s="210"/>
      <c r="BA579" s="210"/>
      <c r="BB579" s="210"/>
      <c r="BC579" s="210"/>
      <c r="BD579" s="210"/>
      <c r="BE579" s="210"/>
      <c r="BF579" s="210"/>
      <c r="BG579" s="210"/>
      <c r="BH579" s="210"/>
      <c r="BI579" s="210"/>
      <c r="BJ579" s="210"/>
    </row>
    <row r="580" spans="1:62" ht="15" x14ac:dyDescent="0.2">
      <c r="A580" s="210"/>
      <c r="B580" s="210"/>
      <c r="C580" s="210"/>
      <c r="D580" s="210"/>
      <c r="E580" s="210"/>
      <c r="F580" s="210"/>
      <c r="G580" s="210"/>
      <c r="H580" s="210"/>
      <c r="I580" s="210"/>
      <c r="J580" s="210"/>
      <c r="K580" s="210"/>
      <c r="L580" s="210"/>
      <c r="M580" s="210"/>
      <c r="N580" s="210"/>
      <c r="O580" s="210"/>
      <c r="P580" s="210"/>
      <c r="Q580" s="210"/>
      <c r="R580" s="210"/>
      <c r="S580" s="210"/>
      <c r="T580" s="210"/>
      <c r="U580" s="210"/>
      <c r="V580" s="210"/>
      <c r="W580" s="210"/>
      <c r="X580" s="210"/>
      <c r="Y580" s="210"/>
      <c r="Z580" s="210"/>
      <c r="AA580" s="210"/>
      <c r="AB580" s="210"/>
      <c r="AC580" s="210"/>
      <c r="AD580" s="210"/>
      <c r="AE580" s="210"/>
      <c r="AF580" s="210"/>
      <c r="AG580" s="210"/>
      <c r="AH580" s="210"/>
      <c r="AI580" s="210"/>
      <c r="AJ580" s="210"/>
      <c r="AK580" s="210"/>
      <c r="AL580" s="210"/>
      <c r="AM580" s="210"/>
      <c r="AN580" s="210"/>
      <c r="AO580" s="210"/>
      <c r="AP580" s="210"/>
      <c r="AQ580" s="210"/>
      <c r="AR580" s="210"/>
      <c r="AS580" s="210"/>
      <c r="AT580" s="210"/>
      <c r="AU580" s="210"/>
      <c r="AV580" s="210"/>
      <c r="AW580" s="210"/>
      <c r="AX580" s="210"/>
      <c r="AY580" s="210"/>
      <c r="AZ580" s="210"/>
      <c r="BA580" s="210"/>
      <c r="BB580" s="210"/>
      <c r="BC580" s="210"/>
      <c r="BD580" s="210"/>
      <c r="BE580" s="210"/>
      <c r="BF580" s="210"/>
      <c r="BG580" s="210"/>
      <c r="BH580" s="210"/>
      <c r="BI580" s="210"/>
      <c r="BJ580" s="210"/>
    </row>
    <row r="581" spans="1:62" ht="15" x14ac:dyDescent="0.2">
      <c r="A581" s="210"/>
      <c r="B581" s="210"/>
      <c r="C581" s="210"/>
      <c r="D581" s="210"/>
      <c r="E581" s="210"/>
      <c r="F581" s="210"/>
      <c r="G581" s="210"/>
      <c r="H581" s="210"/>
      <c r="I581" s="210"/>
      <c r="J581" s="210"/>
      <c r="K581" s="210"/>
      <c r="L581" s="210"/>
      <c r="M581" s="210"/>
      <c r="N581" s="210"/>
      <c r="O581" s="210"/>
      <c r="P581" s="210"/>
      <c r="Q581" s="210"/>
      <c r="R581" s="210"/>
      <c r="S581" s="210"/>
      <c r="T581" s="210"/>
      <c r="U581" s="210"/>
      <c r="V581" s="210"/>
      <c r="W581" s="210"/>
      <c r="X581" s="210"/>
      <c r="Y581" s="210"/>
      <c r="Z581" s="210"/>
      <c r="AA581" s="210"/>
      <c r="AB581" s="210"/>
      <c r="AC581" s="210"/>
      <c r="AD581" s="210"/>
      <c r="AE581" s="210"/>
      <c r="AF581" s="210"/>
      <c r="AG581" s="210"/>
      <c r="AH581" s="210"/>
      <c r="AI581" s="210"/>
      <c r="AJ581" s="210"/>
      <c r="AK581" s="210"/>
      <c r="AL581" s="210"/>
      <c r="AM581" s="210"/>
      <c r="AN581" s="210"/>
      <c r="AO581" s="210"/>
      <c r="AP581" s="210"/>
      <c r="AQ581" s="210"/>
      <c r="AR581" s="210"/>
      <c r="AS581" s="210"/>
      <c r="AT581" s="210"/>
      <c r="AU581" s="210"/>
      <c r="AV581" s="210"/>
      <c r="AW581" s="210"/>
      <c r="AX581" s="210"/>
      <c r="AY581" s="210"/>
      <c r="AZ581" s="210"/>
      <c r="BA581" s="210"/>
      <c r="BB581" s="210"/>
      <c r="BC581" s="210"/>
      <c r="BD581" s="210"/>
      <c r="BE581" s="210"/>
      <c r="BF581" s="210"/>
      <c r="BG581" s="210"/>
      <c r="BH581" s="210"/>
      <c r="BI581" s="210"/>
      <c r="BJ581" s="210"/>
    </row>
    <row r="582" spans="1:62" ht="15" x14ac:dyDescent="0.2">
      <c r="A582" s="210"/>
      <c r="B582" s="210"/>
      <c r="C582" s="210"/>
      <c r="D582" s="210"/>
      <c r="E582" s="210"/>
      <c r="F582" s="210"/>
      <c r="G582" s="210"/>
      <c r="H582" s="210"/>
      <c r="I582" s="210"/>
      <c r="J582" s="210"/>
      <c r="K582" s="210"/>
      <c r="L582" s="210"/>
      <c r="M582" s="210"/>
      <c r="N582" s="210"/>
      <c r="O582" s="210"/>
      <c r="P582" s="210"/>
      <c r="Q582" s="210"/>
      <c r="R582" s="210"/>
      <c r="S582" s="210"/>
      <c r="T582" s="210"/>
      <c r="U582" s="210"/>
      <c r="V582" s="210"/>
      <c r="W582" s="210"/>
      <c r="X582" s="210"/>
      <c r="Y582" s="210"/>
      <c r="Z582" s="210"/>
      <c r="AA582" s="210"/>
      <c r="AB582" s="210"/>
      <c r="AC582" s="210"/>
      <c r="AD582" s="210"/>
      <c r="AE582" s="210"/>
      <c r="AF582" s="210"/>
      <c r="AG582" s="210"/>
      <c r="AH582" s="210"/>
      <c r="AI582" s="210"/>
      <c r="AJ582" s="210"/>
      <c r="AK582" s="210"/>
      <c r="AL582" s="210"/>
      <c r="AM582" s="210"/>
      <c r="AN582" s="210"/>
      <c r="AO582" s="210"/>
      <c r="AP582" s="210"/>
      <c r="AQ582" s="210"/>
      <c r="AR582" s="210"/>
      <c r="AS582" s="210"/>
      <c r="AT582" s="210"/>
      <c r="AU582" s="210"/>
      <c r="AV582" s="210"/>
      <c r="AW582" s="210"/>
      <c r="AX582" s="210"/>
      <c r="AY582" s="210"/>
      <c r="AZ582" s="210"/>
      <c r="BA582" s="210"/>
      <c r="BB582" s="210"/>
      <c r="BC582" s="210"/>
      <c r="BD582" s="210"/>
      <c r="BE582" s="210"/>
      <c r="BF582" s="210"/>
      <c r="BG582" s="210"/>
      <c r="BH582" s="210"/>
      <c r="BI582" s="210"/>
      <c r="BJ582" s="210"/>
    </row>
    <row r="583" spans="1:62" ht="15" x14ac:dyDescent="0.2">
      <c r="A583" s="210"/>
      <c r="B583" s="210"/>
      <c r="C583" s="210"/>
      <c r="D583" s="210"/>
      <c r="E583" s="210"/>
      <c r="F583" s="210"/>
      <c r="G583" s="210"/>
      <c r="H583" s="210"/>
      <c r="I583" s="210"/>
      <c r="J583" s="210"/>
      <c r="K583" s="210"/>
      <c r="L583" s="210"/>
      <c r="M583" s="210"/>
      <c r="N583" s="210"/>
      <c r="O583" s="210"/>
      <c r="P583" s="210"/>
      <c r="Q583" s="210"/>
      <c r="R583" s="210"/>
      <c r="S583" s="210"/>
      <c r="T583" s="210"/>
      <c r="U583" s="210"/>
      <c r="V583" s="210"/>
      <c r="W583" s="210"/>
      <c r="X583" s="210"/>
      <c r="Y583" s="210"/>
      <c r="Z583" s="210"/>
      <c r="AA583" s="210"/>
      <c r="AB583" s="210"/>
      <c r="AC583" s="210"/>
      <c r="AD583" s="210"/>
      <c r="AE583" s="210"/>
      <c r="AF583" s="210"/>
      <c r="AG583" s="210"/>
      <c r="AH583" s="210"/>
      <c r="AI583" s="210"/>
      <c r="AJ583" s="210"/>
      <c r="AK583" s="210"/>
      <c r="AL583" s="210"/>
      <c r="AM583" s="210"/>
      <c r="AN583" s="210"/>
      <c r="AO583" s="210"/>
      <c r="AP583" s="210"/>
      <c r="AQ583" s="210"/>
      <c r="AR583" s="210"/>
      <c r="AS583" s="210"/>
      <c r="AT583" s="210"/>
      <c r="AU583" s="210"/>
      <c r="AV583" s="210"/>
      <c r="AW583" s="210"/>
      <c r="AX583" s="210"/>
      <c r="AY583" s="210"/>
      <c r="AZ583" s="210"/>
      <c r="BA583" s="210"/>
      <c r="BB583" s="210"/>
      <c r="BC583" s="210"/>
      <c r="BD583" s="210"/>
      <c r="BE583" s="210"/>
      <c r="BF583" s="210"/>
      <c r="BG583" s="210"/>
      <c r="BH583" s="210"/>
      <c r="BI583" s="210"/>
      <c r="BJ583" s="210"/>
    </row>
    <row r="584" spans="1:62" ht="15" x14ac:dyDescent="0.2">
      <c r="A584" s="210"/>
      <c r="B584" s="210"/>
      <c r="C584" s="210"/>
      <c r="D584" s="210"/>
      <c r="E584" s="210"/>
      <c r="F584" s="210"/>
      <c r="G584" s="210"/>
      <c r="H584" s="210"/>
      <c r="I584" s="210"/>
      <c r="J584" s="210"/>
      <c r="K584" s="210"/>
      <c r="L584" s="210"/>
      <c r="M584" s="210"/>
      <c r="N584" s="210"/>
      <c r="O584" s="210"/>
      <c r="P584" s="210"/>
      <c r="Q584" s="210"/>
      <c r="R584" s="210"/>
      <c r="S584" s="210"/>
      <c r="T584" s="210"/>
      <c r="U584" s="210"/>
      <c r="V584" s="210"/>
      <c r="W584" s="210"/>
      <c r="X584" s="210"/>
      <c r="Y584" s="210"/>
      <c r="Z584" s="210"/>
      <c r="AA584" s="210"/>
      <c r="AB584" s="210"/>
      <c r="AC584" s="210"/>
      <c r="AD584" s="210"/>
      <c r="AE584" s="210"/>
      <c r="AF584" s="210"/>
      <c r="AG584" s="210"/>
      <c r="AH584" s="210"/>
      <c r="AI584" s="210"/>
      <c r="AJ584" s="210"/>
      <c r="AK584" s="210"/>
      <c r="AL584" s="210"/>
      <c r="AM584" s="210"/>
      <c r="AN584" s="210"/>
      <c r="AO584" s="210"/>
      <c r="AP584" s="210"/>
      <c r="AQ584" s="210"/>
      <c r="AR584" s="210"/>
      <c r="AS584" s="210"/>
      <c r="AT584" s="210"/>
      <c r="AU584" s="210"/>
      <c r="AV584" s="210"/>
      <c r="AW584" s="210"/>
      <c r="AX584" s="210"/>
      <c r="AY584" s="210"/>
      <c r="AZ584" s="210"/>
      <c r="BA584" s="210"/>
      <c r="BB584" s="210"/>
      <c r="BC584" s="210"/>
      <c r="BD584" s="210"/>
      <c r="BE584" s="210"/>
      <c r="BF584" s="210"/>
      <c r="BG584" s="210"/>
      <c r="BH584" s="210"/>
      <c r="BI584" s="210"/>
      <c r="BJ584" s="210"/>
    </row>
    <row r="585" spans="1:62" ht="15" x14ac:dyDescent="0.2">
      <c r="A585" s="210"/>
      <c r="B585" s="210"/>
      <c r="C585" s="210"/>
      <c r="D585" s="210"/>
      <c r="E585" s="210"/>
      <c r="F585" s="210"/>
      <c r="G585" s="210"/>
      <c r="H585" s="210"/>
      <c r="I585" s="210"/>
      <c r="J585" s="210"/>
      <c r="K585" s="210"/>
      <c r="L585" s="210"/>
      <c r="M585" s="210"/>
      <c r="N585" s="210"/>
      <c r="O585" s="210"/>
      <c r="P585" s="210"/>
      <c r="Q585" s="210"/>
      <c r="R585" s="210"/>
      <c r="S585" s="210"/>
      <c r="T585" s="210"/>
      <c r="U585" s="210"/>
      <c r="V585" s="210"/>
      <c r="W585" s="210"/>
      <c r="X585" s="210"/>
      <c r="Y585" s="210"/>
      <c r="Z585" s="210"/>
      <c r="AA585" s="210"/>
      <c r="AB585" s="210"/>
      <c r="AC585" s="210"/>
      <c r="AD585" s="210"/>
      <c r="AE585" s="210"/>
      <c r="AF585" s="210"/>
      <c r="AG585" s="210"/>
      <c r="AH585" s="210"/>
      <c r="AI585" s="210"/>
      <c r="AJ585" s="210"/>
      <c r="AK585" s="210"/>
      <c r="AL585" s="210"/>
      <c r="AM585" s="210"/>
      <c r="AN585" s="210"/>
      <c r="AO585" s="210"/>
      <c r="AP585" s="210"/>
      <c r="AQ585" s="210"/>
      <c r="AR585" s="210"/>
      <c r="AS585" s="210"/>
      <c r="AT585" s="210"/>
      <c r="AU585" s="210"/>
      <c r="AV585" s="210"/>
      <c r="AW585" s="210"/>
      <c r="AX585" s="210"/>
      <c r="AY585" s="210"/>
      <c r="AZ585" s="210"/>
      <c r="BA585" s="210"/>
      <c r="BB585" s="210"/>
      <c r="BC585" s="210"/>
      <c r="BD585" s="210"/>
      <c r="BE585" s="210"/>
      <c r="BF585" s="210"/>
      <c r="BG585" s="210"/>
      <c r="BH585" s="210"/>
      <c r="BI585" s="210"/>
      <c r="BJ585" s="210"/>
    </row>
    <row r="586" spans="1:62" ht="15" x14ac:dyDescent="0.2">
      <c r="A586" s="210"/>
      <c r="B586" s="210"/>
      <c r="C586" s="210"/>
      <c r="D586" s="210"/>
      <c r="E586" s="210"/>
      <c r="F586" s="210"/>
      <c r="G586" s="210"/>
      <c r="H586" s="210"/>
      <c r="I586" s="210"/>
      <c r="J586" s="210"/>
      <c r="K586" s="210"/>
      <c r="L586" s="210"/>
      <c r="M586" s="210"/>
      <c r="N586" s="210"/>
      <c r="O586" s="210"/>
      <c r="P586" s="210"/>
      <c r="Q586" s="210"/>
      <c r="R586" s="210"/>
      <c r="S586" s="210"/>
      <c r="T586" s="210"/>
      <c r="U586" s="210"/>
      <c r="V586" s="210"/>
      <c r="W586" s="210"/>
      <c r="X586" s="210"/>
      <c r="Y586" s="210"/>
      <c r="Z586" s="210"/>
      <c r="AA586" s="210"/>
      <c r="AB586" s="210"/>
      <c r="AC586" s="210"/>
      <c r="AD586" s="210"/>
      <c r="AE586" s="210"/>
      <c r="AF586" s="210"/>
      <c r="AG586" s="210"/>
      <c r="AH586" s="210"/>
      <c r="AI586" s="210"/>
      <c r="AJ586" s="210"/>
      <c r="AK586" s="210"/>
      <c r="AL586" s="210"/>
      <c r="AM586" s="210"/>
      <c r="AN586" s="210"/>
      <c r="AO586" s="210"/>
      <c r="AP586" s="210"/>
      <c r="AQ586" s="210"/>
      <c r="AR586" s="210"/>
      <c r="AS586" s="210"/>
      <c r="AT586" s="210"/>
      <c r="AU586" s="210"/>
      <c r="AV586" s="210"/>
      <c r="AW586" s="210"/>
      <c r="AX586" s="210"/>
      <c r="AY586" s="210"/>
      <c r="AZ586" s="210"/>
      <c r="BA586" s="210"/>
      <c r="BB586" s="210"/>
      <c r="BC586" s="210"/>
      <c r="BD586" s="210"/>
      <c r="BE586" s="210"/>
      <c r="BF586" s="210"/>
      <c r="BG586" s="210"/>
      <c r="BH586" s="210"/>
      <c r="BI586" s="210"/>
      <c r="BJ586" s="210"/>
    </row>
    <row r="587" spans="1:62" ht="15" x14ac:dyDescent="0.2">
      <c r="A587" s="210"/>
      <c r="B587" s="210"/>
      <c r="C587" s="210"/>
      <c r="D587" s="210"/>
      <c r="E587" s="210"/>
      <c r="F587" s="210"/>
      <c r="G587" s="210"/>
      <c r="H587" s="210"/>
      <c r="I587" s="210"/>
      <c r="J587" s="210"/>
      <c r="K587" s="210"/>
      <c r="L587" s="210"/>
      <c r="M587" s="210"/>
      <c r="N587" s="210"/>
      <c r="O587" s="210"/>
      <c r="P587" s="210"/>
      <c r="Q587" s="210"/>
      <c r="R587" s="210"/>
      <c r="S587" s="210"/>
      <c r="T587" s="210"/>
      <c r="U587" s="210"/>
      <c r="V587" s="210"/>
      <c r="W587" s="210"/>
      <c r="X587" s="210"/>
      <c r="Y587" s="210"/>
      <c r="Z587" s="210"/>
      <c r="AA587" s="210"/>
      <c r="AB587" s="210"/>
      <c r="AC587" s="210"/>
      <c r="AD587" s="210"/>
      <c r="AE587" s="210"/>
      <c r="AF587" s="210"/>
      <c r="AG587" s="210"/>
      <c r="AH587" s="210"/>
      <c r="AI587" s="210"/>
      <c r="AJ587" s="210"/>
      <c r="AK587" s="210"/>
      <c r="AL587" s="210"/>
      <c r="AM587" s="210"/>
      <c r="AN587" s="210"/>
      <c r="AO587" s="210"/>
      <c r="AP587" s="210"/>
      <c r="AQ587" s="210"/>
      <c r="AR587" s="210"/>
      <c r="AS587" s="210"/>
      <c r="AT587" s="210"/>
      <c r="AU587" s="210"/>
      <c r="AV587" s="210"/>
      <c r="AW587" s="210"/>
      <c r="AX587" s="210"/>
      <c r="AY587" s="210"/>
      <c r="AZ587" s="210"/>
      <c r="BA587" s="210"/>
      <c r="BB587" s="210"/>
      <c r="BC587" s="210"/>
      <c r="BD587" s="210"/>
      <c r="BE587" s="210"/>
      <c r="BF587" s="210"/>
      <c r="BG587" s="210"/>
      <c r="BH587" s="210"/>
      <c r="BI587" s="210"/>
      <c r="BJ587" s="210"/>
    </row>
    <row r="588" spans="1:62" ht="15" x14ac:dyDescent="0.2">
      <c r="A588" s="210"/>
      <c r="B588" s="210"/>
      <c r="C588" s="210"/>
      <c r="D588" s="210"/>
      <c r="E588" s="210"/>
      <c r="F588" s="210"/>
      <c r="G588" s="210"/>
      <c r="H588" s="210"/>
      <c r="I588" s="210"/>
      <c r="J588" s="210"/>
      <c r="K588" s="210"/>
      <c r="L588" s="210"/>
      <c r="M588" s="210"/>
      <c r="N588" s="210"/>
      <c r="O588" s="210"/>
      <c r="P588" s="210"/>
      <c r="Q588" s="210"/>
      <c r="R588" s="210"/>
      <c r="S588" s="210"/>
      <c r="T588" s="210"/>
      <c r="U588" s="210"/>
      <c r="V588" s="210"/>
      <c r="W588" s="210"/>
      <c r="X588" s="210"/>
      <c r="Y588" s="210"/>
      <c r="Z588" s="210"/>
      <c r="AA588" s="210"/>
      <c r="AB588" s="210"/>
      <c r="AC588" s="210"/>
      <c r="AD588" s="210"/>
      <c r="AE588" s="210"/>
      <c r="AF588" s="210"/>
      <c r="AG588" s="210"/>
      <c r="AH588" s="210"/>
      <c r="AI588" s="210"/>
      <c r="AJ588" s="210"/>
      <c r="AK588" s="210"/>
      <c r="AL588" s="210"/>
      <c r="AM588" s="210"/>
      <c r="AN588" s="210"/>
      <c r="AO588" s="210"/>
      <c r="AP588" s="210"/>
      <c r="AQ588" s="210"/>
      <c r="AR588" s="210"/>
      <c r="AS588" s="210"/>
      <c r="AT588" s="210"/>
      <c r="AU588" s="210"/>
      <c r="AV588" s="210"/>
      <c r="AW588" s="210"/>
      <c r="AX588" s="210"/>
      <c r="AY588" s="210"/>
      <c r="AZ588" s="210"/>
      <c r="BA588" s="210"/>
      <c r="BB588" s="210"/>
      <c r="BC588" s="210"/>
      <c r="BD588" s="210"/>
      <c r="BE588" s="210"/>
      <c r="BF588" s="210"/>
      <c r="BG588" s="210"/>
      <c r="BH588" s="210"/>
      <c r="BI588" s="210"/>
      <c r="BJ588" s="210"/>
    </row>
    <row r="589" spans="1:62" ht="15" x14ac:dyDescent="0.2">
      <c r="A589" s="210"/>
      <c r="B589" s="210"/>
      <c r="C589" s="210"/>
      <c r="D589" s="210"/>
      <c r="E589" s="210"/>
      <c r="F589" s="210"/>
      <c r="G589" s="210"/>
      <c r="H589" s="210"/>
      <c r="I589" s="210"/>
      <c r="J589" s="210"/>
      <c r="K589" s="210"/>
      <c r="L589" s="210"/>
      <c r="M589" s="210"/>
      <c r="N589" s="210"/>
      <c r="O589" s="210"/>
      <c r="P589" s="210"/>
      <c r="Q589" s="210"/>
      <c r="R589" s="210"/>
      <c r="S589" s="210"/>
      <c r="T589" s="210"/>
      <c r="U589" s="210"/>
      <c r="V589" s="210"/>
      <c r="W589" s="210"/>
      <c r="X589" s="210"/>
      <c r="Y589" s="210"/>
      <c r="Z589" s="210"/>
      <c r="AA589" s="210"/>
      <c r="AB589" s="210"/>
      <c r="AC589" s="210"/>
      <c r="AD589" s="210"/>
      <c r="AE589" s="210"/>
      <c r="AF589" s="210"/>
      <c r="AG589" s="210"/>
      <c r="AH589" s="210"/>
      <c r="AI589" s="210"/>
      <c r="AJ589" s="210"/>
      <c r="AK589" s="210"/>
      <c r="AL589" s="210"/>
      <c r="AM589" s="210"/>
      <c r="AN589" s="210"/>
      <c r="AO589" s="210"/>
      <c r="AP589" s="210"/>
      <c r="AQ589" s="210"/>
      <c r="AR589" s="210"/>
      <c r="AS589" s="210"/>
      <c r="AT589" s="210"/>
      <c r="AU589" s="210"/>
      <c r="AV589" s="210"/>
      <c r="AW589" s="210"/>
      <c r="AX589" s="210"/>
      <c r="AY589" s="210"/>
      <c r="AZ589" s="210"/>
      <c r="BA589" s="210"/>
      <c r="BB589" s="210"/>
      <c r="BC589" s="210"/>
      <c r="BD589" s="210"/>
      <c r="BE589" s="210"/>
      <c r="BF589" s="210"/>
      <c r="BG589" s="210"/>
      <c r="BH589" s="210"/>
      <c r="BI589" s="210"/>
      <c r="BJ589" s="210"/>
    </row>
    <row r="590" spans="1:62" ht="15" x14ac:dyDescent="0.2">
      <c r="A590" s="210"/>
      <c r="B590" s="210"/>
      <c r="C590" s="210"/>
      <c r="D590" s="210"/>
      <c r="E590" s="210"/>
      <c r="F590" s="210"/>
      <c r="G590" s="210"/>
      <c r="H590" s="210"/>
      <c r="I590" s="210"/>
      <c r="J590" s="210"/>
      <c r="K590" s="210"/>
      <c r="L590" s="210"/>
      <c r="M590" s="210"/>
      <c r="N590" s="210"/>
      <c r="O590" s="210"/>
      <c r="P590" s="210"/>
      <c r="Q590" s="210"/>
      <c r="R590" s="210"/>
      <c r="S590" s="210"/>
      <c r="T590" s="210"/>
      <c r="U590" s="210"/>
      <c r="V590" s="210"/>
      <c r="W590" s="210"/>
      <c r="X590" s="210"/>
      <c r="Y590" s="210"/>
      <c r="Z590" s="210"/>
      <c r="AA590" s="210"/>
      <c r="AB590" s="210"/>
      <c r="AC590" s="210"/>
      <c r="AD590" s="210"/>
      <c r="AE590" s="210"/>
      <c r="AF590" s="210"/>
      <c r="AG590" s="210"/>
      <c r="AH590" s="210"/>
      <c r="AI590" s="210"/>
      <c r="AJ590" s="210"/>
      <c r="AK590" s="210"/>
      <c r="AL590" s="210"/>
      <c r="AM590" s="210"/>
      <c r="AN590" s="210"/>
      <c r="AO590" s="210"/>
      <c r="AP590" s="210"/>
      <c r="AQ590" s="210"/>
      <c r="AR590" s="210"/>
      <c r="AS590" s="210"/>
      <c r="AT590" s="210"/>
      <c r="AU590" s="210"/>
      <c r="AV590" s="210"/>
      <c r="AW590" s="210"/>
      <c r="AX590" s="210"/>
      <c r="AY590" s="210"/>
      <c r="AZ590" s="210"/>
      <c r="BA590" s="210"/>
      <c r="BB590" s="210"/>
      <c r="BC590" s="210"/>
      <c r="BD590" s="210"/>
      <c r="BE590" s="210"/>
      <c r="BF590" s="210"/>
      <c r="BG590" s="210"/>
      <c r="BH590" s="210"/>
      <c r="BI590" s="210"/>
      <c r="BJ590" s="210"/>
    </row>
    <row r="591" spans="1:62" ht="15" x14ac:dyDescent="0.2">
      <c r="A591" s="210"/>
      <c r="B591" s="210"/>
      <c r="C591" s="210"/>
      <c r="D591" s="210"/>
      <c r="E591" s="210"/>
      <c r="F591" s="210"/>
      <c r="G591" s="210"/>
      <c r="H591" s="210"/>
      <c r="I591" s="210"/>
      <c r="J591" s="210"/>
      <c r="K591" s="210"/>
      <c r="L591" s="210"/>
      <c r="M591" s="210"/>
      <c r="N591" s="210"/>
      <c r="O591" s="210"/>
      <c r="P591" s="210"/>
      <c r="Q591" s="210"/>
      <c r="R591" s="210"/>
      <c r="S591" s="210"/>
      <c r="T591" s="210"/>
      <c r="U591" s="210"/>
      <c r="V591" s="210"/>
      <c r="W591" s="210"/>
      <c r="X591" s="210"/>
      <c r="Y591" s="210"/>
      <c r="Z591" s="210"/>
      <c r="AA591" s="210"/>
      <c r="AB591" s="210"/>
      <c r="AC591" s="210"/>
      <c r="AD591" s="210"/>
      <c r="AE591" s="210"/>
      <c r="AF591" s="210"/>
      <c r="AG591" s="210"/>
      <c r="AH591" s="210"/>
      <c r="AI591" s="210"/>
      <c r="AJ591" s="210"/>
      <c r="AK591" s="210"/>
      <c r="AL591" s="210"/>
      <c r="AM591" s="210"/>
      <c r="AN591" s="210"/>
      <c r="AO591" s="210"/>
      <c r="AP591" s="210"/>
      <c r="AQ591" s="210"/>
      <c r="AR591" s="210"/>
      <c r="AS591" s="210"/>
      <c r="AT591" s="210"/>
      <c r="AU591" s="210"/>
      <c r="AV591" s="210"/>
      <c r="AW591" s="210"/>
      <c r="AX591" s="210"/>
      <c r="AY591" s="210"/>
      <c r="AZ591" s="210"/>
      <c r="BA591" s="210"/>
      <c r="BB591" s="210"/>
      <c r="BC591" s="210"/>
      <c r="BD591" s="210"/>
      <c r="BE591" s="210"/>
      <c r="BF591" s="210"/>
      <c r="BG591" s="210"/>
      <c r="BH591" s="210"/>
      <c r="BI591" s="210"/>
      <c r="BJ591" s="210"/>
    </row>
    <row r="592" spans="1:62" ht="15" x14ac:dyDescent="0.2">
      <c r="A592" s="210"/>
      <c r="B592" s="210"/>
      <c r="C592" s="210"/>
      <c r="D592" s="210"/>
      <c r="E592" s="210"/>
      <c r="F592" s="210"/>
      <c r="G592" s="210"/>
      <c r="H592" s="210"/>
      <c r="I592" s="210"/>
      <c r="J592" s="210"/>
      <c r="K592" s="210"/>
      <c r="L592" s="210"/>
      <c r="M592" s="210"/>
      <c r="N592" s="210"/>
      <c r="O592" s="210"/>
      <c r="P592" s="210"/>
      <c r="Q592" s="210"/>
      <c r="R592" s="210"/>
      <c r="S592" s="210"/>
      <c r="T592" s="210"/>
      <c r="U592" s="210"/>
      <c r="V592" s="210"/>
      <c r="W592" s="210"/>
      <c r="X592" s="210"/>
      <c r="Y592" s="210"/>
      <c r="Z592" s="210"/>
      <c r="AA592" s="210"/>
      <c r="AB592" s="210"/>
      <c r="AC592" s="210"/>
      <c r="AD592" s="210"/>
      <c r="AE592" s="210"/>
      <c r="AF592" s="210"/>
      <c r="AG592" s="210"/>
      <c r="AH592" s="210"/>
      <c r="AI592" s="210"/>
      <c r="AJ592" s="210"/>
      <c r="AK592" s="210"/>
      <c r="AL592" s="210"/>
      <c r="AM592" s="210"/>
      <c r="AN592" s="210"/>
      <c r="AO592" s="210"/>
      <c r="AP592" s="210"/>
      <c r="AQ592" s="210"/>
      <c r="AR592" s="210"/>
      <c r="AS592" s="210"/>
      <c r="AT592" s="210"/>
      <c r="AU592" s="210"/>
      <c r="AV592" s="210"/>
      <c r="AW592" s="210"/>
      <c r="AX592" s="210"/>
      <c r="AY592" s="210"/>
      <c r="AZ592" s="210"/>
      <c r="BA592" s="210"/>
      <c r="BB592" s="210"/>
      <c r="BC592" s="210"/>
      <c r="BD592" s="210"/>
      <c r="BE592" s="210"/>
      <c r="BF592" s="210"/>
      <c r="BG592" s="210"/>
      <c r="BH592" s="210"/>
      <c r="BI592" s="210"/>
      <c r="BJ592" s="210"/>
    </row>
    <row r="593" spans="1:62" ht="15" x14ac:dyDescent="0.2">
      <c r="A593" s="210"/>
      <c r="B593" s="210"/>
      <c r="C593" s="210"/>
      <c r="D593" s="210"/>
      <c r="E593" s="210"/>
      <c r="F593" s="210"/>
      <c r="G593" s="210"/>
      <c r="H593" s="210"/>
      <c r="I593" s="210"/>
      <c r="J593" s="210"/>
      <c r="K593" s="210"/>
      <c r="L593" s="210"/>
      <c r="M593" s="210"/>
      <c r="N593" s="210"/>
      <c r="O593" s="210"/>
      <c r="P593" s="210"/>
      <c r="Q593" s="210"/>
      <c r="R593" s="210"/>
      <c r="S593" s="210"/>
      <c r="T593" s="210"/>
      <c r="U593" s="210"/>
      <c r="V593" s="210"/>
      <c r="W593" s="210"/>
      <c r="X593" s="210"/>
      <c r="Y593" s="210"/>
      <c r="Z593" s="210"/>
      <c r="AA593" s="210"/>
      <c r="AB593" s="210"/>
      <c r="AC593" s="210"/>
      <c r="AD593" s="210"/>
      <c r="AE593" s="210"/>
      <c r="AF593" s="210"/>
      <c r="AG593" s="210"/>
      <c r="AH593" s="210"/>
      <c r="AI593" s="210"/>
      <c r="AJ593" s="210"/>
      <c r="AK593" s="210"/>
      <c r="AL593" s="210"/>
      <c r="AM593" s="210"/>
      <c r="AN593" s="210"/>
      <c r="AO593" s="210"/>
      <c r="AP593" s="210"/>
      <c r="AQ593" s="210"/>
      <c r="AR593" s="210"/>
      <c r="AS593" s="210"/>
      <c r="AT593" s="210"/>
      <c r="AU593" s="210"/>
      <c r="AV593" s="210"/>
      <c r="AW593" s="210"/>
      <c r="AX593" s="210"/>
      <c r="AY593" s="210"/>
      <c r="AZ593" s="210"/>
      <c r="BA593" s="210"/>
      <c r="BB593" s="210"/>
      <c r="BC593" s="210"/>
      <c r="BD593" s="210"/>
      <c r="BE593" s="210"/>
      <c r="BF593" s="210"/>
      <c r="BG593" s="210"/>
      <c r="BH593" s="210"/>
      <c r="BI593" s="210"/>
      <c r="BJ593" s="210"/>
    </row>
    <row r="594" spans="1:62" ht="15" x14ac:dyDescent="0.2">
      <c r="A594" s="210"/>
      <c r="B594" s="210"/>
      <c r="C594" s="210"/>
      <c r="D594" s="210"/>
      <c r="E594" s="210"/>
      <c r="F594" s="210"/>
      <c r="G594" s="210"/>
      <c r="H594" s="210"/>
      <c r="I594" s="210"/>
      <c r="J594" s="210"/>
      <c r="K594" s="210"/>
      <c r="L594" s="210"/>
      <c r="M594" s="210"/>
      <c r="N594" s="210"/>
      <c r="O594" s="210"/>
      <c r="P594" s="210"/>
      <c r="Q594" s="210"/>
      <c r="R594" s="210"/>
      <c r="S594" s="210"/>
      <c r="T594" s="210"/>
      <c r="U594" s="210"/>
      <c r="V594" s="210"/>
      <c r="W594" s="210"/>
      <c r="X594" s="210"/>
      <c r="Y594" s="210"/>
      <c r="Z594" s="210"/>
      <c r="AA594" s="210"/>
      <c r="AB594" s="210"/>
      <c r="AC594" s="210"/>
      <c r="AD594" s="210"/>
      <c r="AE594" s="210"/>
      <c r="AF594" s="210"/>
      <c r="AG594" s="210"/>
      <c r="AH594" s="210"/>
      <c r="AI594" s="210"/>
      <c r="AJ594" s="210"/>
      <c r="AK594" s="210"/>
      <c r="AL594" s="210"/>
      <c r="AM594" s="210"/>
      <c r="AN594" s="210"/>
      <c r="AO594" s="210"/>
      <c r="AP594" s="210"/>
      <c r="AQ594" s="210"/>
      <c r="AR594" s="210"/>
      <c r="AS594" s="210"/>
      <c r="AT594" s="210"/>
      <c r="AU594" s="210"/>
      <c r="AV594" s="210"/>
      <c r="AW594" s="210"/>
      <c r="AX594" s="210"/>
      <c r="AY594" s="210"/>
      <c r="AZ594" s="210"/>
      <c r="BA594" s="210"/>
      <c r="BB594" s="210"/>
      <c r="BC594" s="210"/>
      <c r="BD594" s="210"/>
      <c r="BE594" s="210"/>
      <c r="BF594" s="210"/>
      <c r="BG594" s="210"/>
      <c r="BH594" s="210"/>
      <c r="BI594" s="210"/>
      <c r="BJ594" s="210"/>
    </row>
    <row r="595" spans="1:62" ht="15" x14ac:dyDescent="0.2">
      <c r="A595" s="210"/>
      <c r="B595" s="210"/>
      <c r="C595" s="210"/>
      <c r="D595" s="210"/>
      <c r="E595" s="210"/>
      <c r="F595" s="210"/>
      <c r="G595" s="210"/>
      <c r="H595" s="210"/>
      <c r="I595" s="210"/>
      <c r="J595" s="210"/>
      <c r="K595" s="210"/>
      <c r="L595" s="210"/>
      <c r="M595" s="210"/>
      <c r="N595" s="210"/>
      <c r="O595" s="210"/>
      <c r="P595" s="210"/>
      <c r="Q595" s="210"/>
      <c r="R595" s="210"/>
      <c r="S595" s="210"/>
      <c r="T595" s="210"/>
      <c r="U595" s="210"/>
      <c r="V595" s="210"/>
      <c r="W595" s="210"/>
      <c r="X595" s="210"/>
      <c r="Y595" s="210"/>
      <c r="Z595" s="210"/>
      <c r="AA595" s="210"/>
      <c r="AB595" s="210"/>
      <c r="AC595" s="210"/>
      <c r="AD595" s="210"/>
      <c r="AE595" s="210"/>
      <c r="AF595" s="210"/>
      <c r="AG595" s="210"/>
      <c r="AH595" s="210"/>
      <c r="AI595" s="210"/>
      <c r="AJ595" s="210"/>
      <c r="AK595" s="210"/>
      <c r="AL595" s="210"/>
      <c r="AM595" s="210"/>
      <c r="AN595" s="210"/>
      <c r="AO595" s="210"/>
      <c r="AP595" s="210"/>
      <c r="AQ595" s="210"/>
      <c r="AR595" s="210"/>
      <c r="AS595" s="210"/>
      <c r="AT595" s="210"/>
      <c r="AU595" s="210"/>
      <c r="AV595" s="210"/>
      <c r="AW595" s="210"/>
      <c r="AX595" s="210"/>
      <c r="AY595" s="210"/>
      <c r="AZ595" s="210"/>
      <c r="BA595" s="210"/>
      <c r="BB595" s="210"/>
      <c r="BC595" s="210"/>
      <c r="BD595" s="210"/>
      <c r="BE595" s="210"/>
      <c r="BF595" s="210"/>
      <c r="BG595" s="210"/>
      <c r="BH595" s="210"/>
      <c r="BI595" s="210"/>
      <c r="BJ595" s="210"/>
    </row>
    <row r="596" spans="1:62" ht="15" x14ac:dyDescent="0.2">
      <c r="A596" s="210"/>
      <c r="B596" s="210"/>
      <c r="C596" s="210"/>
      <c r="D596" s="210"/>
      <c r="E596" s="210"/>
      <c r="F596" s="210"/>
      <c r="G596" s="210"/>
      <c r="H596" s="210"/>
      <c r="I596" s="210"/>
      <c r="J596" s="210"/>
      <c r="K596" s="210"/>
      <c r="L596" s="210"/>
      <c r="M596" s="210"/>
      <c r="N596" s="210"/>
      <c r="O596" s="210"/>
      <c r="P596" s="210"/>
      <c r="Q596" s="210"/>
      <c r="R596" s="210"/>
      <c r="S596" s="210"/>
      <c r="T596" s="210"/>
      <c r="U596" s="210"/>
      <c r="V596" s="210"/>
      <c r="W596" s="210"/>
      <c r="X596" s="210"/>
      <c r="Y596" s="210"/>
      <c r="Z596" s="210"/>
      <c r="AA596" s="210"/>
      <c r="AB596" s="210"/>
      <c r="AC596" s="210"/>
      <c r="AD596" s="210"/>
      <c r="AE596" s="210"/>
      <c r="AF596" s="210"/>
      <c r="AG596" s="210"/>
      <c r="AH596" s="210"/>
      <c r="AI596" s="210"/>
      <c r="AJ596" s="210"/>
      <c r="AK596" s="210"/>
      <c r="AL596" s="210"/>
      <c r="AM596" s="210"/>
      <c r="AN596" s="210"/>
      <c r="AO596" s="210"/>
      <c r="AP596" s="210"/>
      <c r="AQ596" s="210"/>
      <c r="AR596" s="210"/>
      <c r="AS596" s="210"/>
      <c r="AT596" s="210"/>
      <c r="AU596" s="210"/>
      <c r="AV596" s="210"/>
      <c r="AW596" s="210"/>
      <c r="AX596" s="210"/>
      <c r="AY596" s="210"/>
      <c r="AZ596" s="210"/>
      <c r="BA596" s="210"/>
      <c r="BB596" s="210"/>
      <c r="BC596" s="210"/>
      <c r="BD596" s="210"/>
      <c r="BE596" s="210"/>
      <c r="BF596" s="210"/>
      <c r="BG596" s="210"/>
      <c r="BH596" s="210"/>
      <c r="BI596" s="210"/>
      <c r="BJ596" s="210"/>
    </row>
    <row r="597" spans="1:62" ht="15" x14ac:dyDescent="0.2">
      <c r="A597" s="210"/>
      <c r="B597" s="210"/>
      <c r="C597" s="210"/>
      <c r="D597" s="210"/>
      <c r="E597" s="210"/>
      <c r="F597" s="210"/>
      <c r="G597" s="210"/>
      <c r="H597" s="210"/>
      <c r="I597" s="210"/>
      <c r="J597" s="210"/>
      <c r="K597" s="210"/>
      <c r="L597" s="210"/>
      <c r="M597" s="210"/>
      <c r="N597" s="210"/>
      <c r="O597" s="210"/>
      <c r="P597" s="210"/>
      <c r="Q597" s="210"/>
      <c r="R597" s="210"/>
      <c r="S597" s="210"/>
      <c r="T597" s="210"/>
      <c r="U597" s="210"/>
      <c r="V597" s="210"/>
      <c r="W597" s="210"/>
      <c r="X597" s="210"/>
      <c r="Y597" s="210"/>
      <c r="Z597" s="210"/>
      <c r="AA597" s="210"/>
      <c r="AB597" s="210"/>
      <c r="AC597" s="210"/>
      <c r="AD597" s="210"/>
      <c r="AE597" s="210"/>
      <c r="AF597" s="210"/>
      <c r="AG597" s="210"/>
      <c r="AH597" s="210"/>
      <c r="AI597" s="210"/>
      <c r="AJ597" s="210"/>
      <c r="AK597" s="210"/>
      <c r="AL597" s="210"/>
      <c r="AM597" s="210"/>
      <c r="AN597" s="210"/>
      <c r="AO597" s="210"/>
      <c r="AP597" s="210"/>
      <c r="AQ597" s="210"/>
      <c r="AR597" s="210"/>
      <c r="AS597" s="210"/>
      <c r="AT597" s="210"/>
      <c r="AU597" s="210"/>
      <c r="AV597" s="210"/>
      <c r="AW597" s="210"/>
      <c r="AX597" s="210"/>
      <c r="AY597" s="210"/>
      <c r="AZ597" s="210"/>
      <c r="BA597" s="210"/>
      <c r="BB597" s="210"/>
      <c r="BC597" s="210"/>
      <c r="BD597" s="210"/>
      <c r="BE597" s="210"/>
      <c r="BF597" s="210"/>
      <c r="BG597" s="210"/>
      <c r="BH597" s="210"/>
      <c r="BI597" s="210"/>
      <c r="BJ597" s="210"/>
    </row>
    <row r="598" spans="1:62" ht="15" x14ac:dyDescent="0.2">
      <c r="A598" s="210"/>
      <c r="B598" s="210"/>
      <c r="C598" s="210"/>
      <c r="D598" s="210"/>
      <c r="E598" s="210"/>
      <c r="F598" s="210"/>
      <c r="G598" s="210"/>
      <c r="H598" s="210"/>
      <c r="I598" s="210"/>
      <c r="J598" s="210"/>
      <c r="K598" s="210"/>
      <c r="L598" s="210"/>
      <c r="M598" s="210"/>
      <c r="N598" s="210"/>
      <c r="O598" s="210"/>
      <c r="P598" s="210"/>
      <c r="Q598" s="210"/>
      <c r="R598" s="210"/>
      <c r="S598" s="210"/>
      <c r="T598" s="210"/>
      <c r="U598" s="210"/>
      <c r="V598" s="210"/>
      <c r="W598" s="210"/>
      <c r="X598" s="210"/>
      <c r="Y598" s="210"/>
      <c r="Z598" s="210"/>
      <c r="AA598" s="210"/>
      <c r="AB598" s="210"/>
      <c r="AC598" s="210"/>
      <c r="AD598" s="210"/>
      <c r="AE598" s="210"/>
      <c r="AF598" s="210"/>
      <c r="AG598" s="210"/>
      <c r="AH598" s="210"/>
      <c r="AI598" s="210"/>
      <c r="AJ598" s="210"/>
      <c r="AK598" s="210"/>
      <c r="AL598" s="210"/>
      <c r="AM598" s="210"/>
      <c r="AN598" s="210"/>
      <c r="AO598" s="210"/>
      <c r="AP598" s="210"/>
      <c r="AQ598" s="210"/>
      <c r="AR598" s="210"/>
      <c r="AS598" s="210"/>
      <c r="AT598" s="210"/>
      <c r="AU598" s="210"/>
      <c r="AV598" s="210"/>
      <c r="AW598" s="210"/>
      <c r="AX598" s="210"/>
      <c r="AY598" s="210"/>
      <c r="AZ598" s="210"/>
      <c r="BA598" s="210"/>
      <c r="BB598" s="210"/>
      <c r="BC598" s="210"/>
      <c r="BD598" s="210"/>
      <c r="BE598" s="210"/>
      <c r="BF598" s="210"/>
      <c r="BG598" s="210"/>
      <c r="BH598" s="210"/>
      <c r="BI598" s="210"/>
      <c r="BJ598" s="210"/>
    </row>
    <row r="599" spans="1:62" ht="15" x14ac:dyDescent="0.2">
      <c r="A599" s="210"/>
      <c r="B599" s="210"/>
      <c r="C599" s="210"/>
      <c r="D599" s="210"/>
      <c r="E599" s="210"/>
      <c r="F599" s="210"/>
      <c r="G599" s="210"/>
      <c r="H599" s="210"/>
      <c r="I599" s="210"/>
      <c r="J599" s="210"/>
      <c r="K599" s="210"/>
      <c r="L599" s="210"/>
      <c r="M599" s="210"/>
      <c r="N599" s="210"/>
      <c r="O599" s="210"/>
      <c r="P599" s="210"/>
      <c r="Q599" s="210"/>
      <c r="R599" s="210"/>
      <c r="S599" s="210"/>
      <c r="T599" s="210"/>
      <c r="U599" s="210"/>
      <c r="V599" s="210"/>
      <c r="W599" s="210"/>
      <c r="X599" s="210"/>
      <c r="Y599" s="210"/>
      <c r="Z599" s="210"/>
      <c r="AA599" s="210"/>
      <c r="AB599" s="210"/>
      <c r="AC599" s="210"/>
      <c r="AD599" s="210"/>
      <c r="AE599" s="210"/>
      <c r="AF599" s="210"/>
      <c r="AG599" s="210"/>
      <c r="AH599" s="210"/>
      <c r="AI599" s="210"/>
      <c r="AJ599" s="210"/>
      <c r="AK599" s="210"/>
      <c r="AL599" s="210"/>
      <c r="AM599" s="210"/>
      <c r="AN599" s="210"/>
      <c r="AO599" s="210"/>
      <c r="AP599" s="210"/>
      <c r="AQ599" s="210"/>
      <c r="AR599" s="210"/>
      <c r="AS599" s="210"/>
      <c r="AT599" s="210"/>
      <c r="AU599" s="210"/>
      <c r="AV599" s="210"/>
      <c r="AW599" s="210"/>
      <c r="AX599" s="210"/>
      <c r="AY599" s="210"/>
      <c r="AZ599" s="210"/>
      <c r="BA599" s="210"/>
      <c r="BB599" s="210"/>
      <c r="BC599" s="210"/>
      <c r="BD599" s="210"/>
      <c r="BE599" s="210"/>
      <c r="BF599" s="210"/>
      <c r="BG599" s="210"/>
      <c r="BH599" s="210"/>
      <c r="BI599" s="210"/>
      <c r="BJ599" s="210"/>
    </row>
    <row r="600" spans="1:62" ht="15" x14ac:dyDescent="0.2">
      <c r="A600" s="210"/>
      <c r="B600" s="210"/>
      <c r="C600" s="210"/>
      <c r="D600" s="210"/>
      <c r="E600" s="210"/>
      <c r="F600" s="210"/>
      <c r="G600" s="210"/>
      <c r="H600" s="210"/>
      <c r="I600" s="210"/>
      <c r="J600" s="210"/>
      <c r="K600" s="210"/>
      <c r="L600" s="210"/>
      <c r="M600" s="210"/>
      <c r="N600" s="210"/>
      <c r="O600" s="210"/>
      <c r="P600" s="210"/>
      <c r="Q600" s="210"/>
      <c r="R600" s="210"/>
      <c r="S600" s="210"/>
      <c r="T600" s="210"/>
      <c r="U600" s="210"/>
      <c r="V600" s="210"/>
      <c r="W600" s="210"/>
      <c r="X600" s="210"/>
      <c r="Y600" s="210"/>
      <c r="Z600" s="210"/>
      <c r="AA600" s="210"/>
      <c r="AB600" s="210"/>
      <c r="AC600" s="210"/>
      <c r="AD600" s="210"/>
      <c r="AE600" s="210"/>
      <c r="AF600" s="210"/>
      <c r="AG600" s="210"/>
      <c r="AH600" s="210"/>
      <c r="AI600" s="210"/>
      <c r="AJ600" s="210"/>
      <c r="AK600" s="210"/>
      <c r="AL600" s="210"/>
      <c r="AM600" s="210"/>
      <c r="AN600" s="210"/>
      <c r="AO600" s="210"/>
      <c r="AP600" s="210"/>
      <c r="AQ600" s="210"/>
      <c r="AR600" s="210"/>
      <c r="AS600" s="210"/>
      <c r="AT600" s="210"/>
      <c r="AU600" s="210"/>
      <c r="AV600" s="210"/>
      <c r="AW600" s="210"/>
      <c r="AX600" s="210"/>
      <c r="AY600" s="210"/>
      <c r="AZ600" s="210"/>
      <c r="BA600" s="210"/>
      <c r="BB600" s="210"/>
      <c r="BC600" s="210"/>
      <c r="BD600" s="210"/>
      <c r="BE600" s="210"/>
      <c r="BF600" s="210"/>
      <c r="BG600" s="210"/>
      <c r="BH600" s="210"/>
      <c r="BI600" s="210"/>
      <c r="BJ600" s="210"/>
    </row>
    <row r="601" spans="1:62" ht="15" x14ac:dyDescent="0.2">
      <c r="A601" s="210"/>
      <c r="B601" s="210"/>
      <c r="C601" s="210"/>
      <c r="D601" s="210"/>
      <c r="E601" s="210"/>
      <c r="F601" s="210"/>
      <c r="G601" s="210"/>
      <c r="H601" s="210"/>
      <c r="I601" s="210"/>
      <c r="J601" s="210"/>
      <c r="K601" s="210"/>
      <c r="L601" s="210"/>
      <c r="M601" s="210"/>
      <c r="N601" s="210"/>
      <c r="O601" s="210"/>
      <c r="P601" s="210"/>
      <c r="Q601" s="210"/>
      <c r="R601" s="210"/>
      <c r="S601" s="210"/>
      <c r="T601" s="210"/>
      <c r="U601" s="210"/>
      <c r="V601" s="210"/>
      <c r="W601" s="210"/>
      <c r="X601" s="210"/>
      <c r="Y601" s="210"/>
      <c r="Z601" s="210"/>
      <c r="AA601" s="210"/>
      <c r="AB601" s="210"/>
      <c r="AC601" s="210"/>
      <c r="AD601" s="210"/>
      <c r="AE601" s="210"/>
      <c r="AF601" s="210"/>
      <c r="AG601" s="210"/>
      <c r="AH601" s="210"/>
      <c r="AI601" s="210"/>
      <c r="AJ601" s="210"/>
      <c r="AK601" s="210"/>
      <c r="AL601" s="210"/>
      <c r="AM601" s="210"/>
      <c r="AN601" s="210"/>
      <c r="AO601" s="210"/>
      <c r="AP601" s="210"/>
      <c r="AQ601" s="210"/>
      <c r="AR601" s="210"/>
      <c r="AS601" s="210"/>
      <c r="AT601" s="210"/>
      <c r="AU601" s="210"/>
      <c r="AV601" s="210"/>
      <c r="AW601" s="210"/>
      <c r="AX601" s="210"/>
      <c r="AY601" s="210"/>
      <c r="AZ601" s="210"/>
      <c r="BA601" s="210"/>
      <c r="BB601" s="210"/>
      <c r="BC601" s="210"/>
      <c r="BD601" s="210"/>
      <c r="BE601" s="210"/>
      <c r="BF601" s="210"/>
      <c r="BG601" s="210"/>
      <c r="BH601" s="210"/>
      <c r="BI601" s="210"/>
      <c r="BJ601" s="210"/>
    </row>
    <row r="602" spans="1:62" ht="15" x14ac:dyDescent="0.2">
      <c r="A602" s="210"/>
      <c r="B602" s="210"/>
      <c r="C602" s="210"/>
      <c r="D602" s="210"/>
      <c r="E602" s="210"/>
      <c r="F602" s="210"/>
      <c r="G602" s="210"/>
      <c r="H602" s="210"/>
      <c r="I602" s="210"/>
      <c r="J602" s="210"/>
      <c r="K602" s="210"/>
      <c r="L602" s="210"/>
      <c r="M602" s="210"/>
      <c r="N602" s="210"/>
      <c r="O602" s="210"/>
      <c r="P602" s="210"/>
      <c r="Q602" s="210"/>
      <c r="R602" s="210"/>
      <c r="S602" s="210"/>
      <c r="T602" s="210"/>
      <c r="U602" s="210"/>
      <c r="V602" s="210"/>
      <c r="W602" s="210"/>
      <c r="X602" s="210"/>
      <c r="Y602" s="210"/>
      <c r="Z602" s="210"/>
      <c r="AA602" s="210"/>
      <c r="AB602" s="210"/>
      <c r="AC602" s="210"/>
      <c r="AD602" s="210"/>
      <c r="AE602" s="210"/>
      <c r="AF602" s="210"/>
      <c r="AG602" s="210"/>
      <c r="AH602" s="210"/>
      <c r="AI602" s="210"/>
      <c r="AJ602" s="210"/>
      <c r="AK602" s="210"/>
      <c r="AL602" s="210"/>
      <c r="AM602" s="210"/>
      <c r="AN602" s="210"/>
      <c r="AO602" s="210"/>
      <c r="AP602" s="210"/>
      <c r="AQ602" s="210"/>
      <c r="AR602" s="210"/>
      <c r="AS602" s="210"/>
      <c r="AT602" s="210"/>
      <c r="AU602" s="210"/>
      <c r="AV602" s="210"/>
      <c r="AW602" s="210"/>
      <c r="AX602" s="210"/>
      <c r="AY602" s="210"/>
      <c r="AZ602" s="210"/>
      <c r="BA602" s="210"/>
      <c r="BB602" s="210"/>
      <c r="BC602" s="210"/>
      <c r="BD602" s="210"/>
      <c r="BE602" s="210"/>
      <c r="BF602" s="210"/>
      <c r="BG602" s="210"/>
      <c r="BH602" s="210"/>
      <c r="BI602" s="210"/>
      <c r="BJ602" s="210"/>
    </row>
    <row r="603" spans="1:62" ht="15" x14ac:dyDescent="0.2">
      <c r="A603" s="210"/>
      <c r="B603" s="210"/>
      <c r="C603" s="210"/>
      <c r="D603" s="210"/>
      <c r="E603" s="210"/>
      <c r="F603" s="210"/>
      <c r="G603" s="210"/>
      <c r="H603" s="210"/>
      <c r="I603" s="210"/>
      <c r="J603" s="210"/>
      <c r="K603" s="210"/>
      <c r="L603" s="210"/>
      <c r="M603" s="210"/>
      <c r="N603" s="210"/>
      <c r="O603" s="210"/>
      <c r="P603" s="210"/>
      <c r="Q603" s="210"/>
      <c r="R603" s="210"/>
      <c r="S603" s="210"/>
      <c r="T603" s="210"/>
      <c r="U603" s="210"/>
      <c r="V603" s="210"/>
      <c r="W603" s="210"/>
      <c r="X603" s="210"/>
      <c r="Y603" s="210"/>
      <c r="Z603" s="210"/>
      <c r="AA603" s="210"/>
      <c r="AB603" s="210"/>
      <c r="AC603" s="210"/>
      <c r="AD603" s="210"/>
      <c r="AE603" s="210"/>
      <c r="AF603" s="210"/>
      <c r="AG603" s="210"/>
      <c r="AH603" s="210"/>
      <c r="AI603" s="210"/>
      <c r="AJ603" s="210"/>
      <c r="AK603" s="210"/>
      <c r="AL603" s="210"/>
      <c r="AM603" s="210"/>
      <c r="AN603" s="210"/>
      <c r="AO603" s="210"/>
      <c r="AP603" s="210"/>
      <c r="AQ603" s="210"/>
      <c r="AR603" s="210"/>
      <c r="AS603" s="210"/>
      <c r="AT603" s="210"/>
      <c r="AU603" s="210"/>
      <c r="AV603" s="210"/>
      <c r="AW603" s="210"/>
      <c r="AX603" s="210"/>
      <c r="AY603" s="210"/>
      <c r="AZ603" s="210"/>
      <c r="BA603" s="210"/>
      <c r="BB603" s="210"/>
      <c r="BC603" s="210"/>
      <c r="BD603" s="210"/>
      <c r="BE603" s="210"/>
      <c r="BF603" s="210"/>
      <c r="BG603" s="210"/>
      <c r="BH603" s="210"/>
      <c r="BI603" s="210"/>
      <c r="BJ603" s="210"/>
    </row>
    <row r="604" spans="1:62" ht="15" x14ac:dyDescent="0.2">
      <c r="A604" s="210"/>
      <c r="B604" s="210"/>
      <c r="C604" s="210"/>
      <c r="D604" s="210"/>
      <c r="E604" s="210"/>
      <c r="F604" s="210"/>
      <c r="G604" s="210"/>
      <c r="H604" s="210"/>
      <c r="I604" s="210"/>
      <c r="J604" s="210"/>
      <c r="K604" s="210"/>
      <c r="L604" s="210"/>
      <c r="M604" s="210"/>
      <c r="N604" s="210"/>
      <c r="O604" s="210"/>
      <c r="P604" s="210"/>
      <c r="Q604" s="210"/>
      <c r="R604" s="210"/>
      <c r="S604" s="210"/>
      <c r="T604" s="210"/>
      <c r="U604" s="210"/>
      <c r="V604" s="210"/>
      <c r="W604" s="210"/>
      <c r="X604" s="210"/>
      <c r="Y604" s="210"/>
      <c r="Z604" s="210"/>
      <c r="AA604" s="210"/>
      <c r="AB604" s="210"/>
      <c r="AC604" s="210"/>
      <c r="AD604" s="210"/>
      <c r="AE604" s="210"/>
      <c r="AF604" s="210"/>
      <c r="AG604" s="210"/>
      <c r="AH604" s="210"/>
      <c r="AI604" s="210"/>
      <c r="AJ604" s="210"/>
      <c r="AK604" s="210"/>
      <c r="AL604" s="210"/>
      <c r="AM604" s="210"/>
      <c r="AN604" s="210"/>
      <c r="AO604" s="210"/>
      <c r="AP604" s="210"/>
      <c r="AQ604" s="210"/>
      <c r="AR604" s="210"/>
      <c r="AS604" s="210"/>
      <c r="AT604" s="210"/>
      <c r="AU604" s="210"/>
      <c r="AV604" s="210"/>
      <c r="AW604" s="210"/>
      <c r="AX604" s="210"/>
      <c r="AY604" s="210"/>
      <c r="AZ604" s="210"/>
      <c r="BA604" s="210"/>
      <c r="BB604" s="210"/>
      <c r="BC604" s="210"/>
      <c r="BD604" s="210"/>
      <c r="BE604" s="210"/>
      <c r="BF604" s="210"/>
      <c r="BG604" s="210"/>
      <c r="BH604" s="210"/>
      <c r="BI604" s="210"/>
      <c r="BJ604" s="210"/>
    </row>
    <row r="605" spans="1:62" ht="15" x14ac:dyDescent="0.2">
      <c r="A605" s="210"/>
      <c r="B605" s="210"/>
      <c r="C605" s="210"/>
      <c r="D605" s="210"/>
      <c r="E605" s="210"/>
      <c r="F605" s="210"/>
      <c r="G605" s="210"/>
      <c r="H605" s="210"/>
      <c r="I605" s="210"/>
      <c r="J605" s="210"/>
      <c r="K605" s="210"/>
      <c r="L605" s="210"/>
      <c r="M605" s="210"/>
      <c r="N605" s="210"/>
      <c r="O605" s="210"/>
      <c r="P605" s="210"/>
      <c r="Q605" s="210"/>
      <c r="R605" s="210"/>
      <c r="S605" s="210"/>
      <c r="T605" s="210"/>
      <c r="U605" s="210"/>
      <c r="V605" s="210"/>
      <c r="W605" s="210"/>
      <c r="X605" s="210"/>
      <c r="Y605" s="210"/>
      <c r="Z605" s="210"/>
      <c r="AA605" s="210"/>
      <c r="AB605" s="210"/>
      <c r="AC605" s="210"/>
      <c r="AD605" s="210"/>
      <c r="AE605" s="210"/>
      <c r="AF605" s="210"/>
      <c r="AG605" s="210"/>
      <c r="AH605" s="210"/>
      <c r="AI605" s="210"/>
      <c r="AJ605" s="210"/>
      <c r="AK605" s="210"/>
      <c r="AL605" s="210"/>
      <c r="AM605" s="210"/>
      <c r="AN605" s="210"/>
      <c r="AO605" s="210"/>
      <c r="AP605" s="210"/>
      <c r="AQ605" s="210"/>
      <c r="AR605" s="210"/>
      <c r="AS605" s="210"/>
      <c r="AT605" s="210"/>
      <c r="AU605" s="210"/>
      <c r="AV605" s="210"/>
      <c r="AW605" s="210"/>
      <c r="AX605" s="210"/>
      <c r="AY605" s="210"/>
      <c r="AZ605" s="210"/>
      <c r="BA605" s="210"/>
      <c r="BB605" s="210"/>
      <c r="BC605" s="210"/>
      <c r="BD605" s="210"/>
      <c r="BE605" s="210"/>
      <c r="BF605" s="210"/>
      <c r="BG605" s="210"/>
      <c r="BH605" s="210"/>
      <c r="BI605" s="210"/>
      <c r="BJ605" s="210"/>
    </row>
    <row r="606" spans="1:62" ht="15" x14ac:dyDescent="0.2">
      <c r="A606" s="210"/>
      <c r="B606" s="210"/>
      <c r="C606" s="210"/>
      <c r="D606" s="210"/>
      <c r="E606" s="210"/>
      <c r="F606" s="210"/>
      <c r="G606" s="210"/>
      <c r="H606" s="210"/>
      <c r="I606" s="210"/>
      <c r="J606" s="210"/>
      <c r="K606" s="210"/>
      <c r="L606" s="210"/>
      <c r="M606" s="210"/>
      <c r="N606" s="210"/>
      <c r="O606" s="210"/>
      <c r="P606" s="210"/>
      <c r="Q606" s="210"/>
      <c r="R606" s="210"/>
      <c r="S606" s="210"/>
      <c r="T606" s="210"/>
      <c r="U606" s="210"/>
      <c r="V606" s="210"/>
      <c r="W606" s="210"/>
      <c r="X606" s="210"/>
      <c r="Y606" s="210"/>
      <c r="Z606" s="210"/>
      <c r="AA606" s="210"/>
      <c r="AB606" s="210"/>
      <c r="AC606" s="210"/>
      <c r="AD606" s="210"/>
      <c r="AE606" s="210"/>
      <c r="AF606" s="210"/>
      <c r="AG606" s="210"/>
      <c r="AH606" s="210"/>
      <c r="AI606" s="210"/>
      <c r="AJ606" s="210"/>
      <c r="AK606" s="210"/>
      <c r="AL606" s="210"/>
      <c r="AM606" s="210"/>
      <c r="AN606" s="210"/>
      <c r="AO606" s="210"/>
      <c r="AP606" s="210"/>
      <c r="AQ606" s="210"/>
      <c r="AR606" s="210"/>
      <c r="AS606" s="210"/>
      <c r="AT606" s="210"/>
      <c r="AU606" s="210"/>
      <c r="AV606" s="210"/>
      <c r="AW606" s="210"/>
      <c r="AX606" s="210"/>
      <c r="AY606" s="210"/>
      <c r="AZ606" s="210"/>
      <c r="BA606" s="210"/>
      <c r="BB606" s="210"/>
      <c r="BC606" s="210"/>
      <c r="BD606" s="210"/>
      <c r="BE606" s="210"/>
      <c r="BF606" s="210"/>
      <c r="BG606" s="210"/>
      <c r="BH606" s="210"/>
      <c r="BI606" s="210"/>
      <c r="BJ606" s="210"/>
    </row>
    <row r="607" spans="1:62" ht="15" x14ac:dyDescent="0.2">
      <c r="A607" s="210"/>
      <c r="B607" s="210"/>
      <c r="C607" s="210"/>
      <c r="D607" s="210"/>
      <c r="E607" s="210"/>
      <c r="F607" s="210"/>
      <c r="G607" s="210"/>
      <c r="H607" s="210"/>
      <c r="I607" s="210"/>
      <c r="J607" s="210"/>
      <c r="K607" s="210"/>
      <c r="L607" s="210"/>
      <c r="M607" s="210"/>
      <c r="N607" s="210"/>
      <c r="O607" s="210"/>
      <c r="P607" s="210"/>
      <c r="Q607" s="210"/>
      <c r="R607" s="210"/>
      <c r="S607" s="210"/>
      <c r="T607" s="210"/>
      <c r="U607" s="210"/>
      <c r="V607" s="210"/>
      <c r="W607" s="210"/>
      <c r="X607" s="210"/>
      <c r="Y607" s="210"/>
      <c r="Z607" s="210"/>
      <c r="AA607" s="210"/>
      <c r="AB607" s="210"/>
      <c r="AC607" s="210"/>
      <c r="AD607" s="210"/>
      <c r="AE607" s="210"/>
      <c r="AF607" s="210"/>
      <c r="AG607" s="210"/>
      <c r="AH607" s="210"/>
      <c r="AI607" s="210"/>
      <c r="AJ607" s="210"/>
      <c r="AK607" s="210"/>
      <c r="AL607" s="210"/>
      <c r="AM607" s="210"/>
      <c r="AN607" s="210"/>
      <c r="AO607" s="210"/>
      <c r="AP607" s="210"/>
      <c r="AQ607" s="210"/>
      <c r="AR607" s="210"/>
      <c r="AS607" s="210"/>
      <c r="AT607" s="210"/>
      <c r="AU607" s="210"/>
      <c r="AV607" s="210"/>
      <c r="AW607" s="210"/>
      <c r="AX607" s="210"/>
      <c r="AY607" s="210"/>
      <c r="AZ607" s="210"/>
      <c r="BA607" s="210"/>
      <c r="BB607" s="210"/>
      <c r="BC607" s="210"/>
      <c r="BD607" s="210"/>
      <c r="BE607" s="210"/>
      <c r="BF607" s="210"/>
      <c r="BG607" s="210"/>
      <c r="BH607" s="210"/>
      <c r="BI607" s="210"/>
      <c r="BJ607" s="210"/>
    </row>
    <row r="608" spans="1:62" ht="15" x14ac:dyDescent="0.2">
      <c r="A608" s="210"/>
      <c r="B608" s="210"/>
      <c r="C608" s="210"/>
      <c r="D608" s="210"/>
      <c r="E608" s="210"/>
      <c r="F608" s="210"/>
      <c r="G608" s="210"/>
      <c r="H608" s="210"/>
      <c r="I608" s="210"/>
      <c r="J608" s="210"/>
      <c r="K608" s="210"/>
      <c r="L608" s="210"/>
      <c r="M608" s="210"/>
      <c r="N608" s="210"/>
      <c r="O608" s="210"/>
      <c r="P608" s="210"/>
      <c r="Q608" s="210"/>
      <c r="R608" s="210"/>
      <c r="S608" s="210"/>
      <c r="T608" s="210"/>
      <c r="U608" s="210"/>
      <c r="V608" s="210"/>
      <c r="W608" s="210"/>
      <c r="X608" s="210"/>
      <c r="Y608" s="210"/>
      <c r="Z608" s="210"/>
      <c r="AA608" s="210"/>
      <c r="AB608" s="210"/>
      <c r="AC608" s="210"/>
      <c r="AD608" s="210"/>
      <c r="AE608" s="210"/>
      <c r="AF608" s="210"/>
      <c r="AG608" s="210"/>
      <c r="AH608" s="210"/>
      <c r="AI608" s="210"/>
      <c r="AJ608" s="210"/>
      <c r="AK608" s="210"/>
      <c r="AL608" s="210"/>
      <c r="AM608" s="210"/>
      <c r="AN608" s="210"/>
      <c r="AO608" s="210"/>
      <c r="AP608" s="210"/>
      <c r="AQ608" s="210"/>
      <c r="AR608" s="210"/>
      <c r="AS608" s="210"/>
      <c r="AT608" s="210"/>
      <c r="AU608" s="210"/>
      <c r="AV608" s="210"/>
      <c r="AW608" s="210"/>
      <c r="AX608" s="210"/>
      <c r="AY608" s="210"/>
      <c r="AZ608" s="210"/>
      <c r="BA608" s="210"/>
      <c r="BB608" s="210"/>
      <c r="BC608" s="210"/>
      <c r="BD608" s="210"/>
      <c r="BE608" s="210"/>
      <c r="BF608" s="210"/>
      <c r="BG608" s="210"/>
      <c r="BH608" s="210"/>
      <c r="BI608" s="210"/>
      <c r="BJ608" s="210"/>
    </row>
    <row r="609" spans="1:62" ht="15" x14ac:dyDescent="0.2">
      <c r="A609" s="210"/>
      <c r="B609" s="210"/>
      <c r="C609" s="210"/>
      <c r="D609" s="210"/>
      <c r="E609" s="210"/>
      <c r="F609" s="210"/>
      <c r="G609" s="210"/>
      <c r="H609" s="210"/>
      <c r="I609" s="210"/>
      <c r="J609" s="210"/>
      <c r="K609" s="210"/>
      <c r="L609" s="210"/>
      <c r="M609" s="210"/>
      <c r="N609" s="210"/>
      <c r="O609" s="210"/>
      <c r="P609" s="210"/>
      <c r="Q609" s="210"/>
      <c r="R609" s="210"/>
      <c r="S609" s="210"/>
      <c r="T609" s="210"/>
      <c r="U609" s="210"/>
      <c r="V609" s="210"/>
      <c r="W609" s="210"/>
      <c r="X609" s="210"/>
      <c r="Y609" s="210"/>
      <c r="Z609" s="210"/>
      <c r="AA609" s="210"/>
      <c r="AB609" s="210"/>
      <c r="AC609" s="210"/>
      <c r="AD609" s="210"/>
      <c r="AE609" s="210"/>
      <c r="AF609" s="210"/>
      <c r="AG609" s="210"/>
      <c r="AH609" s="210"/>
      <c r="AI609" s="210"/>
      <c r="AJ609" s="210"/>
      <c r="AK609" s="210"/>
      <c r="AL609" s="210"/>
      <c r="AM609" s="210"/>
      <c r="AN609" s="210"/>
      <c r="AO609" s="210"/>
      <c r="AP609" s="210"/>
      <c r="AQ609" s="210"/>
      <c r="AR609" s="210"/>
      <c r="AS609" s="210"/>
      <c r="AT609" s="210"/>
      <c r="AU609" s="210"/>
      <c r="AV609" s="210"/>
      <c r="AW609" s="210"/>
      <c r="AX609" s="210"/>
      <c r="AY609" s="210"/>
      <c r="AZ609" s="210"/>
      <c r="BA609" s="210"/>
      <c r="BB609" s="210"/>
      <c r="BC609" s="210"/>
      <c r="BD609" s="210"/>
      <c r="BE609" s="210"/>
      <c r="BF609" s="210"/>
      <c r="BG609" s="210"/>
      <c r="BH609" s="210"/>
      <c r="BI609" s="210"/>
      <c r="BJ609" s="210"/>
    </row>
    <row r="610" spans="1:62" ht="15" x14ac:dyDescent="0.2">
      <c r="A610" s="210"/>
      <c r="B610" s="210"/>
      <c r="C610" s="210"/>
      <c r="D610" s="210"/>
      <c r="E610" s="210"/>
      <c r="F610" s="210"/>
      <c r="G610" s="210"/>
      <c r="H610" s="210"/>
      <c r="I610" s="210"/>
      <c r="J610" s="210"/>
      <c r="K610" s="210"/>
      <c r="L610" s="210"/>
      <c r="M610" s="210"/>
      <c r="N610" s="210"/>
      <c r="O610" s="210"/>
      <c r="P610" s="210"/>
      <c r="Q610" s="210"/>
      <c r="R610" s="210"/>
      <c r="S610" s="210"/>
      <c r="T610" s="210"/>
      <c r="U610" s="210"/>
      <c r="V610" s="210"/>
      <c r="W610" s="210"/>
      <c r="X610" s="210"/>
      <c r="Y610" s="210"/>
      <c r="Z610" s="210"/>
      <c r="AA610" s="210"/>
      <c r="AB610" s="210"/>
      <c r="AC610" s="210"/>
      <c r="AD610" s="210"/>
      <c r="AE610" s="210"/>
      <c r="AF610" s="210"/>
      <c r="AG610" s="210"/>
      <c r="AH610" s="210"/>
      <c r="AI610" s="210"/>
      <c r="AJ610" s="210"/>
      <c r="AK610" s="210"/>
      <c r="AL610" s="210"/>
      <c r="AM610" s="210"/>
      <c r="AN610" s="210"/>
      <c r="AO610" s="210"/>
      <c r="AP610" s="210"/>
      <c r="AQ610" s="210"/>
      <c r="AR610" s="210"/>
      <c r="AS610" s="210"/>
      <c r="AT610" s="210"/>
      <c r="AU610" s="210"/>
      <c r="AV610" s="210"/>
      <c r="AW610" s="210"/>
      <c r="AX610" s="210"/>
      <c r="AY610" s="210"/>
      <c r="AZ610" s="210"/>
      <c r="BA610" s="210"/>
      <c r="BB610" s="210"/>
      <c r="BC610" s="210"/>
      <c r="BD610" s="210"/>
      <c r="BE610" s="210"/>
      <c r="BF610" s="210"/>
      <c r="BG610" s="210"/>
      <c r="BH610" s="210"/>
      <c r="BI610" s="210"/>
      <c r="BJ610" s="210"/>
    </row>
    <row r="611" spans="1:62" ht="15" x14ac:dyDescent="0.2">
      <c r="A611" s="210"/>
      <c r="B611" s="210"/>
      <c r="C611" s="210"/>
      <c r="D611" s="210"/>
      <c r="E611" s="210"/>
      <c r="F611" s="210"/>
      <c r="G611" s="210"/>
      <c r="H611" s="210"/>
      <c r="I611" s="210"/>
      <c r="J611" s="210"/>
      <c r="K611" s="210"/>
      <c r="L611" s="210"/>
      <c r="M611" s="210"/>
      <c r="N611" s="210"/>
      <c r="O611" s="210"/>
      <c r="P611" s="210"/>
      <c r="Q611" s="210"/>
      <c r="R611" s="210"/>
      <c r="S611" s="210"/>
      <c r="T611" s="210"/>
      <c r="U611" s="210"/>
      <c r="V611" s="210"/>
      <c r="W611" s="210"/>
      <c r="X611" s="210"/>
      <c r="Y611" s="210"/>
      <c r="Z611" s="210"/>
      <c r="AA611" s="210"/>
      <c r="AB611" s="210"/>
      <c r="AC611" s="210"/>
      <c r="AD611" s="210"/>
      <c r="AE611" s="210"/>
      <c r="AF611" s="210"/>
      <c r="AG611" s="210"/>
      <c r="AH611" s="210"/>
      <c r="AI611" s="210"/>
      <c r="AJ611" s="210"/>
      <c r="AK611" s="210"/>
      <c r="AL611" s="210"/>
      <c r="AM611" s="210"/>
      <c r="AN611" s="210"/>
      <c r="AO611" s="210"/>
      <c r="AP611" s="210"/>
      <c r="AQ611" s="210"/>
      <c r="AR611" s="210"/>
      <c r="AS611" s="210"/>
      <c r="AT611" s="210"/>
      <c r="AU611" s="210"/>
      <c r="AV611" s="210"/>
      <c r="AW611" s="210"/>
      <c r="AX611" s="210"/>
      <c r="AY611" s="210"/>
      <c r="AZ611" s="210"/>
      <c r="BA611" s="210"/>
      <c r="BB611" s="210"/>
      <c r="BC611" s="210"/>
      <c r="BD611" s="210"/>
      <c r="BE611" s="210"/>
      <c r="BF611" s="210"/>
      <c r="BG611" s="210"/>
      <c r="BH611" s="210"/>
      <c r="BI611" s="210"/>
      <c r="BJ611" s="210"/>
    </row>
    <row r="612" spans="1:62" ht="15" x14ac:dyDescent="0.2">
      <c r="A612" s="210"/>
      <c r="B612" s="210"/>
      <c r="C612" s="210"/>
      <c r="D612" s="210"/>
      <c r="E612" s="210"/>
      <c r="F612" s="210"/>
      <c r="G612" s="210"/>
      <c r="H612" s="210"/>
      <c r="I612" s="210"/>
      <c r="J612" s="210"/>
      <c r="K612" s="210"/>
      <c r="L612" s="210"/>
      <c r="M612" s="210"/>
      <c r="N612" s="210"/>
      <c r="O612" s="210"/>
      <c r="P612" s="210"/>
      <c r="Q612" s="210"/>
      <c r="R612" s="210"/>
      <c r="S612" s="210"/>
      <c r="T612" s="210"/>
      <c r="U612" s="210"/>
      <c r="V612" s="210"/>
      <c r="W612" s="210"/>
      <c r="X612" s="210"/>
      <c r="Y612" s="210"/>
      <c r="Z612" s="210"/>
      <c r="AA612" s="210"/>
      <c r="AB612" s="210"/>
      <c r="AC612" s="210"/>
      <c r="AD612" s="210"/>
      <c r="AE612" s="210"/>
      <c r="AF612" s="210"/>
      <c r="AG612" s="210"/>
      <c r="AH612" s="210"/>
      <c r="AI612" s="210"/>
      <c r="AJ612" s="210"/>
      <c r="AK612" s="210"/>
      <c r="AL612" s="210"/>
      <c r="AM612" s="210"/>
      <c r="AN612" s="210"/>
      <c r="AO612" s="210"/>
      <c r="AP612" s="210"/>
      <c r="AQ612" s="210"/>
      <c r="AR612" s="210"/>
      <c r="AS612" s="210"/>
      <c r="AT612" s="210"/>
      <c r="AU612" s="210"/>
      <c r="AV612" s="210"/>
      <c r="AW612" s="210"/>
      <c r="AX612" s="210"/>
      <c r="AY612" s="210"/>
      <c r="AZ612" s="210"/>
      <c r="BA612" s="210"/>
      <c r="BB612" s="210"/>
      <c r="BC612" s="210"/>
      <c r="BD612" s="210"/>
      <c r="BE612" s="210"/>
      <c r="BF612" s="210"/>
      <c r="BG612" s="210"/>
      <c r="BH612" s="210"/>
      <c r="BI612" s="210"/>
      <c r="BJ612" s="210"/>
    </row>
    <row r="613" spans="1:62" ht="15" x14ac:dyDescent="0.2">
      <c r="A613" s="210"/>
      <c r="B613" s="210"/>
      <c r="C613" s="210"/>
      <c r="D613" s="210"/>
      <c r="E613" s="210"/>
      <c r="F613" s="210"/>
      <c r="G613" s="210"/>
      <c r="H613" s="210"/>
      <c r="I613" s="210"/>
      <c r="J613" s="210"/>
      <c r="K613" s="210"/>
      <c r="L613" s="210"/>
      <c r="M613" s="210"/>
      <c r="N613" s="210"/>
      <c r="O613" s="210"/>
      <c r="P613" s="210"/>
      <c r="Q613" s="210"/>
      <c r="R613" s="210"/>
      <c r="S613" s="210"/>
      <c r="T613" s="210"/>
      <c r="U613" s="210"/>
      <c r="V613" s="210"/>
      <c r="W613" s="210"/>
      <c r="X613" s="210"/>
      <c r="Y613" s="210"/>
      <c r="Z613" s="210"/>
      <c r="AA613" s="210"/>
      <c r="AB613" s="210"/>
      <c r="AC613" s="210"/>
      <c r="AD613" s="210"/>
      <c r="AE613" s="210"/>
      <c r="AF613" s="210"/>
      <c r="AG613" s="210"/>
      <c r="AH613" s="210"/>
      <c r="AI613" s="210"/>
      <c r="AJ613" s="210"/>
      <c r="AK613" s="210"/>
      <c r="AL613" s="210"/>
      <c r="AM613" s="210"/>
      <c r="AN613" s="210"/>
      <c r="AO613" s="210"/>
      <c r="AP613" s="210"/>
      <c r="AQ613" s="210"/>
      <c r="AR613" s="210"/>
      <c r="AS613" s="210"/>
      <c r="AT613" s="210"/>
      <c r="AU613" s="210"/>
      <c r="AV613" s="210"/>
      <c r="AW613" s="210"/>
      <c r="AX613" s="210"/>
      <c r="AY613" s="210"/>
      <c r="AZ613" s="210"/>
      <c r="BA613" s="210"/>
      <c r="BB613" s="210"/>
      <c r="BC613" s="210"/>
      <c r="BD613" s="210"/>
      <c r="BE613" s="210"/>
      <c r="BF613" s="210"/>
      <c r="BG613" s="210"/>
      <c r="BH613" s="210"/>
      <c r="BI613" s="210"/>
      <c r="BJ613" s="210"/>
    </row>
    <row r="614" spans="1:62" ht="15" x14ac:dyDescent="0.2">
      <c r="A614" s="210"/>
      <c r="B614" s="210"/>
      <c r="C614" s="210"/>
      <c r="D614" s="210"/>
      <c r="E614" s="210"/>
      <c r="F614" s="210"/>
      <c r="G614" s="210"/>
      <c r="H614" s="210"/>
      <c r="I614" s="210"/>
      <c r="J614" s="210"/>
      <c r="K614" s="210"/>
      <c r="L614" s="210"/>
      <c r="M614" s="210"/>
      <c r="N614" s="210"/>
      <c r="O614" s="210"/>
      <c r="P614" s="210"/>
      <c r="Q614" s="210"/>
      <c r="R614" s="210"/>
      <c r="S614" s="210"/>
      <c r="T614" s="210"/>
      <c r="U614" s="210"/>
      <c r="V614" s="210"/>
      <c r="W614" s="210"/>
      <c r="X614" s="210"/>
      <c r="Y614" s="210"/>
      <c r="Z614" s="210"/>
      <c r="AA614" s="210"/>
      <c r="AB614" s="210"/>
      <c r="AC614" s="210"/>
      <c r="AD614" s="210"/>
      <c r="AE614" s="210"/>
      <c r="AF614" s="210"/>
      <c r="AG614" s="210"/>
      <c r="AH614" s="210"/>
      <c r="AI614" s="210"/>
      <c r="AJ614" s="210"/>
      <c r="AK614" s="210"/>
      <c r="AL614" s="210"/>
      <c r="AM614" s="210"/>
      <c r="AN614" s="210"/>
      <c r="AO614" s="210"/>
      <c r="AP614" s="210"/>
      <c r="AQ614" s="210"/>
      <c r="AR614" s="210"/>
      <c r="AS614" s="210"/>
      <c r="AT614" s="210"/>
      <c r="AU614" s="210"/>
      <c r="AV614" s="210"/>
      <c r="AW614" s="210"/>
      <c r="AX614" s="210"/>
      <c r="AY614" s="210"/>
      <c r="AZ614" s="210"/>
      <c r="BA614" s="210"/>
      <c r="BB614" s="210"/>
      <c r="BC614" s="210"/>
      <c r="BD614" s="210"/>
      <c r="BE614" s="210"/>
      <c r="BF614" s="210"/>
      <c r="BG614" s="210"/>
      <c r="BH614" s="210"/>
      <c r="BI614" s="210"/>
      <c r="BJ614" s="210"/>
    </row>
    <row r="615" spans="1:62" ht="15" x14ac:dyDescent="0.2">
      <c r="A615" s="210"/>
      <c r="B615" s="210"/>
      <c r="C615" s="210"/>
      <c r="D615" s="210"/>
      <c r="E615" s="210"/>
      <c r="F615" s="210"/>
      <c r="G615" s="210"/>
      <c r="H615" s="210"/>
      <c r="I615" s="210"/>
      <c r="J615" s="210"/>
      <c r="K615" s="210"/>
      <c r="L615" s="210"/>
      <c r="M615" s="210"/>
      <c r="N615" s="210"/>
      <c r="O615" s="210"/>
      <c r="P615" s="210"/>
      <c r="Q615" s="210"/>
      <c r="R615" s="210"/>
      <c r="S615" s="210"/>
      <c r="T615" s="210"/>
      <c r="U615" s="210"/>
      <c r="V615" s="210"/>
      <c r="W615" s="210"/>
      <c r="X615" s="210"/>
      <c r="Y615" s="210"/>
      <c r="Z615" s="210"/>
      <c r="AA615" s="210"/>
      <c r="AB615" s="210"/>
      <c r="AC615" s="210"/>
      <c r="AD615" s="210"/>
      <c r="AE615" s="210"/>
      <c r="AF615" s="210"/>
      <c r="AG615" s="210"/>
      <c r="AH615" s="210"/>
      <c r="AI615" s="210"/>
      <c r="AJ615" s="210"/>
      <c r="AK615" s="210"/>
      <c r="AL615" s="210"/>
      <c r="AM615" s="210"/>
      <c r="AN615" s="210"/>
      <c r="AO615" s="210"/>
      <c r="AP615" s="210"/>
      <c r="AQ615" s="210"/>
      <c r="AR615" s="210"/>
      <c r="AS615" s="210"/>
      <c r="AT615" s="210"/>
      <c r="AU615" s="210"/>
      <c r="AV615" s="210"/>
      <c r="AW615" s="210"/>
      <c r="AX615" s="210"/>
      <c r="AY615" s="210"/>
      <c r="AZ615" s="210"/>
      <c r="BA615" s="210"/>
      <c r="BB615" s="210"/>
      <c r="BC615" s="210"/>
      <c r="BD615" s="210"/>
      <c r="BE615" s="210"/>
      <c r="BF615" s="210"/>
      <c r="BG615" s="210"/>
      <c r="BH615" s="210"/>
      <c r="BI615" s="210"/>
      <c r="BJ615" s="210"/>
    </row>
    <row r="616" spans="1:62" ht="15" x14ac:dyDescent="0.2">
      <c r="A616" s="210"/>
      <c r="B616" s="210"/>
      <c r="C616" s="210"/>
      <c r="D616" s="210"/>
      <c r="E616" s="210"/>
      <c r="F616" s="210"/>
      <c r="G616" s="210"/>
      <c r="H616" s="210"/>
      <c r="I616" s="210"/>
      <c r="J616" s="210"/>
      <c r="K616" s="210"/>
      <c r="L616" s="210"/>
      <c r="M616" s="210"/>
      <c r="N616" s="210"/>
      <c r="O616" s="210"/>
      <c r="P616" s="210"/>
      <c r="Q616" s="210"/>
      <c r="R616" s="210"/>
      <c r="S616" s="210"/>
      <c r="T616" s="210"/>
      <c r="U616" s="210"/>
      <c r="V616" s="210"/>
      <c r="W616" s="210"/>
      <c r="X616" s="210"/>
      <c r="Y616" s="210"/>
      <c r="Z616" s="210"/>
      <c r="AA616" s="210"/>
      <c r="AB616" s="210"/>
      <c r="AC616" s="210"/>
      <c r="AD616" s="210"/>
      <c r="AE616" s="210"/>
      <c r="AF616" s="210"/>
      <c r="AG616" s="210"/>
      <c r="AH616" s="210"/>
      <c r="AI616" s="210"/>
      <c r="AJ616" s="210"/>
      <c r="AK616" s="210"/>
      <c r="AL616" s="210"/>
      <c r="AM616" s="210"/>
      <c r="AN616" s="210"/>
      <c r="AO616" s="210"/>
      <c r="AP616" s="210"/>
      <c r="AQ616" s="210"/>
      <c r="AR616" s="210"/>
      <c r="AS616" s="210"/>
      <c r="AT616" s="210"/>
      <c r="AU616" s="210"/>
      <c r="AV616" s="210"/>
      <c r="AW616" s="210"/>
      <c r="AX616" s="210"/>
      <c r="AY616" s="210"/>
      <c r="AZ616" s="210"/>
      <c r="BA616" s="210"/>
      <c r="BB616" s="210"/>
      <c r="BC616" s="210"/>
      <c r="BD616" s="210"/>
      <c r="BE616" s="210"/>
      <c r="BF616" s="210"/>
      <c r="BG616" s="210"/>
      <c r="BH616" s="210"/>
      <c r="BI616" s="210"/>
      <c r="BJ616" s="210"/>
    </row>
    <row r="617" spans="1:62" ht="15" x14ac:dyDescent="0.2">
      <c r="A617" s="210"/>
      <c r="B617" s="210"/>
      <c r="C617" s="210"/>
      <c r="D617" s="210"/>
      <c r="E617" s="210"/>
      <c r="F617" s="210"/>
      <c r="G617" s="210"/>
      <c r="H617" s="210"/>
      <c r="I617" s="210"/>
      <c r="J617" s="210"/>
      <c r="K617" s="210"/>
      <c r="L617" s="210"/>
      <c r="M617" s="210"/>
      <c r="N617" s="210"/>
      <c r="O617" s="210"/>
      <c r="P617" s="210"/>
      <c r="Q617" s="210"/>
      <c r="R617" s="210"/>
      <c r="S617" s="210"/>
      <c r="T617" s="210"/>
      <c r="U617" s="210"/>
      <c r="V617" s="210"/>
      <c r="W617" s="210"/>
      <c r="X617" s="210"/>
      <c r="Y617" s="210"/>
      <c r="Z617" s="210"/>
      <c r="AA617" s="210"/>
      <c r="AB617" s="210"/>
      <c r="AC617" s="210"/>
      <c r="AD617" s="210"/>
      <c r="AE617" s="210"/>
      <c r="AF617" s="210"/>
      <c r="AG617" s="210"/>
      <c r="AH617" s="210"/>
      <c r="AI617" s="210"/>
      <c r="AJ617" s="210"/>
      <c r="AK617" s="210"/>
      <c r="AL617" s="210"/>
      <c r="AM617" s="210"/>
      <c r="AN617" s="210"/>
      <c r="AO617" s="210"/>
      <c r="AP617" s="210"/>
      <c r="AQ617" s="210"/>
      <c r="AR617" s="210"/>
      <c r="AS617" s="210"/>
      <c r="AT617" s="210"/>
      <c r="AU617" s="210"/>
      <c r="AV617" s="210"/>
      <c r="AW617" s="210"/>
      <c r="AX617" s="210"/>
      <c r="AY617" s="210"/>
      <c r="AZ617" s="210"/>
      <c r="BA617" s="210"/>
      <c r="BB617" s="210"/>
      <c r="BC617" s="210"/>
      <c r="BD617" s="210"/>
      <c r="BE617" s="210"/>
      <c r="BF617" s="210"/>
      <c r="BG617" s="210"/>
      <c r="BH617" s="210"/>
      <c r="BI617" s="210"/>
      <c r="BJ617" s="210"/>
    </row>
    <row r="618" spans="1:62" ht="15" x14ac:dyDescent="0.2">
      <c r="A618" s="210"/>
      <c r="B618" s="210"/>
      <c r="C618" s="210"/>
      <c r="D618" s="210"/>
      <c r="E618" s="210"/>
      <c r="F618" s="210"/>
      <c r="G618" s="210"/>
      <c r="H618" s="210"/>
      <c r="I618" s="210"/>
      <c r="J618" s="210"/>
      <c r="K618" s="210"/>
      <c r="L618" s="210"/>
      <c r="M618" s="210"/>
      <c r="N618" s="210"/>
      <c r="O618" s="210"/>
      <c r="P618" s="210"/>
      <c r="Q618" s="210"/>
      <c r="R618" s="210"/>
      <c r="S618" s="210"/>
      <c r="T618" s="210"/>
      <c r="U618" s="210"/>
      <c r="V618" s="210"/>
      <c r="W618" s="210"/>
      <c r="X618" s="210"/>
      <c r="Y618" s="210"/>
      <c r="Z618" s="210"/>
      <c r="AA618" s="210"/>
      <c r="AB618" s="210"/>
      <c r="AC618" s="210"/>
      <c r="AD618" s="210"/>
      <c r="AE618" s="210"/>
      <c r="AF618" s="210"/>
      <c r="AG618" s="210"/>
      <c r="AH618" s="210"/>
      <c r="AI618" s="210"/>
      <c r="AJ618" s="210"/>
      <c r="AK618" s="210"/>
      <c r="AL618" s="210"/>
      <c r="AM618" s="210"/>
      <c r="AN618" s="210"/>
      <c r="AO618" s="210"/>
      <c r="AP618" s="210"/>
      <c r="AQ618" s="210"/>
      <c r="AR618" s="210"/>
      <c r="AS618" s="210"/>
      <c r="AT618" s="210"/>
      <c r="AU618" s="210"/>
      <c r="AV618" s="210"/>
      <c r="AW618" s="210"/>
      <c r="AX618" s="210"/>
      <c r="AY618" s="210"/>
      <c r="AZ618" s="210"/>
      <c r="BA618" s="210"/>
      <c r="BB618" s="210"/>
      <c r="BC618" s="210"/>
      <c r="BD618" s="210"/>
      <c r="BE618" s="210"/>
      <c r="BF618" s="210"/>
      <c r="BG618" s="210"/>
      <c r="BH618" s="210"/>
      <c r="BI618" s="210"/>
      <c r="BJ618" s="210"/>
    </row>
    <row r="619" spans="1:62" ht="15" x14ac:dyDescent="0.2">
      <c r="A619" s="210"/>
      <c r="B619" s="210"/>
      <c r="C619" s="210"/>
      <c r="D619" s="210"/>
      <c r="E619" s="210"/>
      <c r="F619" s="210"/>
      <c r="G619" s="210"/>
      <c r="H619" s="210"/>
      <c r="I619" s="210"/>
      <c r="J619" s="210"/>
      <c r="K619" s="210"/>
      <c r="L619" s="210"/>
      <c r="M619" s="210"/>
      <c r="N619" s="210"/>
      <c r="O619" s="210"/>
      <c r="P619" s="210"/>
      <c r="Q619" s="210"/>
      <c r="R619" s="210"/>
      <c r="S619" s="210"/>
      <c r="T619" s="210"/>
      <c r="U619" s="210"/>
      <c r="V619" s="210"/>
      <c r="W619" s="210"/>
      <c r="X619" s="210"/>
      <c r="Y619" s="210"/>
      <c r="Z619" s="210"/>
      <c r="AA619" s="210"/>
      <c r="AB619" s="210"/>
      <c r="AC619" s="210"/>
      <c r="AD619" s="210"/>
      <c r="AE619" s="210"/>
      <c r="AF619" s="210"/>
      <c r="AG619" s="210"/>
      <c r="AH619" s="210"/>
      <c r="AI619" s="210"/>
      <c r="AJ619" s="210"/>
      <c r="AK619" s="210"/>
      <c r="AL619" s="210"/>
      <c r="AM619" s="210"/>
      <c r="AN619" s="210"/>
      <c r="AO619" s="210"/>
      <c r="AP619" s="210"/>
      <c r="AQ619" s="210"/>
      <c r="AR619" s="210"/>
      <c r="AS619" s="210"/>
      <c r="AT619" s="210"/>
      <c r="AU619" s="210"/>
      <c r="AV619" s="210"/>
      <c r="AW619" s="210"/>
      <c r="AX619" s="210"/>
      <c r="AY619" s="210"/>
      <c r="AZ619" s="210"/>
      <c r="BA619" s="210"/>
      <c r="BB619" s="210"/>
      <c r="BC619" s="210"/>
      <c r="BD619" s="210"/>
      <c r="BE619" s="210"/>
      <c r="BF619" s="210"/>
      <c r="BG619" s="210"/>
      <c r="BH619" s="210"/>
      <c r="BI619" s="210"/>
      <c r="BJ619" s="210"/>
    </row>
    <row r="620" spans="1:62" ht="15" x14ac:dyDescent="0.2">
      <c r="A620" s="210"/>
      <c r="B620" s="210"/>
      <c r="C620" s="210"/>
      <c r="D620" s="210"/>
      <c r="E620" s="210"/>
      <c r="F620" s="210"/>
      <c r="G620" s="210"/>
      <c r="H620" s="210"/>
      <c r="I620" s="210"/>
      <c r="J620" s="210"/>
      <c r="K620" s="210"/>
      <c r="L620" s="210"/>
      <c r="M620" s="210"/>
      <c r="N620" s="210"/>
      <c r="O620" s="210"/>
      <c r="P620" s="210"/>
      <c r="Q620" s="210"/>
      <c r="R620" s="210"/>
      <c r="S620" s="210"/>
      <c r="T620" s="210"/>
      <c r="U620" s="210"/>
      <c r="V620" s="210"/>
      <c r="W620" s="210"/>
      <c r="X620" s="210"/>
      <c r="Y620" s="210"/>
      <c r="Z620" s="210"/>
      <c r="AA620" s="210"/>
      <c r="AB620" s="210"/>
      <c r="AC620" s="210"/>
      <c r="AD620" s="210"/>
      <c r="AE620" s="210"/>
      <c r="AF620" s="210"/>
      <c r="AG620" s="210"/>
      <c r="AH620" s="210"/>
      <c r="AI620" s="210"/>
      <c r="AJ620" s="210"/>
      <c r="AK620" s="210"/>
      <c r="AL620" s="210"/>
      <c r="AM620" s="210"/>
      <c r="AN620" s="210"/>
      <c r="AO620" s="210"/>
      <c r="AP620" s="210"/>
      <c r="AQ620" s="210"/>
      <c r="AR620" s="210"/>
      <c r="AS620" s="210"/>
      <c r="AT620" s="210"/>
      <c r="AU620" s="210"/>
      <c r="AV620" s="210"/>
      <c r="AW620" s="210"/>
      <c r="AX620" s="210"/>
      <c r="AY620" s="210"/>
      <c r="AZ620" s="210"/>
      <c r="BA620" s="210"/>
      <c r="BB620" s="210"/>
      <c r="BC620" s="210"/>
      <c r="BD620" s="210"/>
      <c r="BE620" s="210"/>
      <c r="BF620" s="210"/>
      <c r="BG620" s="210"/>
      <c r="BH620" s="210"/>
      <c r="BI620" s="210"/>
      <c r="BJ620" s="210"/>
    </row>
    <row r="621" spans="1:62" ht="15" x14ac:dyDescent="0.2">
      <c r="A621" s="210"/>
      <c r="B621" s="210"/>
      <c r="C621" s="210"/>
      <c r="D621" s="210"/>
      <c r="E621" s="210"/>
      <c r="F621" s="210"/>
      <c r="G621" s="210"/>
      <c r="H621" s="210"/>
      <c r="I621" s="210"/>
      <c r="J621" s="210"/>
      <c r="K621" s="210"/>
      <c r="L621" s="210"/>
      <c r="M621" s="210"/>
      <c r="N621" s="210"/>
      <c r="O621" s="210"/>
      <c r="P621" s="210"/>
      <c r="Q621" s="210"/>
      <c r="R621" s="210"/>
      <c r="S621" s="210"/>
      <c r="T621" s="210"/>
      <c r="U621" s="210"/>
      <c r="V621" s="210"/>
      <c r="W621" s="210"/>
      <c r="X621" s="210"/>
      <c r="Y621" s="210"/>
      <c r="Z621" s="210"/>
      <c r="AA621" s="210"/>
      <c r="AB621" s="210"/>
      <c r="AC621" s="210"/>
      <c r="AD621" s="210"/>
      <c r="AE621" s="210"/>
      <c r="AF621" s="210"/>
      <c r="AG621" s="210"/>
      <c r="AH621" s="210"/>
      <c r="AI621" s="210"/>
      <c r="AJ621" s="210"/>
      <c r="AK621" s="210"/>
      <c r="AL621" s="210"/>
      <c r="AM621" s="210"/>
      <c r="AN621" s="210"/>
      <c r="AO621" s="210"/>
      <c r="AP621" s="210"/>
      <c r="AQ621" s="210"/>
      <c r="AR621" s="210"/>
      <c r="AS621" s="210"/>
      <c r="AT621" s="210"/>
      <c r="AU621" s="210"/>
      <c r="AV621" s="210"/>
      <c r="AW621" s="210"/>
      <c r="AX621" s="210"/>
      <c r="AY621" s="210"/>
      <c r="AZ621" s="210"/>
      <c r="BA621" s="210"/>
      <c r="BB621" s="210"/>
      <c r="BC621" s="210"/>
      <c r="BD621" s="210"/>
      <c r="BE621" s="210"/>
      <c r="BF621" s="210"/>
      <c r="BG621" s="210"/>
      <c r="BH621" s="210"/>
      <c r="BI621" s="210"/>
      <c r="BJ621" s="210"/>
    </row>
    <row r="622" spans="1:62" ht="15" x14ac:dyDescent="0.2">
      <c r="A622" s="210"/>
      <c r="B622" s="210"/>
      <c r="C622" s="210"/>
      <c r="D622" s="210"/>
      <c r="E622" s="210"/>
      <c r="F622" s="210"/>
      <c r="G622" s="210"/>
      <c r="H622" s="210"/>
      <c r="I622" s="210"/>
      <c r="J622" s="210"/>
      <c r="K622" s="210"/>
      <c r="L622" s="210"/>
      <c r="M622" s="210"/>
      <c r="N622" s="210"/>
      <c r="O622" s="210"/>
      <c r="P622" s="210"/>
      <c r="Q622" s="210"/>
      <c r="R622" s="210"/>
      <c r="S622" s="210"/>
      <c r="T622" s="210"/>
      <c r="U622" s="210"/>
      <c r="V622" s="210"/>
      <c r="W622" s="210"/>
      <c r="X622" s="210"/>
      <c r="Y622" s="210"/>
      <c r="Z622" s="210"/>
      <c r="AA622" s="210"/>
      <c r="AB622" s="210"/>
      <c r="AC622" s="210"/>
      <c r="AD622" s="210"/>
      <c r="AE622" s="210"/>
      <c r="AF622" s="210"/>
      <c r="AG622" s="210"/>
      <c r="AH622" s="210"/>
      <c r="AI622" s="210"/>
      <c r="AJ622" s="210"/>
      <c r="AK622" s="210"/>
      <c r="AL622" s="210"/>
      <c r="AM622" s="210"/>
      <c r="AN622" s="210"/>
      <c r="AO622" s="210"/>
      <c r="AP622" s="210"/>
      <c r="AQ622" s="210"/>
      <c r="AR622" s="210"/>
      <c r="AS622" s="210"/>
      <c r="AT622" s="210"/>
      <c r="AU622" s="210"/>
      <c r="AV622" s="210"/>
      <c r="AW622" s="210"/>
      <c r="AX622" s="210"/>
      <c r="AY622" s="210"/>
      <c r="AZ622" s="210"/>
      <c r="BA622" s="210"/>
      <c r="BB622" s="210"/>
      <c r="BC622" s="210"/>
      <c r="BD622" s="210"/>
      <c r="BE622" s="210"/>
      <c r="BF622" s="210"/>
      <c r="BG622" s="210"/>
      <c r="BH622" s="210"/>
      <c r="BI622" s="210"/>
      <c r="BJ622" s="210"/>
    </row>
  </sheetData>
  <phoneticPr fontId="0" type="noConversion"/>
  <printOptions horizontalCentered="1" gridLinesSet="0"/>
  <pageMargins left="0.5" right="0.5" top="0.25" bottom="0.25" header="0.23" footer="0.5"/>
  <pageSetup paperSize="5" scale="61" orientation="landscape" horizontalDpi="1200" verticalDpi="1200" r:id="rId1"/>
  <headerFooter alignWithMargins="0"/>
  <rowBreaks count="1" manualBreakCount="1">
    <brk id="83" max="9" man="1"/>
  </rowBreaks>
  <colBreaks count="2" manualBreakCount="2">
    <brk id="11" max="1048575" man="1"/>
    <brk id="33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3">
    <pageSetUpPr autoPageBreaks="0" fitToPage="1"/>
  </sheetPr>
  <dimension ref="A1:AW220"/>
  <sheetViews>
    <sheetView showGridLines="0" tabSelected="1" topLeftCell="A5" workbookViewId="0">
      <pane xSplit="2" ySplit="3" topLeftCell="C8" activePane="bottomRight" state="frozen"/>
      <selection activeCell="A5" sqref="A5"/>
      <selection pane="topRight" activeCell="C5" sqref="C5"/>
      <selection pane="bottomLeft" activeCell="A8" sqref="A8"/>
      <selection pane="bottomRight" activeCell="C8" sqref="C8"/>
    </sheetView>
  </sheetViews>
  <sheetFormatPr defaultRowHeight="12.75" x14ac:dyDescent="0.2"/>
  <cols>
    <col min="1" max="1" width="45.7109375" style="165" customWidth="1"/>
    <col min="2" max="2" width="8.7109375" style="673" customWidth="1"/>
    <col min="3" max="14" width="9.7109375" style="165" customWidth="1"/>
    <col min="15" max="17" width="10.7109375" style="165" customWidth="1"/>
    <col min="18" max="19" width="10" style="165" customWidth="1"/>
    <col min="20" max="20" width="45.7109375" style="165" customWidth="1"/>
    <col min="21" max="21" width="8.7109375" style="673" customWidth="1"/>
    <col min="22" max="25" width="9.7109375" style="165" customWidth="1"/>
    <col min="26" max="26" width="3.7109375" style="165" customWidth="1"/>
    <col min="27" max="27" width="10.7109375" style="165" customWidth="1"/>
    <col min="28" max="29" width="10" style="165" customWidth="1"/>
    <col min="30" max="30" width="45.7109375" style="165" customWidth="1"/>
    <col min="31" max="31" width="8.7109375" style="673" customWidth="1"/>
    <col min="32" max="43" width="9.7109375" style="165" customWidth="1"/>
    <col min="44" max="45" width="8.28515625" style="165" customWidth="1"/>
    <col min="46" max="16384" width="9.140625" style="165"/>
  </cols>
  <sheetData>
    <row r="1" spans="1:49" x14ac:dyDescent="0.2">
      <c r="A1" s="676" t="s">
        <v>69</v>
      </c>
      <c r="C1" s="166"/>
      <c r="D1" s="166"/>
      <c r="E1" s="166"/>
      <c r="F1" s="166"/>
      <c r="G1" s="646" t="s">
        <v>798</v>
      </c>
      <c r="H1" s="509"/>
      <c r="I1" s="509"/>
      <c r="J1" s="509"/>
      <c r="K1" s="166"/>
      <c r="L1" s="166"/>
      <c r="M1" s="166"/>
      <c r="N1" s="166"/>
      <c r="O1" s="166"/>
      <c r="P1" s="166"/>
      <c r="Q1" s="166"/>
      <c r="R1" s="166"/>
      <c r="S1" s="167"/>
      <c r="T1" s="424"/>
      <c r="U1" s="671"/>
      <c r="V1" s="511" t="str">
        <f>G1</f>
        <v>NORTHERN NATURAL GAS GROUP</v>
      </c>
      <c r="W1" s="509"/>
      <c r="X1" s="509"/>
      <c r="Y1" s="509"/>
      <c r="Z1" s="167"/>
      <c r="AA1" s="167"/>
      <c r="AB1" s="167"/>
      <c r="AC1" s="166"/>
      <c r="AD1" s="424" t="str">
        <f>A1</f>
        <v xml:space="preserve"> </v>
      </c>
      <c r="AI1" s="509" t="str">
        <f>G1</f>
        <v>NORTHERN NATURAL GAS GROUP</v>
      </c>
      <c r="AJ1" s="509"/>
      <c r="AK1" s="509"/>
      <c r="AL1" s="514"/>
      <c r="AR1" s="166"/>
      <c r="AS1" s="166"/>
      <c r="AT1" s="166"/>
      <c r="AU1" s="166"/>
      <c r="AV1" s="166"/>
      <c r="AW1" s="166"/>
    </row>
    <row r="2" spans="1:49" x14ac:dyDescent="0.2">
      <c r="A2" s="412" t="s">
        <v>799</v>
      </c>
      <c r="C2" s="169"/>
      <c r="D2" s="170"/>
      <c r="E2" s="169"/>
      <c r="F2" s="167"/>
      <c r="G2" s="648" t="s">
        <v>1232</v>
      </c>
      <c r="H2" s="509"/>
      <c r="I2" s="509"/>
      <c r="J2" s="509"/>
      <c r="K2" s="169"/>
      <c r="L2" s="169"/>
      <c r="M2" s="169"/>
      <c r="N2" s="169"/>
      <c r="O2" s="166"/>
      <c r="P2" s="166"/>
      <c r="Q2" s="166"/>
      <c r="R2" s="166"/>
      <c r="S2" s="167"/>
      <c r="T2" s="665" t="s">
        <v>800</v>
      </c>
      <c r="U2" s="671"/>
      <c r="V2" s="511" t="str">
        <f>G2</f>
        <v>2002 OPERATING PLAN</v>
      </c>
      <c r="W2" s="509"/>
      <c r="X2" s="509"/>
      <c r="Y2" s="509"/>
      <c r="Z2" s="167"/>
      <c r="AA2" s="167"/>
      <c r="AB2" s="166"/>
      <c r="AC2" s="166"/>
      <c r="AD2" s="623" t="s">
        <v>801</v>
      </c>
      <c r="AF2" s="171"/>
      <c r="AG2" s="171"/>
      <c r="AH2" s="171"/>
      <c r="AI2" s="509" t="str">
        <f>G2</f>
        <v>2002 OPERATING PLAN</v>
      </c>
      <c r="AJ2" s="509"/>
      <c r="AK2" s="509"/>
      <c r="AL2" s="514"/>
      <c r="AN2" s="171"/>
      <c r="AO2" s="171"/>
      <c r="AP2" s="171"/>
      <c r="AQ2" s="171"/>
      <c r="AR2" s="166"/>
      <c r="AS2" s="166"/>
      <c r="AT2" s="166"/>
      <c r="AU2" s="166"/>
      <c r="AV2" s="166"/>
      <c r="AW2" s="166"/>
    </row>
    <row r="3" spans="1:49" x14ac:dyDescent="0.2">
      <c r="A3" s="636" t="s">
        <v>1232</v>
      </c>
      <c r="C3" s="169"/>
      <c r="D3" s="169"/>
      <c r="E3" s="169"/>
      <c r="F3" s="169"/>
      <c r="G3" s="508" t="s">
        <v>802</v>
      </c>
      <c r="H3" s="509"/>
      <c r="I3" s="509"/>
      <c r="J3" s="425"/>
      <c r="K3" s="169"/>
      <c r="L3" s="169"/>
      <c r="M3" s="169"/>
      <c r="N3" s="169"/>
      <c r="O3" s="166"/>
      <c r="P3" s="166"/>
      <c r="Q3" s="166"/>
      <c r="R3" s="166"/>
      <c r="S3" s="167"/>
      <c r="T3" s="428" t="str">
        <f>A3</f>
        <v>2002 OPERATING PLAN</v>
      </c>
      <c r="U3" s="671"/>
      <c r="V3" s="511" t="str">
        <f>G3</f>
        <v xml:space="preserve">RESULTS OF OPERATIONS </v>
      </c>
      <c r="W3" s="509"/>
      <c r="X3" s="509"/>
      <c r="Y3" s="509"/>
      <c r="Z3" s="167"/>
      <c r="AA3" s="167"/>
      <c r="AB3" s="166"/>
      <c r="AC3" s="166"/>
      <c r="AD3" s="424" t="str">
        <f>A3</f>
        <v>2002 OPERATING PLAN</v>
      </c>
      <c r="AF3" s="171"/>
      <c r="AG3" s="171"/>
      <c r="AH3" s="171"/>
      <c r="AI3" s="508" t="s">
        <v>803</v>
      </c>
      <c r="AJ3" s="509"/>
      <c r="AK3" s="509"/>
      <c r="AL3" s="514"/>
      <c r="AN3" s="171"/>
      <c r="AO3" s="171"/>
      <c r="AP3" s="171"/>
      <c r="AQ3" s="171"/>
      <c r="AR3" s="166"/>
      <c r="AS3" s="166"/>
      <c r="AT3" s="166"/>
      <c r="AU3" s="166"/>
      <c r="AV3" s="166"/>
      <c r="AW3" s="166"/>
    </row>
    <row r="4" spans="1:49" x14ac:dyDescent="0.2">
      <c r="A4" s="409"/>
      <c r="B4" s="687">
        <f ca="1">NOW()</f>
        <v>41887.551126967592</v>
      </c>
      <c r="C4" s="169"/>
      <c r="D4" s="169"/>
      <c r="E4" s="169"/>
      <c r="F4" s="169"/>
      <c r="G4" s="508" t="s">
        <v>804</v>
      </c>
      <c r="H4" s="509"/>
      <c r="I4" s="509"/>
      <c r="J4" s="425"/>
      <c r="K4" s="169"/>
      <c r="L4" s="169"/>
      <c r="M4" s="169"/>
      <c r="N4" s="169"/>
      <c r="O4" s="166"/>
      <c r="P4" s="166"/>
      <c r="Q4" s="166"/>
      <c r="R4" s="166"/>
      <c r="S4" s="167"/>
      <c r="U4" s="687">
        <f ca="1">NOW()</f>
        <v>41887.551126967592</v>
      </c>
      <c r="V4" s="511" t="str">
        <f>G4</f>
        <v>(Thousands of Dollars)</v>
      </c>
      <c r="W4" s="509"/>
      <c r="X4" s="509"/>
      <c r="Y4" s="509"/>
      <c r="Z4" s="167"/>
      <c r="AA4" s="167"/>
      <c r="AB4" s="166"/>
      <c r="AC4" s="166"/>
      <c r="AD4" s="166"/>
      <c r="AE4" s="687">
        <f ca="1">NOW()</f>
        <v>41887.551126967592</v>
      </c>
      <c r="AF4" s="171"/>
      <c r="AG4" s="171"/>
      <c r="AH4" s="171"/>
      <c r="AI4" s="509" t="str">
        <f>G4</f>
        <v>(Thousands of Dollars)</v>
      </c>
      <c r="AJ4" s="509"/>
      <c r="AK4" s="509"/>
      <c r="AL4" s="515"/>
      <c r="AN4" s="171"/>
      <c r="AO4" s="171"/>
      <c r="AP4" s="171"/>
      <c r="AQ4" s="171"/>
      <c r="AR4" s="166"/>
      <c r="AS4" s="166"/>
      <c r="AT4" s="166"/>
      <c r="AU4" s="166"/>
      <c r="AV4" s="166"/>
      <c r="AW4" s="166"/>
    </row>
    <row r="5" spans="1:49" x14ac:dyDescent="0.2">
      <c r="A5" s="420" t="s">
        <v>1167</v>
      </c>
      <c r="B5" s="688">
        <f ca="1">NOW()</f>
        <v>41887.551126967592</v>
      </c>
      <c r="C5" s="169"/>
      <c r="D5" s="505"/>
      <c r="E5" s="505"/>
      <c r="F5" s="169"/>
      <c r="G5" s="505"/>
      <c r="H5" s="169"/>
      <c r="I5" s="172"/>
      <c r="J5" s="169"/>
      <c r="K5" s="169"/>
      <c r="L5" s="169"/>
      <c r="M5" s="169"/>
      <c r="N5" s="169"/>
      <c r="O5" s="166"/>
      <c r="P5" s="166"/>
      <c r="Q5" s="166"/>
      <c r="R5" s="166"/>
      <c r="S5" s="166"/>
      <c r="T5" s="672" t="s">
        <v>1168</v>
      </c>
      <c r="U5" s="688">
        <f ca="1">NOW()</f>
        <v>41887.551126967592</v>
      </c>
      <c r="V5" s="167"/>
      <c r="W5" s="166"/>
      <c r="X5" s="166"/>
      <c r="Y5" s="166"/>
      <c r="Z5" s="166"/>
      <c r="AA5" s="166"/>
      <c r="AB5" s="166"/>
      <c r="AC5" s="166"/>
      <c r="AD5" s="420" t="s">
        <v>1169</v>
      </c>
      <c r="AE5" s="688">
        <f ca="1">NOW()</f>
        <v>41887.551126967592</v>
      </c>
      <c r="AF5" s="171"/>
      <c r="AG5" s="171"/>
      <c r="AH5" s="171"/>
      <c r="AI5" s="171"/>
      <c r="AJ5" s="171"/>
      <c r="AK5" s="171"/>
      <c r="AL5" s="171"/>
      <c r="AM5" s="171"/>
      <c r="AN5" s="171"/>
      <c r="AO5" s="171"/>
      <c r="AP5" s="171"/>
      <c r="AQ5" s="171"/>
      <c r="AR5" s="166"/>
      <c r="AS5" s="166"/>
      <c r="AT5" s="166"/>
      <c r="AU5" s="166"/>
      <c r="AV5" s="166"/>
      <c r="AW5" s="166"/>
    </row>
    <row r="6" spans="1:49" x14ac:dyDescent="0.2">
      <c r="A6" s="171"/>
      <c r="C6" s="671" t="str">
        <f>DataBase!C2</f>
        <v>PLAN</v>
      </c>
      <c r="D6" s="671" t="str">
        <f>DataBase!D2</f>
        <v>PLAN</v>
      </c>
      <c r="E6" s="671" t="str">
        <f>DataBase!E2</f>
        <v>PLAN</v>
      </c>
      <c r="F6" s="671" t="str">
        <f>DataBase!F2</f>
        <v>PLAN</v>
      </c>
      <c r="G6" s="671" t="str">
        <f>DataBase!G2</f>
        <v>PLAN</v>
      </c>
      <c r="H6" s="671" t="str">
        <f>DataBase!H2</f>
        <v>PLAN</v>
      </c>
      <c r="I6" s="671" t="str">
        <f>DataBase!I2</f>
        <v>PLAN</v>
      </c>
      <c r="J6" s="671" t="str">
        <f>DataBase!J2</f>
        <v>PLAN</v>
      </c>
      <c r="K6" s="671" t="str">
        <f>DataBase!K2</f>
        <v>PLAN</v>
      </c>
      <c r="L6" s="671" t="str">
        <f>DataBase!L2</f>
        <v>PLAN</v>
      </c>
      <c r="M6" s="671" t="str">
        <f>DataBase!M2</f>
        <v>PLAN</v>
      </c>
      <c r="N6" s="671" t="str">
        <f>DataBase!N2</f>
        <v>PLAN</v>
      </c>
      <c r="O6" s="671" t="str">
        <f>DataBase!O2</f>
        <v>TOTAL</v>
      </c>
      <c r="P6" s="487" t="s">
        <v>275</v>
      </c>
      <c r="Q6" s="414" t="s">
        <v>807</v>
      </c>
      <c r="R6" s="166"/>
      <c r="S6" s="167"/>
      <c r="T6" s="167"/>
      <c r="U6" s="671"/>
      <c r="V6" s="413" t="s">
        <v>808</v>
      </c>
      <c r="W6" s="413" t="s">
        <v>809</v>
      </c>
      <c r="X6" s="413" t="s">
        <v>810</v>
      </c>
      <c r="Y6" s="413" t="s">
        <v>811</v>
      </c>
      <c r="Z6" s="166"/>
      <c r="AA6" s="173" t="str">
        <f>DataBase!O2</f>
        <v>TOTAL</v>
      </c>
      <c r="AB6" s="166"/>
      <c r="AC6" s="166"/>
      <c r="AD6" s="171"/>
      <c r="AF6" s="172" t="str">
        <f>DataBase!C2</f>
        <v>PLAN</v>
      </c>
      <c r="AG6" s="172" t="str">
        <f>DataBase!D2</f>
        <v>PLAN</v>
      </c>
      <c r="AH6" s="172" t="str">
        <f>DataBase!E2</f>
        <v>PLAN</v>
      </c>
      <c r="AI6" s="172" t="str">
        <f>DataBase!F2</f>
        <v>PLAN</v>
      </c>
      <c r="AJ6" s="172" t="str">
        <f>DataBase!G2</f>
        <v>PLAN</v>
      </c>
      <c r="AK6" s="172" t="str">
        <f>DataBase!H2</f>
        <v>PLAN</v>
      </c>
      <c r="AL6" s="172" t="str">
        <f>DataBase!I2</f>
        <v>PLAN</v>
      </c>
      <c r="AM6" s="172" t="str">
        <f>DataBase!J2</f>
        <v>PLAN</v>
      </c>
      <c r="AN6" s="172" t="str">
        <f>DataBase!K2</f>
        <v>PLAN</v>
      </c>
      <c r="AO6" s="172" t="str">
        <f>DataBase!L2</f>
        <v>PLAN</v>
      </c>
      <c r="AP6" s="172" t="str">
        <f>DataBase!M2</f>
        <v>PLAN</v>
      </c>
      <c r="AQ6" s="172" t="str">
        <f>DataBase!N2</f>
        <v>PLAN</v>
      </c>
      <c r="AR6" s="166"/>
      <c r="AS6" s="166"/>
      <c r="AT6" s="166"/>
      <c r="AU6" s="166"/>
      <c r="AV6" s="166"/>
      <c r="AW6" s="166"/>
    </row>
    <row r="7" spans="1:49" x14ac:dyDescent="0.2">
      <c r="A7" s="171"/>
      <c r="C7" s="415" t="s">
        <v>1174</v>
      </c>
      <c r="D7" s="415" t="s">
        <v>1175</v>
      </c>
      <c r="E7" s="415" t="s">
        <v>1176</v>
      </c>
      <c r="F7" s="415" t="s">
        <v>1177</v>
      </c>
      <c r="G7" s="415" t="s">
        <v>1178</v>
      </c>
      <c r="H7" s="415" t="s">
        <v>1179</v>
      </c>
      <c r="I7" s="415" t="s">
        <v>1180</v>
      </c>
      <c r="J7" s="415" t="s">
        <v>1181</v>
      </c>
      <c r="K7" s="415" t="s">
        <v>1182</v>
      </c>
      <c r="L7" s="415" t="s">
        <v>1183</v>
      </c>
      <c r="M7" s="415" t="s">
        <v>1184</v>
      </c>
      <c r="N7" s="415" t="s">
        <v>1185</v>
      </c>
      <c r="O7" s="175" t="str">
        <f>DataBase!O3</f>
        <v>2002</v>
      </c>
      <c r="P7" s="416" t="s">
        <v>812</v>
      </c>
      <c r="Q7" s="415" t="s">
        <v>813</v>
      </c>
      <c r="R7" s="169"/>
      <c r="S7" s="167"/>
      <c r="T7" s="167"/>
      <c r="U7" s="671"/>
      <c r="V7" s="415" t="s">
        <v>814</v>
      </c>
      <c r="W7" s="429" t="str">
        <f>V$7</f>
        <v>Quarter</v>
      </c>
      <c r="X7" s="429" t="str">
        <f>W$7</f>
        <v>Quarter</v>
      </c>
      <c r="Y7" s="429" t="str">
        <f>X$7</f>
        <v>Quarter</v>
      </c>
      <c r="Z7" s="176"/>
      <c r="AA7" s="175" t="str">
        <f>O7</f>
        <v>2002</v>
      </c>
      <c r="AB7" s="166"/>
      <c r="AC7" s="166"/>
      <c r="AD7" s="171"/>
      <c r="AF7" s="174" t="str">
        <f t="shared" ref="AF7:AQ7" si="0">C7</f>
        <v>JAN</v>
      </c>
      <c r="AG7" s="174" t="str">
        <f t="shared" si="0"/>
        <v>FEB</v>
      </c>
      <c r="AH7" s="174" t="str">
        <f t="shared" si="0"/>
        <v>MAR</v>
      </c>
      <c r="AI7" s="174" t="str">
        <f t="shared" si="0"/>
        <v>APR</v>
      </c>
      <c r="AJ7" s="174" t="str">
        <f t="shared" si="0"/>
        <v>MAY</v>
      </c>
      <c r="AK7" s="174" t="str">
        <f t="shared" si="0"/>
        <v>JUN</v>
      </c>
      <c r="AL7" s="174" t="str">
        <f t="shared" si="0"/>
        <v>JUL</v>
      </c>
      <c r="AM7" s="174" t="str">
        <f t="shared" si="0"/>
        <v>AUG</v>
      </c>
      <c r="AN7" s="174" t="str">
        <f t="shared" si="0"/>
        <v>SEP</v>
      </c>
      <c r="AO7" s="174" t="str">
        <f t="shared" si="0"/>
        <v>OCT</v>
      </c>
      <c r="AP7" s="174" t="str">
        <f t="shared" si="0"/>
        <v>NOV</v>
      </c>
      <c r="AQ7" s="174" t="str">
        <f t="shared" si="0"/>
        <v>DEC</v>
      </c>
      <c r="AR7" s="166"/>
      <c r="AS7" s="166"/>
      <c r="AT7" s="166"/>
      <c r="AU7" s="166"/>
      <c r="AV7" s="166"/>
      <c r="AW7" s="166"/>
    </row>
    <row r="8" spans="1:49" x14ac:dyDescent="0.2">
      <c r="A8" s="418" t="s">
        <v>815</v>
      </c>
      <c r="T8" s="177" t="str">
        <f>A8</f>
        <v>OPERATING REVENUES</v>
      </c>
      <c r="AD8" s="166" t="str">
        <f>A8</f>
        <v>OPERATING REVENUES</v>
      </c>
    </row>
    <row r="9" spans="1:49" x14ac:dyDescent="0.2">
      <c r="A9" s="419" t="s">
        <v>816</v>
      </c>
      <c r="C9" s="179">
        <f>'Sales&amp;Liq-COS'!C35</f>
        <v>0</v>
      </c>
      <c r="D9" s="179">
        <f>'Sales&amp;Liq-COS'!D35</f>
        <v>0</v>
      </c>
      <c r="E9" s="179">
        <f>'Sales&amp;Liq-COS'!E35</f>
        <v>0</v>
      </c>
      <c r="F9" s="179">
        <f>'Sales&amp;Liq-COS'!F35</f>
        <v>0</v>
      </c>
      <c r="G9" s="179">
        <f>'Sales&amp;Liq-COS'!G35</f>
        <v>0</v>
      </c>
      <c r="H9" s="179">
        <f>'Sales&amp;Liq-COS'!H35</f>
        <v>0</v>
      </c>
      <c r="I9" s="179">
        <f>'Sales&amp;Liq-COS'!I35</f>
        <v>0</v>
      </c>
      <c r="J9" s="179">
        <f>'Sales&amp;Liq-COS'!J35</f>
        <v>0</v>
      </c>
      <c r="K9" s="179">
        <f>'Sales&amp;Liq-COS'!K35</f>
        <v>0</v>
      </c>
      <c r="L9" s="179">
        <f>'Sales&amp;Liq-COS'!L35</f>
        <v>0</v>
      </c>
      <c r="M9" s="179">
        <f>'Sales&amp;Liq-COS'!M35</f>
        <v>0</v>
      </c>
      <c r="N9" s="179">
        <f>'Sales&amp;Liq-COS'!N35</f>
        <v>0</v>
      </c>
      <c r="O9" s="179">
        <f>SUM(C9:N9)</f>
        <v>0</v>
      </c>
      <c r="P9" s="180">
        <f>SUM(C9:D9)</f>
        <v>0</v>
      </c>
      <c r="Q9" s="179">
        <f>O9-P9</f>
        <v>0</v>
      </c>
      <c r="R9" s="617"/>
      <c r="S9" s="171"/>
      <c r="T9" s="181" t="str">
        <f>A9</f>
        <v xml:space="preserve">   Gas Sales &amp; Liquids Revenue</v>
      </c>
      <c r="V9" s="179">
        <f>C9+D9+E9</f>
        <v>0</v>
      </c>
      <c r="W9" s="179">
        <f>F9+G9+H9</f>
        <v>0</v>
      </c>
      <c r="X9" s="179">
        <f>I9+J9+K9</f>
        <v>0</v>
      </c>
      <c r="Y9" s="179">
        <f>L9+M9+N9</f>
        <v>0</v>
      </c>
      <c r="Z9" s="179"/>
      <c r="AA9" s="179">
        <f>SUM(V9:Y9)</f>
        <v>0</v>
      </c>
      <c r="AB9" s="171"/>
      <c r="AC9" s="171"/>
      <c r="AD9" s="165" t="str">
        <f>A9</f>
        <v xml:space="preserve">   Gas Sales &amp; Liquids Revenue</v>
      </c>
      <c r="AF9" s="179">
        <f>C9</f>
        <v>0</v>
      </c>
      <c r="AG9" s="179">
        <f t="shared" ref="AG9:AQ10" si="1">D9+AF9</f>
        <v>0</v>
      </c>
      <c r="AH9" s="179">
        <f t="shared" si="1"/>
        <v>0</v>
      </c>
      <c r="AI9" s="179">
        <f t="shared" si="1"/>
        <v>0</v>
      </c>
      <c r="AJ9" s="179">
        <f t="shared" si="1"/>
        <v>0</v>
      </c>
      <c r="AK9" s="179">
        <f t="shared" si="1"/>
        <v>0</v>
      </c>
      <c r="AL9" s="179">
        <f t="shared" si="1"/>
        <v>0</v>
      </c>
      <c r="AM9" s="179">
        <f t="shared" si="1"/>
        <v>0</v>
      </c>
      <c r="AN9" s="179">
        <f t="shared" si="1"/>
        <v>0</v>
      </c>
      <c r="AO9" s="179">
        <f t="shared" si="1"/>
        <v>0</v>
      </c>
      <c r="AP9" s="179">
        <f t="shared" si="1"/>
        <v>0</v>
      </c>
      <c r="AQ9" s="179">
        <f t="shared" si="1"/>
        <v>0</v>
      </c>
    </row>
    <row r="10" spans="1:49" x14ac:dyDescent="0.2">
      <c r="A10" s="419" t="s">
        <v>817</v>
      </c>
      <c r="C10" s="182">
        <f>'Sales&amp;Liq-COS'!C45</f>
        <v>0</v>
      </c>
      <c r="D10" s="182">
        <f>'Sales&amp;Liq-COS'!D45</f>
        <v>0</v>
      </c>
      <c r="E10" s="182">
        <f>'Sales&amp;Liq-COS'!E45</f>
        <v>0</v>
      </c>
      <c r="F10" s="182">
        <f>'Sales&amp;Liq-COS'!F45</f>
        <v>0</v>
      </c>
      <c r="G10" s="182">
        <f>'Sales&amp;Liq-COS'!G45</f>
        <v>0</v>
      </c>
      <c r="H10" s="182">
        <f>'Sales&amp;Liq-COS'!H45</f>
        <v>0</v>
      </c>
      <c r="I10" s="182">
        <f>'Sales&amp;Liq-COS'!I45</f>
        <v>0</v>
      </c>
      <c r="J10" s="182">
        <f>'Sales&amp;Liq-COS'!J45</f>
        <v>0</v>
      </c>
      <c r="K10" s="182">
        <f>'Sales&amp;Liq-COS'!K45</f>
        <v>0</v>
      </c>
      <c r="L10" s="182">
        <f>'Sales&amp;Liq-COS'!L45</f>
        <v>0</v>
      </c>
      <c r="M10" s="182">
        <f>'Sales&amp;Liq-COS'!M45</f>
        <v>0</v>
      </c>
      <c r="N10" s="182">
        <f>'Sales&amp;Liq-COS'!N45</f>
        <v>0</v>
      </c>
      <c r="O10" s="182">
        <f>SUM(C10:N10)</f>
        <v>0</v>
      </c>
      <c r="P10" s="273">
        <f>SUM(C10:D10)</f>
        <v>0</v>
      </c>
      <c r="Q10" s="182">
        <f>O10-P10</f>
        <v>0</v>
      </c>
      <c r="R10" s="618"/>
      <c r="S10" s="171"/>
      <c r="T10" s="181" t="str">
        <f>A10</f>
        <v xml:space="preserve">     Less:  Cost of Sales</v>
      </c>
      <c r="V10" s="182">
        <f>C10+D10+E10</f>
        <v>0</v>
      </c>
      <c r="W10" s="182">
        <f>F10+G10+H10</f>
        <v>0</v>
      </c>
      <c r="X10" s="182">
        <f>I10+J10+K10</f>
        <v>0</v>
      </c>
      <c r="Y10" s="182">
        <f>L10+M10+N10</f>
        <v>0</v>
      </c>
      <c r="Z10" s="182"/>
      <c r="AA10" s="182">
        <f>SUM(V10:Y10)</f>
        <v>0</v>
      </c>
      <c r="AB10" s="171"/>
      <c r="AC10" s="171"/>
      <c r="AD10" s="165" t="str">
        <f>A10</f>
        <v xml:space="preserve">     Less:  Cost of Sales</v>
      </c>
      <c r="AF10" s="182">
        <f>C10</f>
        <v>0</v>
      </c>
      <c r="AG10" s="182">
        <f t="shared" si="1"/>
        <v>0</v>
      </c>
      <c r="AH10" s="182">
        <f t="shared" si="1"/>
        <v>0</v>
      </c>
      <c r="AI10" s="182">
        <f t="shared" si="1"/>
        <v>0</v>
      </c>
      <c r="AJ10" s="182">
        <f t="shared" si="1"/>
        <v>0</v>
      </c>
      <c r="AK10" s="182">
        <f t="shared" si="1"/>
        <v>0</v>
      </c>
      <c r="AL10" s="182">
        <f t="shared" si="1"/>
        <v>0</v>
      </c>
      <c r="AM10" s="182">
        <f t="shared" si="1"/>
        <v>0</v>
      </c>
      <c r="AN10" s="182">
        <f t="shared" si="1"/>
        <v>0</v>
      </c>
      <c r="AO10" s="182">
        <f t="shared" si="1"/>
        <v>0</v>
      </c>
      <c r="AP10" s="182">
        <f t="shared" si="1"/>
        <v>0</v>
      </c>
      <c r="AQ10" s="182">
        <f t="shared" si="1"/>
        <v>0</v>
      </c>
    </row>
    <row r="11" spans="1:49" ht="6" customHeight="1" x14ac:dyDescent="0.2">
      <c r="A11" s="409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80"/>
      <c r="S11" s="171"/>
      <c r="V11" s="179"/>
      <c r="W11" s="179"/>
      <c r="X11" s="179"/>
      <c r="Y11" s="179"/>
      <c r="Z11" s="179"/>
      <c r="AA11" s="179"/>
      <c r="AB11" s="171"/>
      <c r="AC11" s="171"/>
      <c r="AD11" s="171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</row>
    <row r="12" spans="1:49" ht="12" customHeight="1" x14ac:dyDescent="0.2">
      <c r="A12" s="420" t="s">
        <v>818</v>
      </c>
      <c r="B12" s="671"/>
      <c r="C12" s="183">
        <f t="shared" ref="C12:Q12" si="2">C9-C10</f>
        <v>0</v>
      </c>
      <c r="D12" s="183">
        <f t="shared" si="2"/>
        <v>0</v>
      </c>
      <c r="E12" s="183">
        <f t="shared" si="2"/>
        <v>0</v>
      </c>
      <c r="F12" s="183">
        <f t="shared" si="2"/>
        <v>0</v>
      </c>
      <c r="G12" s="183">
        <f t="shared" si="2"/>
        <v>0</v>
      </c>
      <c r="H12" s="183">
        <f t="shared" si="2"/>
        <v>0</v>
      </c>
      <c r="I12" s="183">
        <f t="shared" si="2"/>
        <v>0</v>
      </c>
      <c r="J12" s="183">
        <f t="shared" si="2"/>
        <v>0</v>
      </c>
      <c r="K12" s="183">
        <f t="shared" si="2"/>
        <v>0</v>
      </c>
      <c r="L12" s="183">
        <f t="shared" si="2"/>
        <v>0</v>
      </c>
      <c r="M12" s="183">
        <f t="shared" si="2"/>
        <v>0</v>
      </c>
      <c r="N12" s="183">
        <f t="shared" si="2"/>
        <v>0</v>
      </c>
      <c r="O12" s="183">
        <f t="shared" si="2"/>
        <v>0</v>
      </c>
      <c r="P12" s="183">
        <f t="shared" si="2"/>
        <v>0</v>
      </c>
      <c r="Q12" s="183">
        <f t="shared" si="2"/>
        <v>0</v>
      </c>
      <c r="R12" s="426"/>
      <c r="S12" s="169"/>
      <c r="T12" s="177" t="str">
        <f>A12</f>
        <v xml:space="preserve">      Sales Margin</v>
      </c>
      <c r="U12" s="671"/>
      <c r="V12" s="184">
        <f>V9-V10</f>
        <v>0</v>
      </c>
      <c r="W12" s="184">
        <f>W9-W10</f>
        <v>0</v>
      </c>
      <c r="X12" s="184">
        <f>X9-X10</f>
        <v>0</v>
      </c>
      <c r="Y12" s="184">
        <f>Y9-Y10</f>
        <v>0</v>
      </c>
      <c r="Z12" s="184"/>
      <c r="AA12" s="184">
        <f>AA9-AA10</f>
        <v>0</v>
      </c>
      <c r="AB12" s="169"/>
      <c r="AC12" s="169"/>
      <c r="AD12" s="166" t="str">
        <f>A12</f>
        <v xml:space="preserve">      Sales Margin</v>
      </c>
      <c r="AF12" s="184">
        <f>C12</f>
        <v>0</v>
      </c>
      <c r="AG12" s="184">
        <f t="shared" ref="AG12:AQ12" si="3">D12+AF12</f>
        <v>0</v>
      </c>
      <c r="AH12" s="184">
        <f t="shared" si="3"/>
        <v>0</v>
      </c>
      <c r="AI12" s="184">
        <f t="shared" si="3"/>
        <v>0</v>
      </c>
      <c r="AJ12" s="184">
        <f t="shared" si="3"/>
        <v>0</v>
      </c>
      <c r="AK12" s="184">
        <f t="shared" si="3"/>
        <v>0</v>
      </c>
      <c r="AL12" s="184">
        <f t="shared" si="3"/>
        <v>0</v>
      </c>
      <c r="AM12" s="184">
        <f t="shared" si="3"/>
        <v>0</v>
      </c>
      <c r="AN12" s="184">
        <f t="shared" si="3"/>
        <v>0</v>
      </c>
      <c r="AO12" s="184">
        <f t="shared" si="3"/>
        <v>0</v>
      </c>
      <c r="AP12" s="184">
        <f t="shared" si="3"/>
        <v>0</v>
      </c>
      <c r="AQ12" s="184">
        <f t="shared" si="3"/>
        <v>0</v>
      </c>
    </row>
    <row r="13" spans="1:49" ht="6" customHeight="1" x14ac:dyDescent="0.2">
      <c r="A13" s="409"/>
      <c r="C13" s="179"/>
      <c r="D13" s="179"/>
      <c r="E13" s="179"/>
      <c r="F13" s="179"/>
      <c r="G13" s="179"/>
      <c r="H13" s="179"/>
      <c r="I13" s="179"/>
      <c r="J13" s="179"/>
      <c r="K13" s="179"/>
      <c r="L13" s="179"/>
      <c r="M13" s="179"/>
      <c r="N13" s="179"/>
      <c r="O13" s="179"/>
      <c r="P13" s="179"/>
      <c r="Q13" s="179"/>
      <c r="R13" s="180"/>
      <c r="S13" s="171"/>
      <c r="V13" s="179"/>
      <c r="W13" s="179"/>
      <c r="X13" s="179"/>
      <c r="Y13" s="179"/>
      <c r="Z13" s="179"/>
      <c r="AA13" s="179"/>
      <c r="AB13" s="171"/>
      <c r="AC13" s="171"/>
      <c r="AD13" s="185"/>
      <c r="AF13" s="179"/>
      <c r="AG13" s="179"/>
      <c r="AH13" s="179"/>
      <c r="AI13" s="179"/>
      <c r="AJ13" s="179"/>
      <c r="AK13" s="179"/>
      <c r="AL13" s="179"/>
      <c r="AM13" s="179"/>
      <c r="AN13" s="179"/>
      <c r="AO13" s="179"/>
      <c r="AP13" s="179"/>
      <c r="AQ13" s="179"/>
    </row>
    <row r="14" spans="1:49" x14ac:dyDescent="0.2">
      <c r="A14" s="419" t="s">
        <v>819</v>
      </c>
      <c r="C14" s="179">
        <f>Transport!C64</f>
        <v>55287</v>
      </c>
      <c r="D14" s="179">
        <f>Transport!D64</f>
        <v>54297</v>
      </c>
      <c r="E14" s="179">
        <f>Transport!E64</f>
        <v>57788</v>
      </c>
      <c r="F14" s="179">
        <f>Transport!F64</f>
        <v>23074</v>
      </c>
      <c r="G14" s="179">
        <f>Transport!G64</f>
        <v>22070</v>
      </c>
      <c r="H14" s="179">
        <f>Transport!H64</f>
        <v>25185</v>
      </c>
      <c r="I14" s="179">
        <f>Transport!I64</f>
        <v>25128</v>
      </c>
      <c r="J14" s="179">
        <f>Transport!J64</f>
        <v>24715</v>
      </c>
      <c r="K14" s="179">
        <f>Transport!K64</f>
        <v>24496</v>
      </c>
      <c r="L14" s="179">
        <f>Transport!L64</f>
        <v>24301</v>
      </c>
      <c r="M14" s="179">
        <f>Transport!M64</f>
        <v>52563</v>
      </c>
      <c r="N14" s="179">
        <f>Transport!N64</f>
        <v>53454</v>
      </c>
      <c r="O14" s="179">
        <f>SUM(C14:N14)</f>
        <v>442358</v>
      </c>
      <c r="P14" s="180">
        <f>SUM(C14:D14)</f>
        <v>109584</v>
      </c>
      <c r="Q14" s="179">
        <f>O14-P14</f>
        <v>332774</v>
      </c>
      <c r="R14" s="617"/>
      <c r="S14" s="171"/>
      <c r="T14" s="181" t="str">
        <f>A14</f>
        <v xml:space="preserve">   Transportation &amp; Storage Revenue</v>
      </c>
      <c r="V14" s="179">
        <f>C14+D14+E14</f>
        <v>167372</v>
      </c>
      <c r="W14" s="179">
        <f>F14+G14+H14</f>
        <v>70329</v>
      </c>
      <c r="X14" s="179">
        <f>I14+J14+K14</f>
        <v>74339</v>
      </c>
      <c r="Y14" s="179">
        <f>L14+M14+N14</f>
        <v>130318</v>
      </c>
      <c r="Z14" s="179"/>
      <c r="AA14" s="179">
        <f>SUM(V14:Y14)</f>
        <v>442358</v>
      </c>
      <c r="AB14" s="171"/>
      <c r="AC14" s="171"/>
      <c r="AD14" s="165" t="str">
        <f>A14</f>
        <v xml:space="preserve">   Transportation &amp; Storage Revenue</v>
      </c>
      <c r="AF14" s="179">
        <f>C14</f>
        <v>55287</v>
      </c>
      <c r="AG14" s="179">
        <f t="shared" ref="AG14:AQ14" si="4">D14+AF14</f>
        <v>109584</v>
      </c>
      <c r="AH14" s="179">
        <f t="shared" si="4"/>
        <v>167372</v>
      </c>
      <c r="AI14" s="179">
        <f t="shared" si="4"/>
        <v>190446</v>
      </c>
      <c r="AJ14" s="179">
        <f t="shared" si="4"/>
        <v>212516</v>
      </c>
      <c r="AK14" s="179">
        <f t="shared" si="4"/>
        <v>237701</v>
      </c>
      <c r="AL14" s="179">
        <f t="shared" si="4"/>
        <v>262829</v>
      </c>
      <c r="AM14" s="179">
        <f t="shared" si="4"/>
        <v>287544</v>
      </c>
      <c r="AN14" s="179">
        <f t="shared" si="4"/>
        <v>312040</v>
      </c>
      <c r="AO14" s="179">
        <f t="shared" si="4"/>
        <v>336341</v>
      </c>
      <c r="AP14" s="179">
        <f t="shared" si="4"/>
        <v>388904</v>
      </c>
      <c r="AQ14" s="179">
        <f t="shared" si="4"/>
        <v>442358</v>
      </c>
      <c r="AR14" s="171"/>
    </row>
    <row r="15" spans="1:49" x14ac:dyDescent="0.2">
      <c r="A15" s="419" t="s">
        <v>820</v>
      </c>
      <c r="C15" s="182">
        <f>OtherRev!C28</f>
        <v>842</v>
      </c>
      <c r="D15" s="182">
        <f>OtherRev!D28</f>
        <v>793</v>
      </c>
      <c r="E15" s="182">
        <f>OtherRev!E28</f>
        <v>1169</v>
      </c>
      <c r="F15" s="182">
        <f>OtherRev!F28</f>
        <v>692</v>
      </c>
      <c r="G15" s="182">
        <f>OtherRev!G28</f>
        <v>693</v>
      </c>
      <c r="H15" s="182">
        <f>OtherRev!H28</f>
        <v>3094</v>
      </c>
      <c r="I15" s="182">
        <f>OtherRev!I28</f>
        <v>692</v>
      </c>
      <c r="J15" s="182">
        <f>OtherRev!J28</f>
        <v>693</v>
      </c>
      <c r="K15" s="182">
        <f>OtherRev!K28</f>
        <v>1095</v>
      </c>
      <c r="L15" s="182">
        <f>OtherRev!L28</f>
        <v>693</v>
      </c>
      <c r="M15" s="182">
        <f>OtherRev!M28</f>
        <v>1284</v>
      </c>
      <c r="N15" s="182">
        <f>OtherRev!N28</f>
        <v>1710</v>
      </c>
      <c r="O15" s="182">
        <f>SUM(C15:N15)</f>
        <v>13450</v>
      </c>
      <c r="P15" s="273">
        <f>SUM(C15:D15)</f>
        <v>1635</v>
      </c>
      <c r="Q15" s="182">
        <f>O15-P15</f>
        <v>11815</v>
      </c>
      <c r="R15" s="618"/>
      <c r="S15" s="171"/>
      <c r="T15" s="181" t="str">
        <f>A15</f>
        <v xml:space="preserve">   Other Revenue</v>
      </c>
      <c r="V15" s="182">
        <f>C15+D15+E15</f>
        <v>2804</v>
      </c>
      <c r="W15" s="182">
        <f>F15+G15+H15</f>
        <v>4479</v>
      </c>
      <c r="X15" s="182">
        <f>I15+J15+K15</f>
        <v>2480</v>
      </c>
      <c r="Y15" s="182">
        <f>L15+M15+N15</f>
        <v>3687</v>
      </c>
      <c r="Z15" s="182"/>
      <c r="AA15" s="182">
        <f>SUM(V15:Y15)</f>
        <v>13450</v>
      </c>
      <c r="AB15" s="171"/>
      <c r="AC15" s="171"/>
      <c r="AD15" s="165" t="str">
        <f>A15</f>
        <v xml:space="preserve">   Other Revenue</v>
      </c>
      <c r="AF15" s="182">
        <f>C15</f>
        <v>842</v>
      </c>
      <c r="AG15" s="182">
        <f t="shared" ref="AG15:AQ15" si="5">D15+AF15</f>
        <v>1635</v>
      </c>
      <c r="AH15" s="182">
        <f t="shared" si="5"/>
        <v>2804</v>
      </c>
      <c r="AI15" s="182">
        <f t="shared" si="5"/>
        <v>3496</v>
      </c>
      <c r="AJ15" s="182">
        <f t="shared" si="5"/>
        <v>4189</v>
      </c>
      <c r="AK15" s="182">
        <f t="shared" si="5"/>
        <v>7283</v>
      </c>
      <c r="AL15" s="182">
        <f t="shared" si="5"/>
        <v>7975</v>
      </c>
      <c r="AM15" s="182">
        <f t="shared" si="5"/>
        <v>8668</v>
      </c>
      <c r="AN15" s="182">
        <f t="shared" si="5"/>
        <v>9763</v>
      </c>
      <c r="AO15" s="182">
        <f t="shared" si="5"/>
        <v>10456</v>
      </c>
      <c r="AP15" s="182">
        <f t="shared" si="5"/>
        <v>11740</v>
      </c>
      <c r="AQ15" s="182">
        <f t="shared" si="5"/>
        <v>13450</v>
      </c>
    </row>
    <row r="16" spans="1:49" ht="3.95" customHeight="1" x14ac:dyDescent="0.2">
      <c r="A16" s="171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80"/>
      <c r="S16" s="171"/>
      <c r="T16" s="181"/>
      <c r="V16" s="179"/>
      <c r="W16" s="179"/>
      <c r="X16" s="179"/>
      <c r="Y16" s="179"/>
      <c r="Z16" s="179"/>
      <c r="AA16" s="179"/>
      <c r="AB16" s="171"/>
      <c r="AC16" s="171"/>
      <c r="AD16" s="171"/>
      <c r="AF16" s="179"/>
      <c r="AG16" s="179"/>
      <c r="AH16" s="179"/>
      <c r="AI16" s="179"/>
      <c r="AJ16" s="179"/>
      <c r="AK16" s="179"/>
      <c r="AL16" s="179"/>
      <c r="AM16" s="179"/>
      <c r="AN16" s="179"/>
      <c r="AO16" s="179"/>
      <c r="AP16" s="179"/>
      <c r="AQ16" s="179"/>
    </row>
    <row r="17" spans="1:44" x14ac:dyDescent="0.2">
      <c r="A17" s="418" t="s">
        <v>821</v>
      </c>
      <c r="B17" s="694"/>
      <c r="C17" s="183">
        <f>C12+C14+C15</f>
        <v>56129</v>
      </c>
      <c r="D17" s="183">
        <f t="shared" ref="D17:Q17" si="6">D12+D14+D15</f>
        <v>55090</v>
      </c>
      <c r="E17" s="183">
        <f t="shared" si="6"/>
        <v>58957</v>
      </c>
      <c r="F17" s="183">
        <f t="shared" si="6"/>
        <v>23766</v>
      </c>
      <c r="G17" s="183">
        <f t="shared" si="6"/>
        <v>22763</v>
      </c>
      <c r="H17" s="183">
        <f t="shared" si="6"/>
        <v>28279</v>
      </c>
      <c r="I17" s="183">
        <f t="shared" si="6"/>
        <v>25820</v>
      </c>
      <c r="J17" s="183">
        <f t="shared" si="6"/>
        <v>25408</v>
      </c>
      <c r="K17" s="183">
        <f t="shared" si="6"/>
        <v>25591</v>
      </c>
      <c r="L17" s="183">
        <f t="shared" si="6"/>
        <v>24994</v>
      </c>
      <c r="M17" s="183">
        <f t="shared" si="6"/>
        <v>53847</v>
      </c>
      <c r="N17" s="183">
        <f t="shared" si="6"/>
        <v>55164</v>
      </c>
      <c r="O17" s="183">
        <f t="shared" si="6"/>
        <v>455808</v>
      </c>
      <c r="P17" s="183">
        <f t="shared" si="6"/>
        <v>111219</v>
      </c>
      <c r="Q17" s="183">
        <f t="shared" si="6"/>
        <v>344589</v>
      </c>
      <c r="R17" s="427"/>
      <c r="S17" s="169"/>
      <c r="T17" s="177" t="str">
        <f>A17</f>
        <v xml:space="preserve">      Net Operating Income</v>
      </c>
      <c r="U17" s="671"/>
      <c r="V17" s="183">
        <f>SUM(V12:V15)</f>
        <v>170176</v>
      </c>
      <c r="W17" s="183">
        <f>SUM(W12:W15)</f>
        <v>74808</v>
      </c>
      <c r="X17" s="183">
        <f>SUM(X12:X15)</f>
        <v>76819</v>
      </c>
      <c r="Y17" s="183">
        <f>SUM(Y12:Y15)</f>
        <v>134005</v>
      </c>
      <c r="Z17" s="183"/>
      <c r="AA17" s="183">
        <f>SUM(AA12:AA15)</f>
        <v>455808</v>
      </c>
      <c r="AB17" s="169"/>
      <c r="AC17" s="169"/>
      <c r="AD17" s="166" t="str">
        <f>A17</f>
        <v xml:space="preserve">      Net Operating Income</v>
      </c>
      <c r="AF17" s="183">
        <f>C17</f>
        <v>56129</v>
      </c>
      <c r="AG17" s="183">
        <f t="shared" ref="AG17:AQ17" si="7">D17+AF17</f>
        <v>111219</v>
      </c>
      <c r="AH17" s="183">
        <f t="shared" si="7"/>
        <v>170176</v>
      </c>
      <c r="AI17" s="183">
        <f t="shared" si="7"/>
        <v>193942</v>
      </c>
      <c r="AJ17" s="183">
        <f t="shared" si="7"/>
        <v>216705</v>
      </c>
      <c r="AK17" s="183">
        <f t="shared" si="7"/>
        <v>244984</v>
      </c>
      <c r="AL17" s="183">
        <f t="shared" si="7"/>
        <v>270804</v>
      </c>
      <c r="AM17" s="183">
        <f t="shared" si="7"/>
        <v>296212</v>
      </c>
      <c r="AN17" s="183">
        <f t="shared" si="7"/>
        <v>321803</v>
      </c>
      <c r="AO17" s="183">
        <f t="shared" si="7"/>
        <v>346797</v>
      </c>
      <c r="AP17" s="183">
        <f t="shared" si="7"/>
        <v>400644</v>
      </c>
      <c r="AQ17" s="183">
        <f t="shared" si="7"/>
        <v>455808</v>
      </c>
    </row>
    <row r="18" spans="1:44" x14ac:dyDescent="0.2">
      <c r="A18" s="171"/>
      <c r="C18" s="179"/>
      <c r="D18" s="179"/>
      <c r="E18" s="179"/>
      <c r="F18" s="186"/>
      <c r="G18" s="179"/>
      <c r="H18" s="179"/>
      <c r="I18" s="179"/>
      <c r="J18" s="179"/>
      <c r="K18" s="179"/>
      <c r="L18" s="179"/>
      <c r="M18" s="179"/>
      <c r="N18" s="179"/>
      <c r="O18" s="179"/>
      <c r="P18" s="179"/>
      <c r="Q18" s="179"/>
      <c r="R18" s="180"/>
      <c r="S18" s="171"/>
      <c r="T18" s="181"/>
      <c r="V18" s="179"/>
      <c r="W18" s="179"/>
      <c r="X18" s="179"/>
      <c r="Y18" s="179"/>
      <c r="Z18" s="179"/>
      <c r="AA18" s="179"/>
      <c r="AB18" s="171"/>
      <c r="AC18" s="171"/>
      <c r="AD18" s="171"/>
      <c r="AF18" s="179"/>
      <c r="AG18" s="179"/>
      <c r="AH18" s="179"/>
      <c r="AI18" s="179"/>
      <c r="AJ18" s="179"/>
      <c r="AK18" s="179"/>
      <c r="AL18" s="179"/>
      <c r="AM18" s="179"/>
      <c r="AN18" s="179"/>
      <c r="AO18" s="179"/>
      <c r="AP18" s="179"/>
      <c r="AQ18" s="179"/>
    </row>
    <row r="19" spans="1:44" x14ac:dyDescent="0.2">
      <c r="A19" s="418" t="s">
        <v>822</v>
      </c>
      <c r="C19" s="180"/>
      <c r="D19" s="180"/>
      <c r="E19" s="180"/>
      <c r="F19" s="180"/>
      <c r="G19" s="180"/>
      <c r="H19" s="180"/>
      <c r="I19" s="180"/>
      <c r="J19" s="180"/>
      <c r="K19" s="180"/>
      <c r="L19" s="180"/>
      <c r="M19" s="180"/>
      <c r="N19" s="180"/>
      <c r="O19" s="180"/>
      <c r="P19" s="180"/>
      <c r="Q19" s="179"/>
      <c r="R19" s="180"/>
      <c r="S19" s="171"/>
      <c r="T19" s="177" t="str">
        <f t="shared" ref="T19:T25" si="8">A19</f>
        <v>OPERATING EXPENSES</v>
      </c>
      <c r="V19" s="179"/>
      <c r="W19" s="179"/>
      <c r="X19" s="179"/>
      <c r="Y19" s="179"/>
      <c r="Z19" s="179"/>
      <c r="AA19" s="179"/>
      <c r="AB19" s="171"/>
      <c r="AC19" s="171"/>
      <c r="AD19" s="166" t="str">
        <f t="shared" ref="AD19:AD25" si="9">A19</f>
        <v>OPERATING EXPENSES</v>
      </c>
      <c r="AF19" s="179"/>
      <c r="AG19" s="179"/>
      <c r="AH19" s="179"/>
      <c r="AI19" s="179"/>
      <c r="AJ19" s="179"/>
      <c r="AK19" s="179"/>
      <c r="AL19" s="179"/>
      <c r="AM19" s="179"/>
      <c r="AN19" s="179"/>
      <c r="AO19" s="179"/>
      <c r="AP19" s="179"/>
      <c r="AQ19" s="179"/>
      <c r="AR19" s="171"/>
    </row>
    <row r="20" spans="1:44" x14ac:dyDescent="0.2">
      <c r="A20" s="419" t="s">
        <v>823</v>
      </c>
      <c r="C20" s="179">
        <f>'O&amp;M'!C50</f>
        <v>13530</v>
      </c>
      <c r="D20" s="179">
        <f>'O&amp;M'!D50</f>
        <v>13563</v>
      </c>
      <c r="E20" s="179">
        <f>'O&amp;M'!E50</f>
        <v>13451</v>
      </c>
      <c r="F20" s="179">
        <f>'O&amp;M'!F50</f>
        <v>13926</v>
      </c>
      <c r="G20" s="179">
        <f>'O&amp;M'!G50</f>
        <v>13494</v>
      </c>
      <c r="H20" s="179">
        <f>'O&amp;M'!H50</f>
        <v>13717</v>
      </c>
      <c r="I20" s="179">
        <f>'O&amp;M'!I50</f>
        <v>16156</v>
      </c>
      <c r="J20" s="179">
        <f>'O&amp;M'!J50</f>
        <v>14756</v>
      </c>
      <c r="K20" s="179">
        <f>'O&amp;M'!K50</f>
        <v>15077</v>
      </c>
      <c r="L20" s="179">
        <f>'O&amp;M'!L50</f>
        <v>15610</v>
      </c>
      <c r="M20" s="179">
        <f>'O&amp;M'!M50</f>
        <v>14291</v>
      </c>
      <c r="N20" s="537">
        <f>'O&amp;M'!N50</f>
        <v>14679</v>
      </c>
      <c r="O20" s="179">
        <f t="shared" ref="O20:O25" si="10">SUM(C20:N20)</f>
        <v>172250</v>
      </c>
      <c r="P20" s="180">
        <f t="shared" ref="P20:P25" si="11">SUM(C20:D20)</f>
        <v>27093</v>
      </c>
      <c r="Q20" s="179">
        <f t="shared" ref="Q20:Q25" si="12">O20-P20</f>
        <v>145157</v>
      </c>
      <c r="R20" s="617"/>
      <c r="S20" s="171"/>
      <c r="T20" s="181" t="str">
        <f t="shared" si="8"/>
        <v xml:space="preserve">   Operations and Maintenance</v>
      </c>
      <c r="V20" s="179">
        <f t="shared" ref="V20:V25" si="13">C20+D20+E20</f>
        <v>40544</v>
      </c>
      <c r="W20" s="179">
        <f t="shared" ref="W20:W25" si="14">F20+G20+H20</f>
        <v>41137</v>
      </c>
      <c r="X20" s="179">
        <f t="shared" ref="X20:X25" si="15">I20+J20+K20</f>
        <v>45989</v>
      </c>
      <c r="Y20" s="179">
        <f t="shared" ref="Y20:Y25" si="16">L20+M20+N20</f>
        <v>44580</v>
      </c>
      <c r="Z20" s="179"/>
      <c r="AA20" s="179">
        <f t="shared" ref="AA20:AA25" si="17">SUM(V20:Y20)</f>
        <v>172250</v>
      </c>
      <c r="AB20" s="171"/>
      <c r="AD20" s="165" t="str">
        <f t="shared" si="9"/>
        <v xml:space="preserve">   Operations and Maintenance</v>
      </c>
      <c r="AF20" s="179">
        <f t="shared" ref="AF20:AF25" si="18">C20</f>
        <v>13530</v>
      </c>
      <c r="AG20" s="179">
        <f t="shared" ref="AG20:AQ25" si="19">D20+AF20</f>
        <v>27093</v>
      </c>
      <c r="AH20" s="179">
        <f t="shared" si="19"/>
        <v>40544</v>
      </c>
      <c r="AI20" s="179">
        <f t="shared" si="19"/>
        <v>54470</v>
      </c>
      <c r="AJ20" s="179">
        <f t="shared" si="19"/>
        <v>67964</v>
      </c>
      <c r="AK20" s="179">
        <f t="shared" si="19"/>
        <v>81681</v>
      </c>
      <c r="AL20" s="179">
        <f t="shared" si="19"/>
        <v>97837</v>
      </c>
      <c r="AM20" s="179">
        <f t="shared" si="19"/>
        <v>112593</v>
      </c>
      <c r="AN20" s="179">
        <f t="shared" si="19"/>
        <v>127670</v>
      </c>
      <c r="AO20" s="179">
        <f t="shared" si="19"/>
        <v>143280</v>
      </c>
      <c r="AP20" s="179">
        <f t="shared" si="19"/>
        <v>157571</v>
      </c>
      <c r="AQ20" s="179">
        <f t="shared" si="19"/>
        <v>172250</v>
      </c>
    </row>
    <row r="21" spans="1:44" x14ac:dyDescent="0.2">
      <c r="A21" s="419" t="s">
        <v>824</v>
      </c>
      <c r="C21" s="179">
        <f>RegAmort!C59</f>
        <v>1648</v>
      </c>
      <c r="D21" s="179">
        <f>RegAmort!D59</f>
        <v>1575</v>
      </c>
      <c r="E21" s="179">
        <f>RegAmort!E59</f>
        <v>1514</v>
      </c>
      <c r="F21" s="179">
        <f>RegAmort!F59</f>
        <v>1408</v>
      </c>
      <c r="G21" s="179">
        <f>RegAmort!G59</f>
        <v>1335</v>
      </c>
      <c r="H21" s="179">
        <f>RegAmort!H59</f>
        <v>1347</v>
      </c>
      <c r="I21" s="179">
        <f>RegAmort!I59</f>
        <v>1344</v>
      </c>
      <c r="J21" s="179">
        <f>RegAmort!J59</f>
        <v>1352</v>
      </c>
      <c r="K21" s="179">
        <f>RegAmort!K59</f>
        <v>1356</v>
      </c>
      <c r="L21" s="179">
        <f>RegAmort!L59</f>
        <v>1428</v>
      </c>
      <c r="M21" s="179">
        <f>RegAmort!M59</f>
        <v>1511</v>
      </c>
      <c r="N21" s="179">
        <f>RegAmort!N59</f>
        <v>1676</v>
      </c>
      <c r="O21" s="179">
        <f t="shared" si="10"/>
        <v>17494</v>
      </c>
      <c r="P21" s="180">
        <f t="shared" si="11"/>
        <v>3223</v>
      </c>
      <c r="Q21" s="179">
        <f t="shared" si="12"/>
        <v>14271</v>
      </c>
      <c r="R21" s="617"/>
      <c r="S21" s="171"/>
      <c r="T21" s="181" t="str">
        <f t="shared" si="8"/>
        <v xml:space="preserve">   Regulatory Amortization</v>
      </c>
      <c r="V21" s="179">
        <f t="shared" si="13"/>
        <v>4737</v>
      </c>
      <c r="W21" s="179">
        <f t="shared" si="14"/>
        <v>4090</v>
      </c>
      <c r="X21" s="179">
        <f t="shared" si="15"/>
        <v>4052</v>
      </c>
      <c r="Y21" s="179">
        <f t="shared" si="16"/>
        <v>4615</v>
      </c>
      <c r="Z21" s="179"/>
      <c r="AA21" s="179">
        <f t="shared" si="17"/>
        <v>17494</v>
      </c>
      <c r="AB21" s="171"/>
      <c r="AC21" s="171"/>
      <c r="AD21" s="165" t="str">
        <f t="shared" si="9"/>
        <v xml:space="preserve">   Regulatory Amortization</v>
      </c>
      <c r="AF21" s="179">
        <f t="shared" si="18"/>
        <v>1648</v>
      </c>
      <c r="AG21" s="179">
        <f t="shared" si="19"/>
        <v>3223</v>
      </c>
      <c r="AH21" s="179">
        <f t="shared" si="19"/>
        <v>4737</v>
      </c>
      <c r="AI21" s="179">
        <f t="shared" si="19"/>
        <v>6145</v>
      </c>
      <c r="AJ21" s="179">
        <f t="shared" si="19"/>
        <v>7480</v>
      </c>
      <c r="AK21" s="179">
        <f t="shared" si="19"/>
        <v>8827</v>
      </c>
      <c r="AL21" s="179">
        <f t="shared" si="19"/>
        <v>10171</v>
      </c>
      <c r="AM21" s="179">
        <f t="shared" si="19"/>
        <v>11523</v>
      </c>
      <c r="AN21" s="179">
        <f t="shared" si="19"/>
        <v>12879</v>
      </c>
      <c r="AO21" s="179">
        <f t="shared" si="19"/>
        <v>14307</v>
      </c>
      <c r="AP21" s="179">
        <f t="shared" si="19"/>
        <v>15818</v>
      </c>
      <c r="AQ21" s="179">
        <f t="shared" si="19"/>
        <v>17494</v>
      </c>
    </row>
    <row r="22" spans="1:44" x14ac:dyDescent="0.2">
      <c r="A22" s="421" t="s">
        <v>825</v>
      </c>
      <c r="C22" s="179">
        <f>'Fuel-Depr-OtherTax'!C13</f>
        <v>0</v>
      </c>
      <c r="D22" s="179">
        <f>'Fuel-Depr-OtherTax'!D13</f>
        <v>0</v>
      </c>
      <c r="E22" s="179">
        <f>'Fuel-Depr-OtherTax'!E13</f>
        <v>0</v>
      </c>
      <c r="F22" s="179">
        <f>'Fuel-Depr-OtherTax'!F13</f>
        <v>0</v>
      </c>
      <c r="G22" s="179">
        <f>'Fuel-Depr-OtherTax'!G13</f>
        <v>0</v>
      </c>
      <c r="H22" s="179">
        <f>'Fuel-Depr-OtherTax'!H13</f>
        <v>0</v>
      </c>
      <c r="I22" s="179">
        <f>'Fuel-Depr-OtherTax'!I13</f>
        <v>0</v>
      </c>
      <c r="J22" s="179">
        <f>'Fuel-Depr-OtherTax'!J13</f>
        <v>0</v>
      </c>
      <c r="K22" s="179">
        <f>'Fuel-Depr-OtherTax'!K13</f>
        <v>0</v>
      </c>
      <c r="L22" s="179">
        <f>'Fuel-Depr-OtherTax'!L13</f>
        <v>0</v>
      </c>
      <c r="M22" s="179">
        <f>'Fuel-Depr-OtherTax'!M13</f>
        <v>0</v>
      </c>
      <c r="N22" s="179">
        <f>'Fuel-Depr-OtherTax'!N13</f>
        <v>0</v>
      </c>
      <c r="O22" s="179">
        <f t="shared" si="10"/>
        <v>0</v>
      </c>
      <c r="P22" s="180">
        <f t="shared" si="11"/>
        <v>0</v>
      </c>
      <c r="Q22" s="179">
        <f t="shared" si="12"/>
        <v>0</v>
      </c>
      <c r="R22" s="617"/>
      <c r="S22" s="171"/>
      <c r="T22" s="181" t="str">
        <f t="shared" si="8"/>
        <v xml:space="preserve">   Fuel Used in Operations</v>
      </c>
      <c r="V22" s="179">
        <f t="shared" si="13"/>
        <v>0</v>
      </c>
      <c r="W22" s="179">
        <f t="shared" si="14"/>
        <v>0</v>
      </c>
      <c r="X22" s="179">
        <f t="shared" si="15"/>
        <v>0</v>
      </c>
      <c r="Y22" s="179">
        <f t="shared" si="16"/>
        <v>0</v>
      </c>
      <c r="Z22" s="179"/>
      <c r="AA22" s="179">
        <f t="shared" si="17"/>
        <v>0</v>
      </c>
      <c r="AB22" s="171"/>
      <c r="AC22" s="171"/>
      <c r="AD22" s="165" t="str">
        <f t="shared" si="9"/>
        <v xml:space="preserve">   Fuel Used in Operations</v>
      </c>
      <c r="AF22" s="179">
        <f t="shared" si="18"/>
        <v>0</v>
      </c>
      <c r="AG22" s="179">
        <f t="shared" si="19"/>
        <v>0</v>
      </c>
      <c r="AH22" s="179">
        <f t="shared" si="19"/>
        <v>0</v>
      </c>
      <c r="AI22" s="179">
        <f t="shared" si="19"/>
        <v>0</v>
      </c>
      <c r="AJ22" s="179">
        <f t="shared" si="19"/>
        <v>0</v>
      </c>
      <c r="AK22" s="179">
        <f t="shared" si="19"/>
        <v>0</v>
      </c>
      <c r="AL22" s="179">
        <f t="shared" si="19"/>
        <v>0</v>
      </c>
      <c r="AM22" s="179">
        <f t="shared" si="19"/>
        <v>0</v>
      </c>
      <c r="AN22" s="179">
        <f t="shared" si="19"/>
        <v>0</v>
      </c>
      <c r="AO22" s="179">
        <f t="shared" si="19"/>
        <v>0</v>
      </c>
      <c r="AP22" s="179">
        <f t="shared" si="19"/>
        <v>0</v>
      </c>
      <c r="AQ22" s="179">
        <f t="shared" si="19"/>
        <v>0</v>
      </c>
    </row>
    <row r="23" spans="1:44" x14ac:dyDescent="0.2">
      <c r="A23" s="422" t="s">
        <v>826</v>
      </c>
      <c r="B23" s="689"/>
      <c r="C23" s="179">
        <f>'TC&amp;S'!C69</f>
        <v>2093</v>
      </c>
      <c r="D23" s="179">
        <f>'TC&amp;S'!D69</f>
        <v>1989</v>
      </c>
      <c r="E23" s="179">
        <f>'TC&amp;S'!E69</f>
        <v>2047</v>
      </c>
      <c r="F23" s="179">
        <f>'TC&amp;S'!F69</f>
        <v>1831</v>
      </c>
      <c r="G23" s="179">
        <f>'TC&amp;S'!G69</f>
        <v>1732</v>
      </c>
      <c r="H23" s="179">
        <f>'TC&amp;S'!H69</f>
        <v>1525</v>
      </c>
      <c r="I23" s="179">
        <f>'TC&amp;S'!I69</f>
        <v>1236</v>
      </c>
      <c r="J23" s="179">
        <f>'TC&amp;S'!J69</f>
        <v>1280</v>
      </c>
      <c r="K23" s="179">
        <f>'TC&amp;S'!K69</f>
        <v>1324</v>
      </c>
      <c r="L23" s="179">
        <f>'TC&amp;S'!L69</f>
        <v>1383</v>
      </c>
      <c r="M23" s="179">
        <f>'TC&amp;S'!M69</f>
        <v>1590</v>
      </c>
      <c r="N23" s="179">
        <f>'TC&amp;S'!N69</f>
        <v>1675</v>
      </c>
      <c r="O23" s="179">
        <f t="shared" si="10"/>
        <v>19705</v>
      </c>
      <c r="P23" s="180">
        <f t="shared" si="11"/>
        <v>4082</v>
      </c>
      <c r="Q23" s="179">
        <f t="shared" si="12"/>
        <v>15623</v>
      </c>
      <c r="R23" s="617"/>
      <c r="S23" s="171"/>
      <c r="T23" s="181" t="str">
        <f t="shared" si="8"/>
        <v xml:space="preserve">   Transmission, Compression &amp; Storage</v>
      </c>
      <c r="U23" s="689"/>
      <c r="V23" s="179">
        <f t="shared" si="13"/>
        <v>6129</v>
      </c>
      <c r="W23" s="179">
        <f t="shared" si="14"/>
        <v>5088</v>
      </c>
      <c r="X23" s="179">
        <f t="shared" si="15"/>
        <v>3840</v>
      </c>
      <c r="Y23" s="179">
        <f t="shared" si="16"/>
        <v>4648</v>
      </c>
      <c r="Z23" s="179"/>
      <c r="AA23" s="179">
        <f t="shared" si="17"/>
        <v>19705</v>
      </c>
      <c r="AB23" s="171"/>
      <c r="AC23" s="171"/>
      <c r="AD23" s="165" t="str">
        <f t="shared" si="9"/>
        <v xml:space="preserve">   Transmission, Compression &amp; Storage</v>
      </c>
      <c r="AF23" s="179">
        <f t="shared" si="18"/>
        <v>2093</v>
      </c>
      <c r="AG23" s="179">
        <f t="shared" si="19"/>
        <v>4082</v>
      </c>
      <c r="AH23" s="179">
        <f t="shared" si="19"/>
        <v>6129</v>
      </c>
      <c r="AI23" s="179">
        <f t="shared" si="19"/>
        <v>7960</v>
      </c>
      <c r="AJ23" s="179">
        <f t="shared" si="19"/>
        <v>9692</v>
      </c>
      <c r="AK23" s="179">
        <f t="shared" si="19"/>
        <v>11217</v>
      </c>
      <c r="AL23" s="179">
        <f t="shared" si="19"/>
        <v>12453</v>
      </c>
      <c r="AM23" s="179">
        <f t="shared" si="19"/>
        <v>13733</v>
      </c>
      <c r="AN23" s="179">
        <f t="shared" si="19"/>
        <v>15057</v>
      </c>
      <c r="AO23" s="179">
        <f t="shared" si="19"/>
        <v>16440</v>
      </c>
      <c r="AP23" s="179">
        <f t="shared" si="19"/>
        <v>18030</v>
      </c>
      <c r="AQ23" s="179">
        <f t="shared" si="19"/>
        <v>19705</v>
      </c>
    </row>
    <row r="24" spans="1:44" x14ac:dyDescent="0.2">
      <c r="A24" s="419" t="s">
        <v>827</v>
      </c>
      <c r="C24" s="179">
        <f>'Fuel-Depr-OtherTax'!C28</f>
        <v>4056</v>
      </c>
      <c r="D24" s="179">
        <f>'Fuel-Depr-OtherTax'!D28</f>
        <v>4056</v>
      </c>
      <c r="E24" s="179">
        <f>'Fuel-Depr-OtherTax'!E28</f>
        <v>4062</v>
      </c>
      <c r="F24" s="179">
        <f>'Fuel-Depr-OtherTax'!F28</f>
        <v>4109</v>
      </c>
      <c r="G24" s="179">
        <f>'Fuel-Depr-OtherTax'!G28</f>
        <v>4109</v>
      </c>
      <c r="H24" s="179">
        <f>'Fuel-Depr-OtherTax'!H28</f>
        <v>4112</v>
      </c>
      <c r="I24" s="179">
        <f>'Fuel-Depr-OtherTax'!I28</f>
        <v>4114</v>
      </c>
      <c r="J24" s="179">
        <f>'Fuel-Depr-OtherTax'!J28</f>
        <v>4133</v>
      </c>
      <c r="K24" s="179">
        <f>'Fuel-Depr-OtherTax'!K28</f>
        <v>4145</v>
      </c>
      <c r="L24" s="179">
        <f>'Fuel-Depr-OtherTax'!L28</f>
        <v>4240</v>
      </c>
      <c r="M24" s="179">
        <f>'Fuel-Depr-OtherTax'!M28</f>
        <v>4240</v>
      </c>
      <c r="N24" s="179">
        <f>'Fuel-Depr-OtherTax'!N28</f>
        <v>4239</v>
      </c>
      <c r="O24" s="179">
        <f t="shared" si="10"/>
        <v>49615</v>
      </c>
      <c r="P24" s="180">
        <f t="shared" si="11"/>
        <v>8112</v>
      </c>
      <c r="Q24" s="179">
        <f t="shared" si="12"/>
        <v>41503</v>
      </c>
      <c r="R24" s="617"/>
      <c r="S24" s="171"/>
      <c r="T24" s="181" t="str">
        <f t="shared" si="8"/>
        <v xml:space="preserve">   Depreciation &amp; Amortization</v>
      </c>
      <c r="V24" s="179">
        <f t="shared" si="13"/>
        <v>12174</v>
      </c>
      <c r="W24" s="179">
        <f t="shared" si="14"/>
        <v>12330</v>
      </c>
      <c r="X24" s="179">
        <f t="shared" si="15"/>
        <v>12392</v>
      </c>
      <c r="Y24" s="179">
        <f t="shared" si="16"/>
        <v>12719</v>
      </c>
      <c r="Z24" s="179"/>
      <c r="AA24" s="179">
        <f t="shared" si="17"/>
        <v>49615</v>
      </c>
      <c r="AB24" s="171"/>
      <c r="AC24" s="171"/>
      <c r="AD24" s="165" t="str">
        <f t="shared" si="9"/>
        <v xml:space="preserve">   Depreciation &amp; Amortization</v>
      </c>
      <c r="AE24" s="689"/>
      <c r="AF24" s="179">
        <f t="shared" si="18"/>
        <v>4056</v>
      </c>
      <c r="AG24" s="179">
        <f t="shared" si="19"/>
        <v>8112</v>
      </c>
      <c r="AH24" s="179">
        <f t="shared" si="19"/>
        <v>12174</v>
      </c>
      <c r="AI24" s="179">
        <f t="shared" si="19"/>
        <v>16283</v>
      </c>
      <c r="AJ24" s="179">
        <f t="shared" si="19"/>
        <v>20392</v>
      </c>
      <c r="AK24" s="179">
        <f t="shared" si="19"/>
        <v>24504</v>
      </c>
      <c r="AL24" s="179">
        <f t="shared" si="19"/>
        <v>28618</v>
      </c>
      <c r="AM24" s="179">
        <f t="shared" si="19"/>
        <v>32751</v>
      </c>
      <c r="AN24" s="179">
        <f t="shared" si="19"/>
        <v>36896</v>
      </c>
      <c r="AO24" s="179">
        <f t="shared" si="19"/>
        <v>41136</v>
      </c>
      <c r="AP24" s="179">
        <f t="shared" si="19"/>
        <v>45376</v>
      </c>
      <c r="AQ24" s="179">
        <f t="shared" si="19"/>
        <v>49615</v>
      </c>
    </row>
    <row r="25" spans="1:44" x14ac:dyDescent="0.2">
      <c r="A25" s="419" t="s">
        <v>828</v>
      </c>
      <c r="C25" s="182">
        <f>'Fuel-Depr-OtherTax'!C50</f>
        <v>2763</v>
      </c>
      <c r="D25" s="182">
        <f>'Fuel-Depr-OtherTax'!D50</f>
        <v>3070</v>
      </c>
      <c r="E25" s="182">
        <f>'Fuel-Depr-OtherTax'!E50</f>
        <v>2763</v>
      </c>
      <c r="F25" s="182">
        <f>'Fuel-Depr-OtherTax'!F50</f>
        <v>2763</v>
      </c>
      <c r="G25" s="182">
        <f>'Fuel-Depr-OtherTax'!G50</f>
        <v>2738</v>
      </c>
      <c r="H25" s="182">
        <f>'Fuel-Depr-OtherTax'!H50</f>
        <v>2738</v>
      </c>
      <c r="I25" s="182">
        <f>'Fuel-Depr-OtherTax'!I50</f>
        <v>2738</v>
      </c>
      <c r="J25" s="182">
        <f>'Fuel-Depr-OtherTax'!J50</f>
        <v>2737</v>
      </c>
      <c r="K25" s="182">
        <f>'Fuel-Depr-OtherTax'!K50</f>
        <v>2736</v>
      </c>
      <c r="L25" s="182">
        <f>'Fuel-Depr-OtherTax'!L50</f>
        <v>2736</v>
      </c>
      <c r="M25" s="182">
        <f>'Fuel-Depr-OtherTax'!M50</f>
        <v>2738</v>
      </c>
      <c r="N25" s="182">
        <f>'Fuel-Depr-OtherTax'!N50</f>
        <v>2738</v>
      </c>
      <c r="O25" s="182">
        <f t="shared" si="10"/>
        <v>33258</v>
      </c>
      <c r="P25" s="273">
        <f t="shared" si="11"/>
        <v>5833</v>
      </c>
      <c r="Q25" s="182">
        <f t="shared" si="12"/>
        <v>27425</v>
      </c>
      <c r="R25" s="618"/>
      <c r="S25" s="171"/>
      <c r="T25" s="181" t="str">
        <f t="shared" si="8"/>
        <v xml:space="preserve">   Taxes Other Than Income</v>
      </c>
      <c r="V25" s="182">
        <f t="shared" si="13"/>
        <v>8596</v>
      </c>
      <c r="W25" s="182">
        <f t="shared" si="14"/>
        <v>8239</v>
      </c>
      <c r="X25" s="182">
        <f t="shared" si="15"/>
        <v>8211</v>
      </c>
      <c r="Y25" s="182">
        <f t="shared" si="16"/>
        <v>8212</v>
      </c>
      <c r="Z25" s="182"/>
      <c r="AA25" s="182">
        <f t="shared" si="17"/>
        <v>33258</v>
      </c>
      <c r="AB25" s="171"/>
      <c r="AC25" s="171"/>
      <c r="AD25" s="165" t="str">
        <f t="shared" si="9"/>
        <v xml:space="preserve">   Taxes Other Than Income</v>
      </c>
      <c r="AF25" s="182">
        <f t="shared" si="18"/>
        <v>2763</v>
      </c>
      <c r="AG25" s="182">
        <f t="shared" si="19"/>
        <v>5833</v>
      </c>
      <c r="AH25" s="182">
        <f t="shared" si="19"/>
        <v>8596</v>
      </c>
      <c r="AI25" s="182">
        <f t="shared" si="19"/>
        <v>11359</v>
      </c>
      <c r="AJ25" s="182">
        <f t="shared" si="19"/>
        <v>14097</v>
      </c>
      <c r="AK25" s="182">
        <f t="shared" si="19"/>
        <v>16835</v>
      </c>
      <c r="AL25" s="182">
        <f t="shared" si="19"/>
        <v>19573</v>
      </c>
      <c r="AM25" s="182">
        <f t="shared" si="19"/>
        <v>22310</v>
      </c>
      <c r="AN25" s="182">
        <f t="shared" si="19"/>
        <v>25046</v>
      </c>
      <c r="AO25" s="182">
        <f t="shared" si="19"/>
        <v>27782</v>
      </c>
      <c r="AP25" s="182">
        <f t="shared" si="19"/>
        <v>30520</v>
      </c>
      <c r="AQ25" s="182">
        <f t="shared" si="19"/>
        <v>33258</v>
      </c>
    </row>
    <row r="26" spans="1:44" ht="3.95" customHeight="1" x14ac:dyDescent="0.2">
      <c r="A26" s="171"/>
      <c r="C26" s="179"/>
      <c r="D26" s="179"/>
      <c r="E26" s="179"/>
      <c r="F26" s="179"/>
      <c r="G26" s="179"/>
      <c r="H26" s="179"/>
      <c r="I26" s="179"/>
      <c r="J26" s="179"/>
      <c r="K26" s="179"/>
      <c r="L26" s="179"/>
      <c r="M26" s="179"/>
      <c r="N26" s="179"/>
      <c r="O26" s="179"/>
      <c r="P26" s="179"/>
      <c r="Q26" s="179"/>
      <c r="R26" s="180"/>
      <c r="S26" s="171"/>
      <c r="T26" s="181"/>
      <c r="V26" s="179"/>
      <c r="W26" s="179"/>
      <c r="X26" s="179"/>
      <c r="Y26" s="179"/>
      <c r="Z26" s="179"/>
      <c r="AA26" s="179"/>
      <c r="AB26" s="171"/>
      <c r="AC26" s="171"/>
      <c r="AD26" s="171"/>
      <c r="AF26" s="179"/>
      <c r="AG26" s="179"/>
      <c r="AH26" s="179"/>
      <c r="AI26" s="179"/>
      <c r="AJ26" s="179"/>
      <c r="AK26" s="179"/>
      <c r="AL26" s="179"/>
      <c r="AM26" s="179"/>
      <c r="AN26" s="179"/>
      <c r="AO26" s="179"/>
      <c r="AP26" s="179"/>
      <c r="AQ26" s="179"/>
    </row>
    <row r="27" spans="1:44" x14ac:dyDescent="0.2">
      <c r="A27" s="418" t="s">
        <v>829</v>
      </c>
      <c r="B27" s="694"/>
      <c r="C27" s="183">
        <f t="shared" ref="C27:Q27" si="20">SUM(C20:C25)</f>
        <v>24090</v>
      </c>
      <c r="D27" s="183">
        <f t="shared" si="20"/>
        <v>24253</v>
      </c>
      <c r="E27" s="183">
        <f t="shared" si="20"/>
        <v>23837</v>
      </c>
      <c r="F27" s="183">
        <f t="shared" si="20"/>
        <v>24037</v>
      </c>
      <c r="G27" s="183">
        <f t="shared" si="20"/>
        <v>23408</v>
      </c>
      <c r="H27" s="183">
        <f t="shared" si="20"/>
        <v>23439</v>
      </c>
      <c r="I27" s="183">
        <f t="shared" si="20"/>
        <v>25588</v>
      </c>
      <c r="J27" s="183">
        <f t="shared" si="20"/>
        <v>24258</v>
      </c>
      <c r="K27" s="183">
        <f t="shared" si="20"/>
        <v>24638</v>
      </c>
      <c r="L27" s="183">
        <f t="shared" si="20"/>
        <v>25397</v>
      </c>
      <c r="M27" s="183">
        <f t="shared" si="20"/>
        <v>24370</v>
      </c>
      <c r="N27" s="183">
        <f t="shared" si="20"/>
        <v>25007</v>
      </c>
      <c r="O27" s="183">
        <f t="shared" si="20"/>
        <v>292322</v>
      </c>
      <c r="P27" s="183">
        <f t="shared" si="20"/>
        <v>48343</v>
      </c>
      <c r="Q27" s="183">
        <f t="shared" si="20"/>
        <v>243979</v>
      </c>
      <c r="R27" s="426"/>
      <c r="S27" s="169"/>
      <c r="T27" s="177" t="str">
        <f>A27</f>
        <v xml:space="preserve">     Total Operating Expenses</v>
      </c>
      <c r="U27" s="671"/>
      <c r="V27" s="183">
        <f>SUM(V20:V25)</f>
        <v>72180</v>
      </c>
      <c r="W27" s="183">
        <f>SUM(W20:W25)</f>
        <v>70884</v>
      </c>
      <c r="X27" s="183">
        <f>SUM(X20:X25)</f>
        <v>74484</v>
      </c>
      <c r="Y27" s="183">
        <f>SUM(Y20:Y25)</f>
        <v>74774</v>
      </c>
      <c r="Z27" s="183"/>
      <c r="AA27" s="183">
        <f>SUM(AA20:AA25)</f>
        <v>292322</v>
      </c>
      <c r="AB27" s="169"/>
      <c r="AC27" s="169"/>
      <c r="AD27" s="166" t="str">
        <f>A27</f>
        <v xml:space="preserve">     Total Operating Expenses</v>
      </c>
      <c r="AF27" s="183">
        <f>C27</f>
        <v>24090</v>
      </c>
      <c r="AG27" s="183">
        <f t="shared" ref="AG27:AQ27" si="21">D27+AF27</f>
        <v>48343</v>
      </c>
      <c r="AH27" s="183">
        <f t="shared" si="21"/>
        <v>72180</v>
      </c>
      <c r="AI27" s="183">
        <f t="shared" si="21"/>
        <v>96217</v>
      </c>
      <c r="AJ27" s="183">
        <f t="shared" si="21"/>
        <v>119625</v>
      </c>
      <c r="AK27" s="183">
        <f t="shared" si="21"/>
        <v>143064</v>
      </c>
      <c r="AL27" s="183">
        <f t="shared" si="21"/>
        <v>168652</v>
      </c>
      <c r="AM27" s="183">
        <f t="shared" si="21"/>
        <v>192910</v>
      </c>
      <c r="AN27" s="183">
        <f t="shared" si="21"/>
        <v>217548</v>
      </c>
      <c r="AO27" s="183">
        <f t="shared" si="21"/>
        <v>242945</v>
      </c>
      <c r="AP27" s="183">
        <f t="shared" si="21"/>
        <v>267315</v>
      </c>
      <c r="AQ27" s="183">
        <f t="shared" si="21"/>
        <v>292322</v>
      </c>
    </row>
    <row r="28" spans="1:44" x14ac:dyDescent="0.2">
      <c r="A28" s="171"/>
      <c r="C28" s="179"/>
      <c r="D28" s="179"/>
      <c r="E28" s="179"/>
      <c r="F28" s="179"/>
      <c r="G28" s="179"/>
      <c r="H28" s="179"/>
      <c r="I28" s="179"/>
      <c r="J28" s="179"/>
      <c r="K28" s="179"/>
      <c r="L28" s="179"/>
      <c r="M28" s="179"/>
      <c r="N28" s="179"/>
      <c r="O28" s="179"/>
      <c r="P28" s="179"/>
      <c r="Q28" s="179"/>
      <c r="R28" s="180"/>
      <c r="S28" s="171"/>
      <c r="T28" s="171"/>
      <c r="V28" s="179"/>
      <c r="W28" s="179"/>
      <c r="X28" s="179"/>
      <c r="Y28" s="179"/>
      <c r="Z28" s="179"/>
      <c r="AA28" s="179"/>
      <c r="AB28" s="171"/>
      <c r="AC28" s="171"/>
      <c r="AD28" s="171"/>
      <c r="AF28" s="179"/>
      <c r="AG28" s="179"/>
      <c r="AH28" s="179"/>
      <c r="AI28" s="179"/>
      <c r="AJ28" s="179"/>
      <c r="AK28" s="179"/>
      <c r="AL28" s="179"/>
      <c r="AM28" s="179"/>
      <c r="AN28" s="179"/>
      <c r="AO28" s="179"/>
      <c r="AP28" s="179"/>
      <c r="AQ28" s="179"/>
    </row>
    <row r="29" spans="1:44" x14ac:dyDescent="0.2">
      <c r="A29" s="418" t="s">
        <v>830</v>
      </c>
      <c r="B29" s="671"/>
      <c r="C29" s="183">
        <f t="shared" ref="C29:Q29" si="22">C17-C27</f>
        <v>32039</v>
      </c>
      <c r="D29" s="183">
        <f t="shared" si="22"/>
        <v>30837</v>
      </c>
      <c r="E29" s="183">
        <f t="shared" si="22"/>
        <v>35120</v>
      </c>
      <c r="F29" s="183">
        <f t="shared" si="22"/>
        <v>-271</v>
      </c>
      <c r="G29" s="183">
        <f t="shared" si="22"/>
        <v>-645</v>
      </c>
      <c r="H29" s="183">
        <f t="shared" si="22"/>
        <v>4840</v>
      </c>
      <c r="I29" s="183">
        <f t="shared" si="22"/>
        <v>232</v>
      </c>
      <c r="J29" s="183">
        <f t="shared" si="22"/>
        <v>1150</v>
      </c>
      <c r="K29" s="183">
        <f t="shared" si="22"/>
        <v>953</v>
      </c>
      <c r="L29" s="183">
        <f t="shared" si="22"/>
        <v>-403</v>
      </c>
      <c r="M29" s="183">
        <f t="shared" si="22"/>
        <v>29477</v>
      </c>
      <c r="N29" s="183">
        <f t="shared" si="22"/>
        <v>30157</v>
      </c>
      <c r="O29" s="183">
        <f t="shared" si="22"/>
        <v>163486</v>
      </c>
      <c r="P29" s="183">
        <f t="shared" si="22"/>
        <v>62876</v>
      </c>
      <c r="Q29" s="183">
        <f t="shared" si="22"/>
        <v>100610</v>
      </c>
      <c r="R29" s="426"/>
      <c r="S29" s="169"/>
      <c r="T29" s="177" t="str">
        <f>A29</f>
        <v>OPERATING INCOME</v>
      </c>
      <c r="U29" s="671"/>
      <c r="V29" s="183">
        <f>V17-V27</f>
        <v>97996</v>
      </c>
      <c r="W29" s="183">
        <f>W17-W27</f>
        <v>3924</v>
      </c>
      <c r="X29" s="183">
        <f>X17-X27</f>
        <v>2335</v>
      </c>
      <c r="Y29" s="183">
        <f>Y17-Y27</f>
        <v>59231</v>
      </c>
      <c r="Z29" s="183"/>
      <c r="AA29" s="183">
        <f>AA17-AA27</f>
        <v>163486</v>
      </c>
      <c r="AB29" s="169"/>
      <c r="AC29" s="169"/>
      <c r="AD29" s="166" t="str">
        <f>A29</f>
        <v>OPERATING INCOME</v>
      </c>
      <c r="AF29" s="183">
        <f>C29</f>
        <v>32039</v>
      </c>
      <c r="AG29" s="183">
        <f t="shared" ref="AG29:AQ29" si="23">D29+AF29</f>
        <v>62876</v>
      </c>
      <c r="AH29" s="183">
        <f t="shared" si="23"/>
        <v>97996</v>
      </c>
      <c r="AI29" s="183">
        <f t="shared" si="23"/>
        <v>97725</v>
      </c>
      <c r="AJ29" s="183">
        <f t="shared" si="23"/>
        <v>97080</v>
      </c>
      <c r="AK29" s="183">
        <f t="shared" si="23"/>
        <v>101920</v>
      </c>
      <c r="AL29" s="183">
        <f t="shared" si="23"/>
        <v>102152</v>
      </c>
      <c r="AM29" s="183">
        <f t="shared" si="23"/>
        <v>103302</v>
      </c>
      <c r="AN29" s="183">
        <f t="shared" si="23"/>
        <v>104255</v>
      </c>
      <c r="AO29" s="183">
        <f t="shared" si="23"/>
        <v>103852</v>
      </c>
      <c r="AP29" s="183">
        <f t="shared" si="23"/>
        <v>133329</v>
      </c>
      <c r="AQ29" s="183">
        <f t="shared" si="23"/>
        <v>163486</v>
      </c>
      <c r="AR29" s="171"/>
    </row>
    <row r="30" spans="1:44" x14ac:dyDescent="0.2">
      <c r="A30" s="171"/>
      <c r="C30" s="179"/>
      <c r="D30" s="179"/>
      <c r="E30" s="179"/>
      <c r="F30" s="179"/>
      <c r="G30" s="179"/>
      <c r="H30" s="179"/>
      <c r="I30" s="179"/>
      <c r="J30" s="179"/>
      <c r="K30" s="179"/>
      <c r="L30" s="179"/>
      <c r="M30" s="179"/>
      <c r="N30" s="179"/>
      <c r="O30" s="179"/>
      <c r="P30" s="179"/>
      <c r="Q30" s="179"/>
      <c r="R30" s="180"/>
      <c r="S30" s="171"/>
      <c r="T30" s="171"/>
      <c r="V30" s="179"/>
      <c r="W30" s="179"/>
      <c r="X30" s="179"/>
      <c r="Y30" s="179"/>
      <c r="Z30" s="179"/>
      <c r="AA30" s="179"/>
      <c r="AB30" s="171"/>
      <c r="AC30" s="171"/>
      <c r="AD30" s="171"/>
      <c r="AF30" s="179"/>
      <c r="AG30" s="179"/>
      <c r="AH30" s="179"/>
      <c r="AI30" s="179"/>
      <c r="AJ30" s="179"/>
      <c r="AK30" s="179"/>
      <c r="AL30" s="179"/>
      <c r="AM30" s="179"/>
      <c r="AN30" s="179"/>
      <c r="AO30" s="179"/>
      <c r="AP30" s="179"/>
      <c r="AQ30" s="179"/>
    </row>
    <row r="31" spans="1:44" x14ac:dyDescent="0.2">
      <c r="A31" s="407" t="s">
        <v>831</v>
      </c>
      <c r="C31" s="179"/>
      <c r="D31" s="179"/>
      <c r="E31" s="179"/>
      <c r="F31" s="179"/>
      <c r="G31" s="179"/>
      <c r="H31" s="179"/>
      <c r="I31" s="179"/>
      <c r="J31" s="179"/>
      <c r="K31" s="179"/>
      <c r="L31" s="179"/>
      <c r="M31" s="179"/>
      <c r="N31" s="179"/>
      <c r="O31" s="180"/>
      <c r="P31" s="180"/>
      <c r="Q31" s="179"/>
      <c r="R31" s="180"/>
      <c r="S31" s="171"/>
      <c r="T31" s="177" t="str">
        <f>A31</f>
        <v>OTHER INCOME</v>
      </c>
      <c r="V31" s="179"/>
      <c r="W31" s="179"/>
      <c r="X31" s="179"/>
      <c r="Y31" s="179"/>
      <c r="Z31" s="179"/>
      <c r="AA31" s="179"/>
      <c r="AB31" s="171"/>
      <c r="AC31" s="171"/>
      <c r="AD31" s="166" t="str">
        <f>A31</f>
        <v>OTHER INCOME</v>
      </c>
      <c r="AF31" s="179"/>
      <c r="AG31" s="179"/>
      <c r="AH31" s="179"/>
      <c r="AI31" s="179"/>
      <c r="AJ31" s="179"/>
      <c r="AK31" s="179"/>
      <c r="AL31" s="179"/>
      <c r="AM31" s="179"/>
      <c r="AN31" s="179"/>
      <c r="AO31" s="179"/>
      <c r="AP31" s="179"/>
      <c r="AQ31" s="179"/>
      <c r="AR31" s="171"/>
    </row>
    <row r="32" spans="1:44" x14ac:dyDescent="0.2">
      <c r="A32" s="421" t="s">
        <v>832</v>
      </c>
      <c r="C32" s="179">
        <f>OtherInc!C12</f>
        <v>289</v>
      </c>
      <c r="D32" s="179">
        <f>OtherInc!D12</f>
        <v>287</v>
      </c>
      <c r="E32" s="179">
        <f>OtherInc!E12</f>
        <v>289</v>
      </c>
      <c r="F32" s="179">
        <f>OtherInc!F12</f>
        <v>287</v>
      </c>
      <c r="G32" s="179">
        <f>OtherInc!G12</f>
        <v>285</v>
      </c>
      <c r="H32" s="179">
        <f>OtherInc!H12</f>
        <v>846</v>
      </c>
      <c r="I32" s="179">
        <f>OtherInc!I12</f>
        <v>847</v>
      </c>
      <c r="J32" s="179">
        <f>OtherInc!J12</f>
        <v>711</v>
      </c>
      <c r="K32" s="179">
        <f>OtherInc!K12</f>
        <v>710</v>
      </c>
      <c r="L32" s="179">
        <f>OtherInc!L12</f>
        <v>681</v>
      </c>
      <c r="M32" s="179">
        <f>OtherInc!M12</f>
        <v>703</v>
      </c>
      <c r="N32" s="179">
        <f>OtherInc!N12</f>
        <v>704</v>
      </c>
      <c r="O32" s="179">
        <f>SUM(C32:N32)</f>
        <v>6639</v>
      </c>
      <c r="P32" s="180">
        <f>SUM(C32:D32)</f>
        <v>576</v>
      </c>
      <c r="Q32" s="179">
        <f>O32-P32</f>
        <v>6063</v>
      </c>
      <c r="R32" s="617"/>
      <c r="S32" s="171"/>
      <c r="T32" s="181" t="str">
        <f>A32</f>
        <v xml:space="preserve">   Partnership Income</v>
      </c>
      <c r="V32" s="179">
        <f>C32+D32+E32</f>
        <v>865</v>
      </c>
      <c r="W32" s="179">
        <f>F32+G32+H32</f>
        <v>1418</v>
      </c>
      <c r="X32" s="179">
        <f>I32+J32+K32</f>
        <v>2268</v>
      </c>
      <c r="Y32" s="179">
        <f>L32+M32+N32</f>
        <v>2088</v>
      </c>
      <c r="Z32" s="179"/>
      <c r="AA32" s="179">
        <f>SUM(V32:Y32)</f>
        <v>6639</v>
      </c>
      <c r="AB32" s="171"/>
      <c r="AC32" s="171"/>
      <c r="AD32" s="165" t="str">
        <f>A32</f>
        <v xml:space="preserve">   Partnership Income</v>
      </c>
      <c r="AF32" s="179">
        <f>C32</f>
        <v>289</v>
      </c>
      <c r="AG32" s="179">
        <f t="shared" ref="AG32:AQ34" si="24">D32+AF32</f>
        <v>576</v>
      </c>
      <c r="AH32" s="179">
        <f t="shared" si="24"/>
        <v>865</v>
      </c>
      <c r="AI32" s="179">
        <f t="shared" si="24"/>
        <v>1152</v>
      </c>
      <c r="AJ32" s="179">
        <f t="shared" si="24"/>
        <v>1437</v>
      </c>
      <c r="AK32" s="179">
        <f t="shared" si="24"/>
        <v>2283</v>
      </c>
      <c r="AL32" s="179">
        <f t="shared" si="24"/>
        <v>3130</v>
      </c>
      <c r="AM32" s="179">
        <f t="shared" si="24"/>
        <v>3841</v>
      </c>
      <c r="AN32" s="179">
        <f t="shared" si="24"/>
        <v>4551</v>
      </c>
      <c r="AO32" s="179">
        <f t="shared" si="24"/>
        <v>5232</v>
      </c>
      <c r="AP32" s="179">
        <f t="shared" si="24"/>
        <v>5935</v>
      </c>
      <c r="AQ32" s="179">
        <f t="shared" si="24"/>
        <v>6639</v>
      </c>
    </row>
    <row r="33" spans="1:44" x14ac:dyDescent="0.2">
      <c r="A33" s="421" t="s">
        <v>833</v>
      </c>
      <c r="C33" s="179">
        <f>OtherInc!C24</f>
        <v>36</v>
      </c>
      <c r="D33" s="179">
        <f>OtherInc!D24</f>
        <v>29</v>
      </c>
      <c r="E33" s="179">
        <f>OtherInc!E24</f>
        <v>31</v>
      </c>
      <c r="F33" s="179">
        <f>OtherInc!F24</f>
        <v>36</v>
      </c>
      <c r="G33" s="179">
        <f>OtherInc!G24</f>
        <v>31</v>
      </c>
      <c r="H33" s="179">
        <f>OtherInc!H24</f>
        <v>31</v>
      </c>
      <c r="I33" s="179">
        <f>OtherInc!I24</f>
        <v>36</v>
      </c>
      <c r="J33" s="179">
        <f>OtherInc!J24</f>
        <v>32</v>
      </c>
      <c r="K33" s="179">
        <f>OtherInc!K24</f>
        <v>31</v>
      </c>
      <c r="L33" s="179">
        <f>OtherInc!L24</f>
        <v>36</v>
      </c>
      <c r="M33" s="179">
        <f>OtherInc!M24</f>
        <v>32</v>
      </c>
      <c r="N33" s="179">
        <f>OtherInc!N24</f>
        <v>32</v>
      </c>
      <c r="O33" s="179">
        <f>SUM(C33:N33)</f>
        <v>393</v>
      </c>
      <c r="P33" s="180">
        <f>SUM(C33:D33)</f>
        <v>65</v>
      </c>
      <c r="Q33" s="179">
        <f>O33-P33</f>
        <v>328</v>
      </c>
      <c r="R33" s="617"/>
      <c r="T33" s="181" t="str">
        <f>A33</f>
        <v xml:space="preserve">   Interest Income</v>
      </c>
      <c r="V33" s="179">
        <f>C33+D33+E33</f>
        <v>96</v>
      </c>
      <c r="W33" s="179">
        <f>F33+G33+H33</f>
        <v>98</v>
      </c>
      <c r="X33" s="179">
        <f>I33+J33+K33</f>
        <v>99</v>
      </c>
      <c r="Y33" s="179">
        <f>L33+M33+N33</f>
        <v>100</v>
      </c>
      <c r="Z33" s="179"/>
      <c r="AA33" s="179">
        <f>SUM(V33:Y33)</f>
        <v>393</v>
      </c>
      <c r="AD33" s="165" t="str">
        <f>A33</f>
        <v xml:space="preserve">   Interest Income</v>
      </c>
      <c r="AF33" s="179">
        <f>C33</f>
        <v>36</v>
      </c>
      <c r="AG33" s="179">
        <f t="shared" si="24"/>
        <v>65</v>
      </c>
      <c r="AH33" s="179">
        <f t="shared" si="24"/>
        <v>96</v>
      </c>
      <c r="AI33" s="179">
        <f t="shared" si="24"/>
        <v>132</v>
      </c>
      <c r="AJ33" s="179">
        <f t="shared" si="24"/>
        <v>163</v>
      </c>
      <c r="AK33" s="179">
        <f t="shared" si="24"/>
        <v>194</v>
      </c>
      <c r="AL33" s="179">
        <f t="shared" si="24"/>
        <v>230</v>
      </c>
      <c r="AM33" s="179">
        <f t="shared" si="24"/>
        <v>262</v>
      </c>
      <c r="AN33" s="179">
        <f t="shared" si="24"/>
        <v>293</v>
      </c>
      <c r="AO33" s="179">
        <f t="shared" si="24"/>
        <v>329</v>
      </c>
      <c r="AP33" s="179">
        <f t="shared" si="24"/>
        <v>361</v>
      </c>
      <c r="AQ33" s="179">
        <f t="shared" si="24"/>
        <v>393</v>
      </c>
    </row>
    <row r="34" spans="1:44" x14ac:dyDescent="0.2">
      <c r="A34" s="421" t="s">
        <v>834</v>
      </c>
      <c r="C34" s="182">
        <f>OtherInc!C49-IntDeduct!C55</f>
        <v>135</v>
      </c>
      <c r="D34" s="182">
        <f>OtherInc!D49-IntDeduct!D55</f>
        <v>162</v>
      </c>
      <c r="E34" s="182">
        <f>OtherInc!E49-IntDeduct!E55</f>
        <v>181</v>
      </c>
      <c r="F34" s="182">
        <f>OtherInc!F49-IntDeduct!F55</f>
        <v>237</v>
      </c>
      <c r="G34" s="182">
        <f>OtherInc!G49-IntDeduct!G55</f>
        <v>474</v>
      </c>
      <c r="H34" s="182">
        <f>OtherInc!H49-IntDeduct!H55</f>
        <v>9094</v>
      </c>
      <c r="I34" s="182">
        <f>OtherInc!I49-IntDeduct!I55</f>
        <v>139</v>
      </c>
      <c r="J34" s="182">
        <f>OtherInc!J49-IntDeduct!J55</f>
        <v>289</v>
      </c>
      <c r="K34" s="182">
        <f>OtherInc!K49-IntDeduct!K55</f>
        <v>452</v>
      </c>
      <c r="L34" s="182">
        <f>OtherInc!L49-IntDeduct!L55</f>
        <v>526</v>
      </c>
      <c r="M34" s="182">
        <f>OtherInc!M49-IntDeduct!M55</f>
        <v>530</v>
      </c>
      <c r="N34" s="182">
        <f>OtherInc!N49-IntDeduct!N55</f>
        <v>6413</v>
      </c>
      <c r="O34" s="182">
        <f>SUM(C34:N34)</f>
        <v>18632</v>
      </c>
      <c r="P34" s="273">
        <f>SUM(C34:D34)</f>
        <v>297</v>
      </c>
      <c r="Q34" s="182">
        <f>O34-P34</f>
        <v>18335</v>
      </c>
      <c r="R34" s="618"/>
      <c r="S34" s="171"/>
      <c r="T34" s="181" t="str">
        <f>A34</f>
        <v xml:space="preserve">   Other Income / (Deductions)</v>
      </c>
      <c r="V34" s="182">
        <f>C34+D34+E34</f>
        <v>478</v>
      </c>
      <c r="W34" s="182">
        <f>F34+G34+H34</f>
        <v>9805</v>
      </c>
      <c r="X34" s="182">
        <f>I34+J34+K34</f>
        <v>880</v>
      </c>
      <c r="Y34" s="182">
        <f>L34+M34+N34</f>
        <v>7469</v>
      </c>
      <c r="Z34" s="182"/>
      <c r="AA34" s="182">
        <f>SUM(V34:Y34)</f>
        <v>18632</v>
      </c>
      <c r="AB34" s="171"/>
      <c r="AC34" s="171"/>
      <c r="AD34" s="165" t="str">
        <f>A34</f>
        <v xml:space="preserve">   Other Income / (Deductions)</v>
      </c>
      <c r="AF34" s="182">
        <f>C34</f>
        <v>135</v>
      </c>
      <c r="AG34" s="182">
        <f t="shared" si="24"/>
        <v>297</v>
      </c>
      <c r="AH34" s="182">
        <f t="shared" si="24"/>
        <v>478</v>
      </c>
      <c r="AI34" s="182">
        <f t="shared" si="24"/>
        <v>715</v>
      </c>
      <c r="AJ34" s="182">
        <f t="shared" si="24"/>
        <v>1189</v>
      </c>
      <c r="AK34" s="182">
        <f t="shared" si="24"/>
        <v>10283</v>
      </c>
      <c r="AL34" s="182">
        <f t="shared" si="24"/>
        <v>10422</v>
      </c>
      <c r="AM34" s="182">
        <f t="shared" si="24"/>
        <v>10711</v>
      </c>
      <c r="AN34" s="182">
        <f t="shared" si="24"/>
        <v>11163</v>
      </c>
      <c r="AO34" s="182">
        <f t="shared" si="24"/>
        <v>11689</v>
      </c>
      <c r="AP34" s="182">
        <f t="shared" si="24"/>
        <v>12219</v>
      </c>
      <c r="AQ34" s="182">
        <f t="shared" si="24"/>
        <v>18632</v>
      </c>
    </row>
    <row r="35" spans="1:44" ht="3.95" customHeight="1" x14ac:dyDescent="0.2">
      <c r="A35" s="409"/>
      <c r="C35" s="179"/>
      <c r="D35" s="179"/>
      <c r="E35" s="179"/>
      <c r="F35" s="179"/>
      <c r="G35" s="179"/>
      <c r="H35" s="179"/>
      <c r="I35" s="179"/>
      <c r="J35" s="179"/>
      <c r="K35" s="179"/>
      <c r="L35" s="179"/>
      <c r="M35" s="179"/>
      <c r="N35" s="179"/>
      <c r="O35" s="179"/>
      <c r="P35" s="179"/>
      <c r="Q35" s="179"/>
      <c r="R35" s="180"/>
      <c r="S35" s="171"/>
      <c r="V35" s="179"/>
      <c r="W35" s="179"/>
      <c r="X35" s="179"/>
      <c r="Y35" s="179"/>
      <c r="Z35" s="179"/>
      <c r="AA35" s="179"/>
      <c r="AB35" s="171"/>
      <c r="AC35" s="171"/>
      <c r="AD35" s="185"/>
      <c r="AF35" s="179"/>
      <c r="AG35" s="179"/>
      <c r="AH35" s="179"/>
      <c r="AI35" s="179"/>
      <c r="AJ35" s="179"/>
      <c r="AK35" s="179"/>
      <c r="AL35" s="179"/>
      <c r="AM35" s="179"/>
      <c r="AN35" s="179"/>
      <c r="AO35" s="179"/>
      <c r="AP35" s="179"/>
      <c r="AQ35" s="179"/>
    </row>
    <row r="36" spans="1:44" x14ac:dyDescent="0.2">
      <c r="A36" s="418" t="s">
        <v>835</v>
      </c>
      <c r="B36" s="671"/>
      <c r="C36" s="183">
        <f t="shared" ref="C36:Q36" si="25">SUM(C32:C34)</f>
        <v>460</v>
      </c>
      <c r="D36" s="183">
        <f t="shared" si="25"/>
        <v>478</v>
      </c>
      <c r="E36" s="183">
        <f t="shared" si="25"/>
        <v>501</v>
      </c>
      <c r="F36" s="183">
        <f t="shared" si="25"/>
        <v>560</v>
      </c>
      <c r="G36" s="183">
        <f t="shared" si="25"/>
        <v>790</v>
      </c>
      <c r="H36" s="183">
        <f t="shared" si="25"/>
        <v>9971</v>
      </c>
      <c r="I36" s="183">
        <f t="shared" si="25"/>
        <v>1022</v>
      </c>
      <c r="J36" s="183">
        <f t="shared" si="25"/>
        <v>1032</v>
      </c>
      <c r="K36" s="183">
        <f t="shared" si="25"/>
        <v>1193</v>
      </c>
      <c r="L36" s="183">
        <f t="shared" si="25"/>
        <v>1243</v>
      </c>
      <c r="M36" s="183">
        <f t="shared" si="25"/>
        <v>1265</v>
      </c>
      <c r="N36" s="183">
        <f t="shared" si="25"/>
        <v>7149</v>
      </c>
      <c r="O36" s="183">
        <f t="shared" si="25"/>
        <v>25664</v>
      </c>
      <c r="P36" s="183">
        <f t="shared" si="25"/>
        <v>938</v>
      </c>
      <c r="Q36" s="183">
        <f t="shared" si="25"/>
        <v>24726</v>
      </c>
      <c r="R36" s="426"/>
      <c r="S36" s="169"/>
      <c r="T36" s="177" t="str">
        <f>A36</f>
        <v xml:space="preserve">     Total Other Income &amp; Other Deductions</v>
      </c>
      <c r="U36" s="671"/>
      <c r="V36" s="183">
        <f>V32+V33+V34</f>
        <v>1439</v>
      </c>
      <c r="W36" s="183">
        <f>W32+W33+W34</f>
        <v>11321</v>
      </c>
      <c r="X36" s="183">
        <f>X32+X33+X34</f>
        <v>3247</v>
      </c>
      <c r="Y36" s="183">
        <f>Y32+Y33+Y34</f>
        <v>9657</v>
      </c>
      <c r="Z36" s="183"/>
      <c r="AA36" s="183">
        <f>AA32+AA33+AA34</f>
        <v>25664</v>
      </c>
      <c r="AB36" s="169"/>
      <c r="AC36" s="169"/>
      <c r="AD36" s="166" t="str">
        <f>A36</f>
        <v xml:space="preserve">     Total Other Income &amp; Other Deductions</v>
      </c>
      <c r="AF36" s="183">
        <f>C36</f>
        <v>460</v>
      </c>
      <c r="AG36" s="183">
        <f t="shared" ref="AG36:AQ36" si="26">D36+AF36</f>
        <v>938</v>
      </c>
      <c r="AH36" s="183">
        <f t="shared" si="26"/>
        <v>1439</v>
      </c>
      <c r="AI36" s="183">
        <f t="shared" si="26"/>
        <v>1999</v>
      </c>
      <c r="AJ36" s="183">
        <f t="shared" si="26"/>
        <v>2789</v>
      </c>
      <c r="AK36" s="183">
        <f t="shared" si="26"/>
        <v>12760</v>
      </c>
      <c r="AL36" s="183">
        <f t="shared" si="26"/>
        <v>13782</v>
      </c>
      <c r="AM36" s="183">
        <f t="shared" si="26"/>
        <v>14814</v>
      </c>
      <c r="AN36" s="183">
        <f t="shared" si="26"/>
        <v>16007</v>
      </c>
      <c r="AO36" s="183">
        <f t="shared" si="26"/>
        <v>17250</v>
      </c>
      <c r="AP36" s="183">
        <f t="shared" si="26"/>
        <v>18515</v>
      </c>
      <c r="AQ36" s="183">
        <f t="shared" si="26"/>
        <v>25664</v>
      </c>
    </row>
    <row r="37" spans="1:44" x14ac:dyDescent="0.2">
      <c r="A37" s="171"/>
      <c r="C37" s="179"/>
      <c r="D37" s="179"/>
      <c r="E37" s="179"/>
      <c r="F37" s="179"/>
      <c r="G37" s="179"/>
      <c r="H37" s="179"/>
      <c r="I37" s="179"/>
      <c r="J37" s="179"/>
      <c r="K37" s="179"/>
      <c r="L37" s="179"/>
      <c r="M37" s="179"/>
      <c r="N37" s="179"/>
      <c r="O37" s="179"/>
      <c r="P37" s="179"/>
      <c r="Q37" s="179"/>
      <c r="R37" s="180"/>
      <c r="S37" s="171"/>
      <c r="T37" s="171"/>
      <c r="V37" s="179"/>
      <c r="W37" s="179"/>
      <c r="X37" s="179"/>
      <c r="Y37" s="179"/>
      <c r="Z37" s="179"/>
      <c r="AA37" s="179"/>
      <c r="AB37" s="171"/>
      <c r="AC37" s="171"/>
      <c r="AD37" s="171"/>
      <c r="AF37" s="179"/>
      <c r="AG37" s="179"/>
      <c r="AH37" s="179"/>
      <c r="AI37" s="179"/>
      <c r="AJ37" s="179"/>
      <c r="AK37" s="179"/>
      <c r="AL37" s="179"/>
      <c r="AM37" s="179"/>
      <c r="AN37" s="179"/>
      <c r="AO37" s="179"/>
      <c r="AP37" s="179"/>
      <c r="AQ37" s="179"/>
    </row>
    <row r="38" spans="1:44" x14ac:dyDescent="0.2">
      <c r="A38" s="418" t="s">
        <v>391</v>
      </c>
      <c r="B38" s="692"/>
      <c r="C38" s="183">
        <f t="shared" ref="C38:Q38" si="27">C29+C36</f>
        <v>32499</v>
      </c>
      <c r="D38" s="183">
        <f t="shared" si="27"/>
        <v>31315</v>
      </c>
      <c r="E38" s="183">
        <f t="shared" si="27"/>
        <v>35621</v>
      </c>
      <c r="F38" s="183">
        <f t="shared" si="27"/>
        <v>289</v>
      </c>
      <c r="G38" s="183">
        <f t="shared" si="27"/>
        <v>145</v>
      </c>
      <c r="H38" s="183">
        <f t="shared" si="27"/>
        <v>14811</v>
      </c>
      <c r="I38" s="183">
        <f t="shared" si="27"/>
        <v>1254</v>
      </c>
      <c r="J38" s="183">
        <f t="shared" si="27"/>
        <v>2182</v>
      </c>
      <c r="K38" s="183">
        <f t="shared" si="27"/>
        <v>2146</v>
      </c>
      <c r="L38" s="183">
        <f t="shared" si="27"/>
        <v>840</v>
      </c>
      <c r="M38" s="183">
        <f t="shared" si="27"/>
        <v>30742</v>
      </c>
      <c r="N38" s="183">
        <f t="shared" si="27"/>
        <v>37306</v>
      </c>
      <c r="O38" s="183">
        <f t="shared" si="27"/>
        <v>189150</v>
      </c>
      <c r="P38" s="183">
        <f t="shared" si="27"/>
        <v>63814</v>
      </c>
      <c r="Q38" s="183">
        <f t="shared" si="27"/>
        <v>125336</v>
      </c>
      <c r="R38" s="426"/>
      <c r="S38" s="169"/>
      <c r="T38" s="177" t="str">
        <f>A38</f>
        <v>INCOME BEFORE INTEREST &amp; TAXES</v>
      </c>
      <c r="U38" s="692"/>
      <c r="V38" s="540">
        <f>C38+D38+E38</f>
        <v>99435</v>
      </c>
      <c r="W38" s="540">
        <f>F38+G38+H38</f>
        <v>15245</v>
      </c>
      <c r="X38" s="540">
        <f>I38+J38+K38</f>
        <v>5582</v>
      </c>
      <c r="Y38" s="540">
        <f>L38+M38+N38</f>
        <v>68888</v>
      </c>
      <c r="Z38" s="540"/>
      <c r="AA38" s="540">
        <f>SUM(V38:Y38)</f>
        <v>189150</v>
      </c>
      <c r="AB38" s="169"/>
      <c r="AC38" s="169"/>
      <c r="AD38" s="166" t="str">
        <f>A38</f>
        <v>INCOME BEFORE INTEREST &amp; TAXES</v>
      </c>
      <c r="AF38" s="183">
        <f>C38</f>
        <v>32499</v>
      </c>
      <c r="AG38" s="183">
        <f t="shared" ref="AG38:AQ38" si="28">D38+AF38</f>
        <v>63814</v>
      </c>
      <c r="AH38" s="183">
        <f t="shared" si="28"/>
        <v>99435</v>
      </c>
      <c r="AI38" s="183">
        <f t="shared" si="28"/>
        <v>99724</v>
      </c>
      <c r="AJ38" s="183">
        <f t="shared" si="28"/>
        <v>99869</v>
      </c>
      <c r="AK38" s="183">
        <f t="shared" si="28"/>
        <v>114680</v>
      </c>
      <c r="AL38" s="183">
        <f t="shared" si="28"/>
        <v>115934</v>
      </c>
      <c r="AM38" s="183">
        <f t="shared" si="28"/>
        <v>118116</v>
      </c>
      <c r="AN38" s="183">
        <f t="shared" si="28"/>
        <v>120262</v>
      </c>
      <c r="AO38" s="183">
        <f t="shared" si="28"/>
        <v>121102</v>
      </c>
      <c r="AP38" s="183">
        <f t="shared" si="28"/>
        <v>151844</v>
      </c>
      <c r="AQ38" s="183">
        <f t="shared" si="28"/>
        <v>189150</v>
      </c>
    </row>
    <row r="39" spans="1:44" x14ac:dyDescent="0.2">
      <c r="A39" s="171"/>
      <c r="C39" s="179"/>
      <c r="D39" s="179"/>
      <c r="E39" s="179"/>
      <c r="F39" s="179"/>
      <c r="G39" s="179"/>
      <c r="H39" s="179"/>
      <c r="I39" s="179"/>
      <c r="J39" s="179"/>
      <c r="K39" s="179"/>
      <c r="L39" s="179"/>
      <c r="M39" s="179"/>
      <c r="N39" s="179"/>
      <c r="O39" s="179"/>
      <c r="P39" s="179"/>
      <c r="Q39" s="179"/>
      <c r="R39" s="180"/>
      <c r="S39" s="171"/>
      <c r="T39" s="171"/>
      <c r="V39" s="179"/>
      <c r="W39" s="179"/>
      <c r="X39" s="179"/>
      <c r="Y39" s="179"/>
      <c r="Z39" s="179"/>
      <c r="AA39" s="179"/>
      <c r="AB39" s="171"/>
      <c r="AC39" s="171"/>
      <c r="AD39" s="171"/>
      <c r="AF39" s="179"/>
      <c r="AG39" s="179"/>
      <c r="AH39" s="179"/>
      <c r="AI39" s="179"/>
      <c r="AJ39" s="179"/>
      <c r="AK39" s="179"/>
      <c r="AL39" s="179"/>
      <c r="AM39" s="179"/>
      <c r="AN39" s="179"/>
      <c r="AO39" s="179"/>
      <c r="AP39" s="179"/>
      <c r="AQ39" s="179"/>
    </row>
    <row r="40" spans="1:44" x14ac:dyDescent="0.2">
      <c r="A40" s="418" t="s">
        <v>390</v>
      </c>
      <c r="C40" s="180"/>
      <c r="D40" s="180"/>
      <c r="E40" s="180"/>
      <c r="F40" s="180"/>
      <c r="G40" s="180"/>
      <c r="H40" s="180"/>
      <c r="I40" s="180"/>
      <c r="J40" s="180"/>
      <c r="K40" s="180"/>
      <c r="L40" s="180"/>
      <c r="M40" s="180"/>
      <c r="N40" s="180"/>
      <c r="O40" s="180"/>
      <c r="P40" s="180"/>
      <c r="Q40" s="179"/>
      <c r="R40" s="180"/>
      <c r="S40" s="171"/>
      <c r="T40" s="177" t="str">
        <f t="shared" ref="T40:T46" si="29">A40</f>
        <v xml:space="preserve">INTEREST AND OTHER </v>
      </c>
      <c r="V40" s="179"/>
      <c r="W40" s="186"/>
      <c r="X40" s="179"/>
      <c r="Y40" s="179"/>
      <c r="Z40" s="179"/>
      <c r="AA40" s="179"/>
      <c r="AB40" s="171"/>
      <c r="AC40" s="171"/>
      <c r="AD40" s="166" t="str">
        <f t="shared" ref="AD40:AD46" si="30">A40</f>
        <v xml:space="preserve">INTEREST AND OTHER </v>
      </c>
      <c r="AF40" s="179"/>
      <c r="AG40" s="179"/>
      <c r="AH40" s="179"/>
      <c r="AI40" s="179"/>
      <c r="AJ40" s="179"/>
      <c r="AK40" s="179"/>
      <c r="AL40" s="179"/>
      <c r="AM40" s="179"/>
      <c r="AN40" s="179"/>
      <c r="AO40" s="179"/>
      <c r="AP40" s="179"/>
      <c r="AQ40" s="179"/>
      <c r="AR40" s="171"/>
    </row>
    <row r="41" spans="1:44" x14ac:dyDescent="0.2">
      <c r="A41" s="419" t="s">
        <v>836</v>
      </c>
      <c r="C41" s="179">
        <f>IntDeduct!C21</f>
        <v>21</v>
      </c>
      <c r="D41" s="179">
        <f>IntDeduct!D21</f>
        <v>21</v>
      </c>
      <c r="E41" s="179">
        <f>IntDeduct!E21</f>
        <v>26</v>
      </c>
      <c r="F41" s="179">
        <f>IntDeduct!F21</f>
        <v>27</v>
      </c>
      <c r="G41" s="179">
        <f>IntDeduct!G21</f>
        <v>24</v>
      </c>
      <c r="H41" s="179">
        <f>IntDeduct!H21</f>
        <v>13</v>
      </c>
      <c r="I41" s="179">
        <f>IntDeduct!I21</f>
        <v>12</v>
      </c>
      <c r="J41" s="179">
        <f>IntDeduct!J21</f>
        <v>13</v>
      </c>
      <c r="K41" s="179">
        <f>IntDeduct!K21</f>
        <v>12</v>
      </c>
      <c r="L41" s="179">
        <f>IntDeduct!L21</f>
        <v>7</v>
      </c>
      <c r="M41" s="179">
        <f>IntDeduct!M21</f>
        <v>6</v>
      </c>
      <c r="N41" s="179">
        <f>IntDeduct!N21</f>
        <v>9</v>
      </c>
      <c r="O41" s="179">
        <f t="shared" ref="O41:O46" si="31">SUM(C41:N41)</f>
        <v>191</v>
      </c>
      <c r="P41" s="180">
        <f t="shared" ref="P41:P46" si="32">SUM(C41:D41)</f>
        <v>42</v>
      </c>
      <c r="Q41" s="179">
        <f t="shared" ref="Q41:Q46" si="33">O41-P41</f>
        <v>149</v>
      </c>
      <c r="R41" s="617"/>
      <c r="S41" s="171"/>
      <c r="T41" s="181" t="str">
        <f t="shared" si="29"/>
        <v xml:space="preserve">   Direct Interest</v>
      </c>
      <c r="V41" s="179">
        <f t="shared" ref="V41:V46" si="34">C41+D41+E41</f>
        <v>68</v>
      </c>
      <c r="W41" s="179">
        <f t="shared" ref="W41:W46" si="35">F41+G41+H41</f>
        <v>64</v>
      </c>
      <c r="X41" s="179">
        <f t="shared" ref="X41:X46" si="36">I41+J41+K41</f>
        <v>37</v>
      </c>
      <c r="Y41" s="179">
        <f t="shared" ref="Y41:Y46" si="37">L41+M41+N41</f>
        <v>22</v>
      </c>
      <c r="Z41" s="179"/>
      <c r="AA41" s="179">
        <f t="shared" ref="AA41:AA46" si="38">SUM(V41:Y41)</f>
        <v>191</v>
      </c>
      <c r="AB41" s="171"/>
      <c r="AC41" s="171"/>
      <c r="AD41" s="165" t="str">
        <f t="shared" si="30"/>
        <v xml:space="preserve">   Direct Interest</v>
      </c>
      <c r="AF41" s="179">
        <f t="shared" ref="AF41:AF46" si="39">C41</f>
        <v>21</v>
      </c>
      <c r="AG41" s="179">
        <f t="shared" ref="AG41:AQ45" si="40">D41+AF41</f>
        <v>42</v>
      </c>
      <c r="AH41" s="179">
        <f t="shared" si="40"/>
        <v>68</v>
      </c>
      <c r="AI41" s="179">
        <f t="shared" si="40"/>
        <v>95</v>
      </c>
      <c r="AJ41" s="179">
        <f t="shared" si="40"/>
        <v>119</v>
      </c>
      <c r="AK41" s="179">
        <f t="shared" si="40"/>
        <v>132</v>
      </c>
      <c r="AL41" s="179">
        <f t="shared" si="40"/>
        <v>144</v>
      </c>
      <c r="AM41" s="179">
        <f t="shared" si="40"/>
        <v>157</v>
      </c>
      <c r="AN41" s="179">
        <f t="shared" si="40"/>
        <v>169</v>
      </c>
      <c r="AO41" s="179">
        <f t="shared" si="40"/>
        <v>176</v>
      </c>
      <c r="AP41" s="179">
        <f t="shared" si="40"/>
        <v>182</v>
      </c>
      <c r="AQ41" s="179">
        <f t="shared" si="40"/>
        <v>191</v>
      </c>
    </row>
    <row r="42" spans="1:44" x14ac:dyDescent="0.2">
      <c r="A42" s="419" t="s">
        <v>385</v>
      </c>
      <c r="C42" s="179">
        <f>IntDeduct!C25+IntDeduct!C26</f>
        <v>2058</v>
      </c>
      <c r="D42" s="179">
        <f>IntDeduct!D25+IntDeduct!D26</f>
        <v>2058</v>
      </c>
      <c r="E42" s="179">
        <f>IntDeduct!E25+IntDeduct!E26</f>
        <v>2058</v>
      </c>
      <c r="F42" s="179">
        <f>IntDeduct!F25+IntDeduct!F26</f>
        <v>2058</v>
      </c>
      <c r="G42" s="179">
        <f>IntDeduct!G25+IntDeduct!G26</f>
        <v>2058</v>
      </c>
      <c r="H42" s="179">
        <f>IntDeduct!H25+IntDeduct!H26</f>
        <v>2058</v>
      </c>
      <c r="I42" s="179">
        <f>IntDeduct!I25+IntDeduct!I26</f>
        <v>2058</v>
      </c>
      <c r="J42" s="179">
        <f>IntDeduct!J25+IntDeduct!J26</f>
        <v>2058</v>
      </c>
      <c r="K42" s="179">
        <f>IntDeduct!K25+IntDeduct!K26</f>
        <v>2058</v>
      </c>
      <c r="L42" s="179">
        <f>IntDeduct!L25+IntDeduct!L26</f>
        <v>2058</v>
      </c>
      <c r="M42" s="179">
        <f>IntDeduct!M25+IntDeduct!M26</f>
        <v>2058</v>
      </c>
      <c r="N42" s="179">
        <f>IntDeduct!N25+IntDeduct!N26</f>
        <v>2059</v>
      </c>
      <c r="O42" s="179">
        <f t="shared" si="31"/>
        <v>24697</v>
      </c>
      <c r="P42" s="180">
        <f t="shared" si="32"/>
        <v>4116</v>
      </c>
      <c r="Q42" s="179">
        <f t="shared" si="33"/>
        <v>20581</v>
      </c>
      <c r="R42" s="617"/>
      <c r="S42" s="171"/>
      <c r="T42" s="181" t="str">
        <f>A42</f>
        <v xml:space="preserve">   Interest on New Long Term Debt (Pre 1/1/98)</v>
      </c>
      <c r="V42" s="179">
        <f t="shared" si="34"/>
        <v>6174</v>
      </c>
      <c r="W42" s="179">
        <f t="shared" si="35"/>
        <v>6174</v>
      </c>
      <c r="X42" s="179">
        <f t="shared" si="36"/>
        <v>6174</v>
      </c>
      <c r="Y42" s="179">
        <f t="shared" si="37"/>
        <v>6175</v>
      </c>
      <c r="Z42" s="179"/>
      <c r="AA42" s="179">
        <f t="shared" si="38"/>
        <v>24697</v>
      </c>
      <c r="AB42" s="171"/>
      <c r="AC42" s="171"/>
      <c r="AD42" s="165" t="str">
        <f>A42</f>
        <v xml:space="preserve">   Interest on New Long Term Debt (Pre 1/1/98)</v>
      </c>
      <c r="AF42" s="179">
        <f t="shared" si="39"/>
        <v>2058</v>
      </c>
      <c r="AG42" s="179">
        <f t="shared" ref="AG42:AQ42" si="41">D42+AF42</f>
        <v>4116</v>
      </c>
      <c r="AH42" s="179">
        <f t="shared" si="41"/>
        <v>6174</v>
      </c>
      <c r="AI42" s="179">
        <f t="shared" si="41"/>
        <v>8232</v>
      </c>
      <c r="AJ42" s="179">
        <f t="shared" si="41"/>
        <v>10290</v>
      </c>
      <c r="AK42" s="179">
        <f t="shared" si="41"/>
        <v>12348</v>
      </c>
      <c r="AL42" s="179">
        <f t="shared" si="41"/>
        <v>14406</v>
      </c>
      <c r="AM42" s="179">
        <f t="shared" si="41"/>
        <v>16464</v>
      </c>
      <c r="AN42" s="179">
        <f t="shared" si="41"/>
        <v>18522</v>
      </c>
      <c r="AO42" s="179">
        <f t="shared" si="41"/>
        <v>20580</v>
      </c>
      <c r="AP42" s="179">
        <f t="shared" si="41"/>
        <v>22638</v>
      </c>
      <c r="AQ42" s="179">
        <f t="shared" si="41"/>
        <v>24697</v>
      </c>
    </row>
    <row r="43" spans="1:44" x14ac:dyDescent="0.2">
      <c r="A43" s="419" t="s">
        <v>837</v>
      </c>
      <c r="C43" s="179">
        <f>IntDeduct!C27+IntDeduct!C28</f>
        <v>855</v>
      </c>
      <c r="D43" s="179">
        <f>IntDeduct!D27+IntDeduct!D28</f>
        <v>855</v>
      </c>
      <c r="E43" s="179">
        <f>IntDeduct!E27+IntDeduct!E28</f>
        <v>855</v>
      </c>
      <c r="F43" s="179">
        <f>IntDeduct!F27+IntDeduct!F28</f>
        <v>854</v>
      </c>
      <c r="G43" s="179">
        <f>IntDeduct!G27+IntDeduct!G28</f>
        <v>855</v>
      </c>
      <c r="H43" s="179">
        <f>IntDeduct!H27+IntDeduct!H28</f>
        <v>855</v>
      </c>
      <c r="I43" s="179">
        <f>IntDeduct!I27+IntDeduct!I28</f>
        <v>855</v>
      </c>
      <c r="J43" s="179">
        <f>IntDeduct!J27+IntDeduct!J28</f>
        <v>854</v>
      </c>
      <c r="K43" s="179">
        <f>IntDeduct!K27+IntDeduct!K28</f>
        <v>855</v>
      </c>
      <c r="L43" s="179">
        <f>IntDeduct!L27+IntDeduct!L28</f>
        <v>854</v>
      </c>
      <c r="M43" s="179">
        <f>IntDeduct!M27+IntDeduct!M28</f>
        <v>855</v>
      </c>
      <c r="N43" s="179">
        <f>IntDeduct!N27+IntDeduct!N28</f>
        <v>854</v>
      </c>
      <c r="O43" s="179">
        <f t="shared" si="31"/>
        <v>10256</v>
      </c>
      <c r="P43" s="180">
        <f t="shared" si="32"/>
        <v>1710</v>
      </c>
      <c r="Q43" s="179">
        <f t="shared" si="33"/>
        <v>8546</v>
      </c>
      <c r="R43" s="617"/>
      <c r="S43" s="171"/>
      <c r="T43" s="181" t="str">
        <f t="shared" si="29"/>
        <v xml:space="preserve">   Interest on New Long Term Debt (Post 1/1/98)</v>
      </c>
      <c r="V43" s="179">
        <f t="shared" si="34"/>
        <v>2565</v>
      </c>
      <c r="W43" s="179">
        <f t="shared" si="35"/>
        <v>2564</v>
      </c>
      <c r="X43" s="179">
        <f t="shared" si="36"/>
        <v>2564</v>
      </c>
      <c r="Y43" s="179">
        <f t="shared" si="37"/>
        <v>2563</v>
      </c>
      <c r="Z43" s="179"/>
      <c r="AA43" s="179">
        <f t="shared" si="38"/>
        <v>10256</v>
      </c>
      <c r="AB43" s="171"/>
      <c r="AC43" s="171"/>
      <c r="AD43" s="165" t="str">
        <f t="shared" si="30"/>
        <v xml:space="preserve">   Interest on New Long Term Debt (Post 1/1/98)</v>
      </c>
      <c r="AF43" s="179">
        <f t="shared" si="39"/>
        <v>855</v>
      </c>
      <c r="AG43" s="179">
        <f t="shared" si="40"/>
        <v>1710</v>
      </c>
      <c r="AH43" s="179">
        <f t="shared" si="40"/>
        <v>2565</v>
      </c>
      <c r="AI43" s="179">
        <f t="shared" si="40"/>
        <v>3419</v>
      </c>
      <c r="AJ43" s="179">
        <f t="shared" si="40"/>
        <v>4274</v>
      </c>
      <c r="AK43" s="179">
        <f t="shared" si="40"/>
        <v>5129</v>
      </c>
      <c r="AL43" s="179">
        <f t="shared" si="40"/>
        <v>5984</v>
      </c>
      <c r="AM43" s="179">
        <f t="shared" si="40"/>
        <v>6838</v>
      </c>
      <c r="AN43" s="179">
        <f t="shared" si="40"/>
        <v>7693</v>
      </c>
      <c r="AO43" s="179">
        <f t="shared" si="40"/>
        <v>8547</v>
      </c>
      <c r="AP43" s="179">
        <f t="shared" si="40"/>
        <v>9402</v>
      </c>
      <c r="AQ43" s="179">
        <f t="shared" si="40"/>
        <v>10256</v>
      </c>
    </row>
    <row r="44" spans="1:44" x14ac:dyDescent="0.2">
      <c r="A44" s="419" t="s">
        <v>838</v>
      </c>
      <c r="C44" s="179">
        <f>IntDeduct!C29</f>
        <v>0</v>
      </c>
      <c r="D44" s="179">
        <f>IntDeduct!D29</f>
        <v>0</v>
      </c>
      <c r="E44" s="179">
        <f>IntDeduct!E29</f>
        <v>0</v>
      </c>
      <c r="F44" s="179">
        <f>IntDeduct!F29</f>
        <v>0</v>
      </c>
      <c r="G44" s="179">
        <f>IntDeduct!G29</f>
        <v>0</v>
      </c>
      <c r="H44" s="179">
        <f>IntDeduct!H29</f>
        <v>0</v>
      </c>
      <c r="I44" s="179">
        <f>IntDeduct!I29</f>
        <v>0</v>
      </c>
      <c r="J44" s="179">
        <f>IntDeduct!J29</f>
        <v>0</v>
      </c>
      <c r="K44" s="179">
        <f>IntDeduct!K29</f>
        <v>0</v>
      </c>
      <c r="L44" s="179">
        <f>IntDeduct!L29</f>
        <v>0</v>
      </c>
      <c r="M44" s="179">
        <f>IntDeduct!M29</f>
        <v>0</v>
      </c>
      <c r="N44" s="179">
        <f>IntDeduct!N29</f>
        <v>0</v>
      </c>
      <c r="O44" s="179">
        <f t="shared" si="31"/>
        <v>0</v>
      </c>
      <c r="P44" s="180">
        <f t="shared" si="32"/>
        <v>0</v>
      </c>
      <c r="Q44" s="179">
        <f t="shared" si="33"/>
        <v>0</v>
      </c>
      <c r="R44" s="617"/>
      <c r="S44" s="171"/>
      <c r="T44" s="181" t="str">
        <f t="shared" si="29"/>
        <v xml:space="preserve">   Intercompany Interest Differential</v>
      </c>
      <c r="V44" s="179">
        <f t="shared" si="34"/>
        <v>0</v>
      </c>
      <c r="W44" s="179">
        <f t="shared" si="35"/>
        <v>0</v>
      </c>
      <c r="X44" s="179">
        <f t="shared" si="36"/>
        <v>0</v>
      </c>
      <c r="Y44" s="179">
        <f t="shared" si="37"/>
        <v>0</v>
      </c>
      <c r="Z44" s="179"/>
      <c r="AA44" s="179">
        <f t="shared" si="38"/>
        <v>0</v>
      </c>
      <c r="AB44" s="171"/>
      <c r="AC44" s="171"/>
      <c r="AD44" s="165" t="str">
        <f t="shared" si="30"/>
        <v xml:space="preserve">   Intercompany Interest Differential</v>
      </c>
      <c r="AF44" s="179">
        <f t="shared" si="39"/>
        <v>0</v>
      </c>
      <c r="AG44" s="179">
        <f t="shared" si="40"/>
        <v>0</v>
      </c>
      <c r="AH44" s="179">
        <f t="shared" si="40"/>
        <v>0</v>
      </c>
      <c r="AI44" s="179">
        <f t="shared" si="40"/>
        <v>0</v>
      </c>
      <c r="AJ44" s="179">
        <f t="shared" si="40"/>
        <v>0</v>
      </c>
      <c r="AK44" s="179">
        <f t="shared" si="40"/>
        <v>0</v>
      </c>
      <c r="AL44" s="179">
        <f t="shared" si="40"/>
        <v>0</v>
      </c>
      <c r="AM44" s="179">
        <f t="shared" si="40"/>
        <v>0</v>
      </c>
      <c r="AN44" s="179">
        <f t="shared" si="40"/>
        <v>0</v>
      </c>
      <c r="AO44" s="179">
        <f t="shared" si="40"/>
        <v>0</v>
      </c>
      <c r="AP44" s="179">
        <f t="shared" si="40"/>
        <v>0</v>
      </c>
      <c r="AQ44" s="179">
        <f t="shared" si="40"/>
        <v>0</v>
      </c>
    </row>
    <row r="45" spans="1:44" x14ac:dyDescent="0.2">
      <c r="A45" s="419" t="s">
        <v>839</v>
      </c>
      <c r="C45" s="179">
        <f>IntDeduct!C24+IntDeduct!C30</f>
        <v>-1000</v>
      </c>
      <c r="D45" s="179">
        <f>IntDeduct!D24+IntDeduct!D30</f>
        <v>-1000</v>
      </c>
      <c r="E45" s="179">
        <f>IntDeduct!E24+IntDeduct!E30</f>
        <v>-1100</v>
      </c>
      <c r="F45" s="179">
        <f>IntDeduct!F24+IntDeduct!F30</f>
        <v>-1100</v>
      </c>
      <c r="G45" s="179">
        <f>IntDeduct!G24+IntDeduct!G30</f>
        <v>-1200</v>
      </c>
      <c r="H45" s="179">
        <f>IntDeduct!H24+IntDeduct!H30</f>
        <v>-1100</v>
      </c>
      <c r="I45" s="179">
        <f>IntDeduct!I24+IntDeduct!I30</f>
        <v>-1100</v>
      </c>
      <c r="J45" s="179">
        <f>IntDeduct!J24+IntDeduct!J30</f>
        <v>-1100</v>
      </c>
      <c r="K45" s="179">
        <f>IntDeduct!K24+IntDeduct!K30</f>
        <v>-1000</v>
      </c>
      <c r="L45" s="179">
        <f>IntDeduct!L24+IntDeduct!L30</f>
        <v>-1000</v>
      </c>
      <c r="M45" s="179">
        <f>IntDeduct!M24+IntDeduct!M30</f>
        <v>-900</v>
      </c>
      <c r="N45" s="179">
        <f>IntDeduct!N24+IntDeduct!N30</f>
        <v>-900</v>
      </c>
      <c r="O45" s="179">
        <f t="shared" si="31"/>
        <v>-12500</v>
      </c>
      <c r="P45" s="180">
        <f t="shared" si="32"/>
        <v>-2000</v>
      </c>
      <c r="Q45" s="179">
        <f t="shared" si="33"/>
        <v>-10500</v>
      </c>
      <c r="R45" s="617"/>
      <c r="S45" s="171"/>
      <c r="T45" s="181" t="str">
        <f t="shared" si="29"/>
        <v xml:space="preserve">   Intercompany Interest Expense / (Income)</v>
      </c>
      <c r="V45" s="179">
        <f t="shared" si="34"/>
        <v>-3100</v>
      </c>
      <c r="W45" s="179">
        <f t="shared" si="35"/>
        <v>-3400</v>
      </c>
      <c r="X45" s="179">
        <f t="shared" si="36"/>
        <v>-3200</v>
      </c>
      <c r="Y45" s="179">
        <f t="shared" si="37"/>
        <v>-2800</v>
      </c>
      <c r="Z45" s="179"/>
      <c r="AA45" s="179">
        <f t="shared" si="38"/>
        <v>-12500</v>
      </c>
      <c r="AB45" s="171"/>
      <c r="AC45" s="171"/>
      <c r="AD45" s="165" t="str">
        <f t="shared" si="30"/>
        <v xml:space="preserve">   Intercompany Interest Expense / (Income)</v>
      </c>
      <c r="AF45" s="179">
        <f t="shared" si="39"/>
        <v>-1000</v>
      </c>
      <c r="AG45" s="179">
        <f t="shared" si="40"/>
        <v>-2000</v>
      </c>
      <c r="AH45" s="179">
        <f t="shared" si="40"/>
        <v>-3100</v>
      </c>
      <c r="AI45" s="179">
        <f t="shared" si="40"/>
        <v>-4200</v>
      </c>
      <c r="AJ45" s="179">
        <f t="shared" si="40"/>
        <v>-5400</v>
      </c>
      <c r="AK45" s="179">
        <f t="shared" si="40"/>
        <v>-6500</v>
      </c>
      <c r="AL45" s="179">
        <f t="shared" si="40"/>
        <v>-7600</v>
      </c>
      <c r="AM45" s="179">
        <f t="shared" si="40"/>
        <v>-8700</v>
      </c>
      <c r="AN45" s="179">
        <f t="shared" si="40"/>
        <v>-9700</v>
      </c>
      <c r="AO45" s="179">
        <f t="shared" si="40"/>
        <v>-10700</v>
      </c>
      <c r="AP45" s="179">
        <f t="shared" si="40"/>
        <v>-11600</v>
      </c>
      <c r="AQ45" s="179">
        <f t="shared" si="40"/>
        <v>-12500</v>
      </c>
    </row>
    <row r="46" spans="1:44" ht="12.75" customHeight="1" x14ac:dyDescent="0.2">
      <c r="A46" s="178" t="s">
        <v>840</v>
      </c>
      <c r="C46" s="182">
        <f>IntDeduct!C39</f>
        <v>-10</v>
      </c>
      <c r="D46" s="182">
        <f>IntDeduct!D39</f>
        <v>-4</v>
      </c>
      <c r="E46" s="182">
        <f>IntDeduct!E39</f>
        <v>-12</v>
      </c>
      <c r="F46" s="182">
        <f>IntDeduct!F39</f>
        <v>-28</v>
      </c>
      <c r="G46" s="182">
        <f>IntDeduct!G39</f>
        <v>-50</v>
      </c>
      <c r="H46" s="182">
        <f>IntDeduct!H39</f>
        <v>-68</v>
      </c>
      <c r="I46" s="182">
        <f>IntDeduct!I39</f>
        <v>-2</v>
      </c>
      <c r="J46" s="182">
        <f>IntDeduct!J39</f>
        <v>-26</v>
      </c>
      <c r="K46" s="182">
        <f>IntDeduct!K39</f>
        <v>-48</v>
      </c>
      <c r="L46" s="182">
        <f>IntDeduct!L39</f>
        <v>-69</v>
      </c>
      <c r="M46" s="182">
        <f>IntDeduct!M39</f>
        <v>-53</v>
      </c>
      <c r="N46" s="182">
        <f>IntDeduct!N39</f>
        <v>-51</v>
      </c>
      <c r="O46" s="182">
        <f t="shared" si="31"/>
        <v>-421</v>
      </c>
      <c r="P46" s="273">
        <f t="shared" si="32"/>
        <v>-14</v>
      </c>
      <c r="Q46" s="182">
        <f t="shared" si="33"/>
        <v>-407</v>
      </c>
      <c r="R46" s="618"/>
      <c r="S46" s="171"/>
      <c r="T46" s="181" t="str">
        <f t="shared" si="29"/>
        <v xml:space="preserve">   AFUDC</v>
      </c>
      <c r="V46" s="182">
        <f t="shared" si="34"/>
        <v>-26</v>
      </c>
      <c r="W46" s="182">
        <f t="shared" si="35"/>
        <v>-146</v>
      </c>
      <c r="X46" s="182">
        <f t="shared" si="36"/>
        <v>-76</v>
      </c>
      <c r="Y46" s="182">
        <f t="shared" si="37"/>
        <v>-173</v>
      </c>
      <c r="Z46" s="182"/>
      <c r="AA46" s="182">
        <f t="shared" si="38"/>
        <v>-421</v>
      </c>
      <c r="AB46" s="171"/>
      <c r="AC46" s="171"/>
      <c r="AD46" s="165" t="str">
        <f t="shared" si="30"/>
        <v xml:space="preserve">   AFUDC</v>
      </c>
      <c r="AF46" s="182">
        <f t="shared" si="39"/>
        <v>-10</v>
      </c>
      <c r="AG46" s="182">
        <f t="shared" ref="AG46:AQ46" si="42">D46+AF46</f>
        <v>-14</v>
      </c>
      <c r="AH46" s="182">
        <f t="shared" si="42"/>
        <v>-26</v>
      </c>
      <c r="AI46" s="182">
        <f t="shared" si="42"/>
        <v>-54</v>
      </c>
      <c r="AJ46" s="182">
        <f t="shared" si="42"/>
        <v>-104</v>
      </c>
      <c r="AK46" s="182">
        <f t="shared" si="42"/>
        <v>-172</v>
      </c>
      <c r="AL46" s="182">
        <f t="shared" si="42"/>
        <v>-174</v>
      </c>
      <c r="AM46" s="182">
        <f t="shared" si="42"/>
        <v>-200</v>
      </c>
      <c r="AN46" s="182">
        <f t="shared" si="42"/>
        <v>-248</v>
      </c>
      <c r="AO46" s="182">
        <f t="shared" si="42"/>
        <v>-317</v>
      </c>
      <c r="AP46" s="182">
        <f t="shared" si="42"/>
        <v>-370</v>
      </c>
      <c r="AQ46" s="182">
        <f t="shared" si="42"/>
        <v>-421</v>
      </c>
    </row>
    <row r="47" spans="1:44" ht="3.95" customHeight="1" x14ac:dyDescent="0.2">
      <c r="A47" s="171"/>
      <c r="C47" s="179"/>
      <c r="D47" s="179"/>
      <c r="E47" s="179"/>
      <c r="F47" s="179"/>
      <c r="G47" s="179"/>
      <c r="H47" s="179"/>
      <c r="I47" s="179"/>
      <c r="J47" s="179"/>
      <c r="K47" s="179"/>
      <c r="L47" s="179"/>
      <c r="M47" s="179"/>
      <c r="N47" s="179"/>
      <c r="O47" s="179"/>
      <c r="P47" s="179"/>
      <c r="Q47" s="179"/>
      <c r="R47" s="180"/>
      <c r="S47" s="171"/>
      <c r="T47" s="171"/>
      <c r="V47" s="179"/>
      <c r="W47" s="179"/>
      <c r="X47" s="179"/>
      <c r="Y47" s="179"/>
      <c r="Z47" s="179"/>
      <c r="AA47" s="179"/>
      <c r="AB47" s="171"/>
      <c r="AC47" s="171"/>
      <c r="AD47" s="171"/>
      <c r="AF47" s="179"/>
      <c r="AG47" s="179"/>
      <c r="AH47" s="179"/>
      <c r="AI47" s="179"/>
      <c r="AJ47" s="179"/>
      <c r="AK47" s="179"/>
      <c r="AL47" s="179"/>
      <c r="AM47" s="179"/>
      <c r="AN47" s="179"/>
      <c r="AO47" s="179"/>
      <c r="AP47" s="179"/>
      <c r="AQ47" s="179"/>
    </row>
    <row r="48" spans="1:44" ht="12.75" customHeight="1" x14ac:dyDescent="0.2">
      <c r="A48" s="423" t="s">
        <v>393</v>
      </c>
      <c r="B48" s="692"/>
      <c r="C48" s="183">
        <f t="shared" ref="C48:Q48" si="43">SUM(C41:C46)</f>
        <v>1924</v>
      </c>
      <c r="D48" s="183">
        <f t="shared" si="43"/>
        <v>1930</v>
      </c>
      <c r="E48" s="183">
        <f t="shared" si="43"/>
        <v>1827</v>
      </c>
      <c r="F48" s="183">
        <f t="shared" si="43"/>
        <v>1811</v>
      </c>
      <c r="G48" s="183">
        <f t="shared" si="43"/>
        <v>1687</v>
      </c>
      <c r="H48" s="183">
        <f t="shared" si="43"/>
        <v>1758</v>
      </c>
      <c r="I48" s="183">
        <f t="shared" si="43"/>
        <v>1823</v>
      </c>
      <c r="J48" s="183">
        <f t="shared" si="43"/>
        <v>1799</v>
      </c>
      <c r="K48" s="183">
        <f t="shared" si="43"/>
        <v>1877</v>
      </c>
      <c r="L48" s="183">
        <f t="shared" si="43"/>
        <v>1850</v>
      </c>
      <c r="M48" s="183">
        <f t="shared" si="43"/>
        <v>1966</v>
      </c>
      <c r="N48" s="183">
        <f t="shared" si="43"/>
        <v>1971</v>
      </c>
      <c r="O48" s="183">
        <f t="shared" si="43"/>
        <v>22223</v>
      </c>
      <c r="P48" s="183">
        <f t="shared" si="43"/>
        <v>3854</v>
      </c>
      <c r="Q48" s="183">
        <f t="shared" si="43"/>
        <v>18369</v>
      </c>
      <c r="R48" s="426"/>
      <c r="S48" s="169"/>
      <c r="T48" s="177" t="str">
        <f>A48</f>
        <v xml:space="preserve">     Total Interest and Other</v>
      </c>
      <c r="U48" s="692"/>
      <c r="V48" s="183">
        <f>SUM(V41:V46)</f>
        <v>5681</v>
      </c>
      <c r="W48" s="183">
        <f>SUM(W41:W46)</f>
        <v>5256</v>
      </c>
      <c r="X48" s="183">
        <f>SUM(X41:X46)</f>
        <v>5499</v>
      </c>
      <c r="Y48" s="183">
        <f>SUM(Y41:Y46)</f>
        <v>5787</v>
      </c>
      <c r="Z48" s="183"/>
      <c r="AA48" s="183">
        <f>SUM(AA41:AA46)</f>
        <v>22223</v>
      </c>
      <c r="AB48" s="169"/>
      <c r="AC48" s="169"/>
      <c r="AD48" s="166" t="str">
        <f>A48</f>
        <v xml:space="preserve">     Total Interest and Other</v>
      </c>
      <c r="AF48" s="183">
        <f>C48</f>
        <v>1924</v>
      </c>
      <c r="AG48" s="183">
        <f t="shared" ref="AG48:AQ48" si="44">D48+AF48</f>
        <v>3854</v>
      </c>
      <c r="AH48" s="183">
        <f t="shared" si="44"/>
        <v>5681</v>
      </c>
      <c r="AI48" s="183">
        <f t="shared" si="44"/>
        <v>7492</v>
      </c>
      <c r="AJ48" s="183">
        <f t="shared" si="44"/>
        <v>9179</v>
      </c>
      <c r="AK48" s="183">
        <f t="shared" si="44"/>
        <v>10937</v>
      </c>
      <c r="AL48" s="183">
        <f t="shared" si="44"/>
        <v>12760</v>
      </c>
      <c r="AM48" s="183">
        <f t="shared" si="44"/>
        <v>14559</v>
      </c>
      <c r="AN48" s="183">
        <f t="shared" si="44"/>
        <v>16436</v>
      </c>
      <c r="AO48" s="183">
        <f t="shared" si="44"/>
        <v>18286</v>
      </c>
      <c r="AP48" s="183">
        <f t="shared" si="44"/>
        <v>20252</v>
      </c>
      <c r="AQ48" s="183">
        <f t="shared" si="44"/>
        <v>22223</v>
      </c>
    </row>
    <row r="49" spans="1:44" x14ac:dyDescent="0.2">
      <c r="A49" s="409"/>
      <c r="C49" s="179"/>
      <c r="D49" s="179"/>
      <c r="E49" s="179"/>
      <c r="F49" s="179"/>
      <c r="G49" s="179"/>
      <c r="H49" s="186"/>
      <c r="I49" s="179"/>
      <c r="J49" s="179"/>
      <c r="K49" s="179"/>
      <c r="L49" s="179"/>
      <c r="M49" s="179"/>
      <c r="N49" s="179"/>
      <c r="O49" s="179"/>
      <c r="P49" s="179"/>
      <c r="Q49" s="179"/>
      <c r="R49" s="180"/>
      <c r="V49" s="179"/>
      <c r="W49" s="179"/>
      <c r="X49" s="179"/>
      <c r="Y49" s="179"/>
      <c r="Z49" s="179"/>
      <c r="AA49" s="179"/>
      <c r="AD49" s="168"/>
      <c r="AE49" s="689"/>
    </row>
    <row r="50" spans="1:44" x14ac:dyDescent="0.2">
      <c r="A50" s="408" t="s">
        <v>841</v>
      </c>
      <c r="B50" s="671"/>
      <c r="C50" s="183">
        <f t="shared" ref="C50:Q50" si="45">C29+C36-C48</f>
        <v>30575</v>
      </c>
      <c r="D50" s="183">
        <f t="shared" si="45"/>
        <v>29385</v>
      </c>
      <c r="E50" s="183">
        <f t="shared" si="45"/>
        <v>33794</v>
      </c>
      <c r="F50" s="183">
        <f t="shared" si="45"/>
        <v>-1522</v>
      </c>
      <c r="G50" s="183">
        <f t="shared" si="45"/>
        <v>-1542</v>
      </c>
      <c r="H50" s="183">
        <f t="shared" si="45"/>
        <v>13053</v>
      </c>
      <c r="I50" s="183">
        <f t="shared" si="45"/>
        <v>-569</v>
      </c>
      <c r="J50" s="183">
        <f t="shared" si="45"/>
        <v>383</v>
      </c>
      <c r="K50" s="183">
        <f t="shared" si="45"/>
        <v>269</v>
      </c>
      <c r="L50" s="183">
        <f t="shared" si="45"/>
        <v>-1010</v>
      </c>
      <c r="M50" s="183">
        <f t="shared" si="45"/>
        <v>28776</v>
      </c>
      <c r="N50" s="183">
        <f t="shared" si="45"/>
        <v>35335</v>
      </c>
      <c r="O50" s="183">
        <f t="shared" si="45"/>
        <v>166927</v>
      </c>
      <c r="P50" s="183">
        <f t="shared" si="45"/>
        <v>59960</v>
      </c>
      <c r="Q50" s="183">
        <f t="shared" si="45"/>
        <v>106967</v>
      </c>
      <c r="R50" s="426"/>
      <c r="S50" s="169"/>
      <c r="T50" s="177" t="str">
        <f>A50</f>
        <v>INCOME BEFORE INCOME TAXES</v>
      </c>
      <c r="U50" s="671"/>
      <c r="V50" s="183">
        <f>V29+V36-V48</f>
        <v>93754</v>
      </c>
      <c r="W50" s="183">
        <f>W29+W36-W48</f>
        <v>9989</v>
      </c>
      <c r="X50" s="183">
        <f>X29+X36-X48</f>
        <v>83</v>
      </c>
      <c r="Y50" s="183">
        <f>Y29+Y36-Y48</f>
        <v>63101</v>
      </c>
      <c r="Z50" s="183"/>
      <c r="AA50" s="183">
        <f>AA29+AA36-AA48</f>
        <v>166927</v>
      </c>
      <c r="AB50" s="169"/>
      <c r="AC50" s="171"/>
      <c r="AD50" s="166" t="str">
        <f>A50</f>
        <v>INCOME BEFORE INCOME TAXES</v>
      </c>
      <c r="AF50" s="183">
        <f>C50</f>
        <v>30575</v>
      </c>
      <c r="AG50" s="183">
        <f t="shared" ref="AG50:AQ50" si="46">D50+AF50</f>
        <v>59960</v>
      </c>
      <c r="AH50" s="183">
        <f t="shared" si="46"/>
        <v>93754</v>
      </c>
      <c r="AI50" s="183">
        <f t="shared" si="46"/>
        <v>92232</v>
      </c>
      <c r="AJ50" s="183">
        <f t="shared" si="46"/>
        <v>90690</v>
      </c>
      <c r="AK50" s="183">
        <f t="shared" si="46"/>
        <v>103743</v>
      </c>
      <c r="AL50" s="183">
        <f t="shared" si="46"/>
        <v>103174</v>
      </c>
      <c r="AM50" s="183">
        <f t="shared" si="46"/>
        <v>103557</v>
      </c>
      <c r="AN50" s="183">
        <f t="shared" si="46"/>
        <v>103826</v>
      </c>
      <c r="AO50" s="183">
        <f t="shared" si="46"/>
        <v>102816</v>
      </c>
      <c r="AP50" s="183">
        <f t="shared" si="46"/>
        <v>131592</v>
      </c>
      <c r="AQ50" s="183">
        <f t="shared" si="46"/>
        <v>166927</v>
      </c>
    </row>
    <row r="51" spans="1:44" x14ac:dyDescent="0.2">
      <c r="A51" s="171"/>
      <c r="C51" s="179"/>
      <c r="D51" s="179"/>
      <c r="E51" s="179"/>
      <c r="F51" s="179"/>
      <c r="G51" s="179"/>
      <c r="H51" s="179"/>
      <c r="I51" s="179"/>
      <c r="J51" s="179"/>
      <c r="K51" s="179"/>
      <c r="L51" s="179"/>
      <c r="M51" s="179"/>
      <c r="N51" s="179"/>
      <c r="O51" s="179"/>
      <c r="P51" s="179"/>
      <c r="Q51" s="179"/>
      <c r="R51" s="180"/>
      <c r="S51" s="171"/>
      <c r="T51" s="171"/>
      <c r="V51" s="179"/>
      <c r="W51" s="179"/>
      <c r="X51" s="179"/>
      <c r="Y51" s="179"/>
      <c r="Z51" s="179"/>
      <c r="AA51" s="179"/>
      <c r="AB51" s="171"/>
      <c r="AC51" s="171"/>
      <c r="AF51" s="179"/>
      <c r="AG51" s="179"/>
      <c r="AH51" s="179"/>
      <c r="AI51" s="179"/>
      <c r="AJ51" s="179"/>
      <c r="AK51" s="179"/>
      <c r="AL51" s="179"/>
      <c r="AM51" s="179"/>
      <c r="AN51" s="179"/>
      <c r="AO51" s="179"/>
      <c r="AP51" s="179"/>
      <c r="AQ51" s="179"/>
      <c r="AR51" s="171"/>
    </row>
    <row r="52" spans="1:44" x14ac:dyDescent="0.2">
      <c r="A52" s="419" t="s">
        <v>327</v>
      </c>
      <c r="C52" s="179">
        <f>C112+C172</f>
        <v>11427</v>
      </c>
      <c r="D52" s="179">
        <f t="shared" ref="D52:N52" si="47">D112+D172</f>
        <v>10928</v>
      </c>
      <c r="E52" s="179">
        <f t="shared" si="47"/>
        <v>12650</v>
      </c>
      <c r="F52" s="179">
        <f t="shared" si="47"/>
        <v>-1088</v>
      </c>
      <c r="G52" s="179">
        <f t="shared" si="47"/>
        <v>-2005</v>
      </c>
      <c r="H52" s="179">
        <f t="shared" si="47"/>
        <v>4131</v>
      </c>
      <c r="I52" s="179">
        <f t="shared" si="47"/>
        <v>-318</v>
      </c>
      <c r="J52" s="179">
        <f t="shared" si="47"/>
        <v>-43</v>
      </c>
      <c r="K52" s="179">
        <f t="shared" si="47"/>
        <v>-1396</v>
      </c>
      <c r="L52" s="179">
        <f t="shared" si="47"/>
        <v>-764</v>
      </c>
      <c r="M52" s="179">
        <f t="shared" si="47"/>
        <v>11476</v>
      </c>
      <c r="N52" s="179">
        <f t="shared" si="47"/>
        <v>13423</v>
      </c>
      <c r="O52" s="179">
        <f>SUM(C52:N52)</f>
        <v>58421</v>
      </c>
      <c r="P52" s="180">
        <f>SUM(C52:D52)</f>
        <v>22355</v>
      </c>
      <c r="Q52" s="179">
        <f>O52-P52</f>
        <v>36066</v>
      </c>
      <c r="R52" s="617"/>
      <c r="S52" s="171"/>
      <c r="T52" s="181" t="str">
        <f>A52</f>
        <v xml:space="preserve">   Payable Currently</v>
      </c>
      <c r="V52" s="179">
        <f>C52+D52+E52</f>
        <v>35005</v>
      </c>
      <c r="W52" s="179">
        <f>F52+G52+H52</f>
        <v>1038</v>
      </c>
      <c r="X52" s="179">
        <f>I52+J52+K52</f>
        <v>-1757</v>
      </c>
      <c r="Y52" s="179">
        <f>L52+M52+N52</f>
        <v>24135</v>
      </c>
      <c r="Z52" s="179"/>
      <c r="AA52" s="179">
        <f>SUM(V52:Y52)</f>
        <v>58421</v>
      </c>
      <c r="AB52" s="171"/>
      <c r="AC52" s="171"/>
      <c r="AD52" s="165" t="str">
        <f>A52</f>
        <v xml:space="preserve">   Payable Currently</v>
      </c>
      <c r="AF52" s="179">
        <f>C52</f>
        <v>11427</v>
      </c>
      <c r="AG52" s="179">
        <f t="shared" ref="AG52:AQ53" si="48">D52+AF52</f>
        <v>22355</v>
      </c>
      <c r="AH52" s="179">
        <f t="shared" si="48"/>
        <v>35005</v>
      </c>
      <c r="AI52" s="179">
        <f t="shared" si="48"/>
        <v>33917</v>
      </c>
      <c r="AJ52" s="179">
        <f t="shared" si="48"/>
        <v>31912</v>
      </c>
      <c r="AK52" s="179">
        <f t="shared" si="48"/>
        <v>36043</v>
      </c>
      <c r="AL52" s="179">
        <f t="shared" si="48"/>
        <v>35725</v>
      </c>
      <c r="AM52" s="179">
        <f t="shared" si="48"/>
        <v>35682</v>
      </c>
      <c r="AN52" s="179">
        <f t="shared" si="48"/>
        <v>34286</v>
      </c>
      <c r="AO52" s="179">
        <f t="shared" si="48"/>
        <v>33522</v>
      </c>
      <c r="AP52" s="179">
        <f t="shared" si="48"/>
        <v>44998</v>
      </c>
      <c r="AQ52" s="179">
        <f t="shared" si="48"/>
        <v>58421</v>
      </c>
    </row>
    <row r="53" spans="1:44" x14ac:dyDescent="0.2">
      <c r="A53" s="421" t="s">
        <v>328</v>
      </c>
      <c r="C53" s="182">
        <f>C113+C173</f>
        <v>643</v>
      </c>
      <c r="D53" s="182">
        <f t="shared" ref="D53:N53" si="49">D113+D173</f>
        <v>672</v>
      </c>
      <c r="E53" s="182">
        <f t="shared" si="49"/>
        <v>691</v>
      </c>
      <c r="F53" s="182">
        <f t="shared" si="49"/>
        <v>488</v>
      </c>
      <c r="G53" s="182">
        <f t="shared" si="49"/>
        <v>1398</v>
      </c>
      <c r="H53" s="182">
        <f t="shared" si="49"/>
        <v>1010</v>
      </c>
      <c r="I53" s="182">
        <f t="shared" si="49"/>
        <v>82</v>
      </c>
      <c r="J53" s="182">
        <f t="shared" si="49"/>
        <v>186</v>
      </c>
      <c r="K53" s="182">
        <f t="shared" si="49"/>
        <v>1494</v>
      </c>
      <c r="L53" s="182">
        <f t="shared" si="49"/>
        <v>358</v>
      </c>
      <c r="M53" s="182">
        <f t="shared" si="49"/>
        <v>-126</v>
      </c>
      <c r="N53" s="182">
        <f t="shared" si="49"/>
        <v>516</v>
      </c>
      <c r="O53" s="182">
        <f>SUM(C53:N53)</f>
        <v>7412</v>
      </c>
      <c r="P53" s="273">
        <f>SUM(C53:D53)</f>
        <v>1315</v>
      </c>
      <c r="Q53" s="182">
        <f>O53-P53</f>
        <v>6097</v>
      </c>
      <c r="R53" s="618"/>
      <c r="S53" s="171"/>
      <c r="T53" s="181" t="str">
        <f>A53</f>
        <v xml:space="preserve">   Deferred</v>
      </c>
      <c r="V53" s="182">
        <f>C53+D53+E53</f>
        <v>2006</v>
      </c>
      <c r="W53" s="182">
        <f>F53+G53+H53</f>
        <v>2896</v>
      </c>
      <c r="X53" s="182">
        <f>I53+J53+K53</f>
        <v>1762</v>
      </c>
      <c r="Y53" s="182">
        <f>L53+M53+N53</f>
        <v>748</v>
      </c>
      <c r="Z53" s="182"/>
      <c r="AA53" s="182">
        <f>SUM(V53:Y53)</f>
        <v>7412</v>
      </c>
      <c r="AB53" s="188"/>
      <c r="AC53" s="171"/>
      <c r="AD53" s="165" t="str">
        <f>A53</f>
        <v xml:space="preserve">   Deferred</v>
      </c>
      <c r="AF53" s="182">
        <f>C53</f>
        <v>643</v>
      </c>
      <c r="AG53" s="182">
        <f t="shared" si="48"/>
        <v>1315</v>
      </c>
      <c r="AH53" s="182">
        <f t="shared" si="48"/>
        <v>2006</v>
      </c>
      <c r="AI53" s="182">
        <f t="shared" si="48"/>
        <v>2494</v>
      </c>
      <c r="AJ53" s="182">
        <f t="shared" si="48"/>
        <v>3892</v>
      </c>
      <c r="AK53" s="182">
        <f t="shared" si="48"/>
        <v>4902</v>
      </c>
      <c r="AL53" s="182">
        <f t="shared" si="48"/>
        <v>4984</v>
      </c>
      <c r="AM53" s="182">
        <f t="shared" si="48"/>
        <v>5170</v>
      </c>
      <c r="AN53" s="182">
        <f t="shared" si="48"/>
        <v>6664</v>
      </c>
      <c r="AO53" s="182">
        <f t="shared" si="48"/>
        <v>7022</v>
      </c>
      <c r="AP53" s="182">
        <f t="shared" si="48"/>
        <v>6896</v>
      </c>
      <c r="AQ53" s="182">
        <f t="shared" si="48"/>
        <v>7412</v>
      </c>
    </row>
    <row r="54" spans="1:44" ht="3.95" customHeight="1" x14ac:dyDescent="0.2">
      <c r="A54" s="409"/>
      <c r="C54" s="179"/>
      <c r="D54" s="179"/>
      <c r="E54" s="179"/>
      <c r="F54" s="179"/>
      <c r="G54" s="179"/>
      <c r="H54" s="179"/>
      <c r="I54" s="179"/>
      <c r="J54" s="179"/>
      <c r="K54" s="179"/>
      <c r="L54" s="179"/>
      <c r="M54" s="179"/>
      <c r="N54" s="179"/>
      <c r="O54" s="179"/>
      <c r="P54" s="179"/>
      <c r="Q54" s="179"/>
      <c r="R54" s="180"/>
      <c r="S54" s="171"/>
      <c r="V54" s="179"/>
      <c r="W54" s="179"/>
      <c r="X54" s="179"/>
      <c r="Y54" s="179"/>
      <c r="Z54" s="179"/>
      <c r="AA54" s="179"/>
      <c r="AB54" s="171"/>
      <c r="AC54" s="171"/>
      <c r="AD54" s="171"/>
      <c r="AF54" s="179"/>
      <c r="AG54" s="179"/>
      <c r="AH54" s="179"/>
      <c r="AI54" s="179"/>
      <c r="AJ54" s="179"/>
      <c r="AK54" s="179"/>
      <c r="AL54" s="179"/>
      <c r="AM54" s="179"/>
      <c r="AN54" s="179"/>
      <c r="AO54" s="179"/>
      <c r="AP54" s="179"/>
      <c r="AQ54" s="179"/>
    </row>
    <row r="55" spans="1:44" x14ac:dyDescent="0.2">
      <c r="A55" s="420" t="s">
        <v>951</v>
      </c>
      <c r="B55" s="671"/>
      <c r="C55" s="183">
        <f>C52+C53</f>
        <v>12070</v>
      </c>
      <c r="D55" s="183">
        <f t="shared" ref="D55:N55" si="50">D52+D53</f>
        <v>11600</v>
      </c>
      <c r="E55" s="183">
        <f t="shared" si="50"/>
        <v>13341</v>
      </c>
      <c r="F55" s="183">
        <f t="shared" si="50"/>
        <v>-600</v>
      </c>
      <c r="G55" s="183">
        <f t="shared" si="50"/>
        <v>-607</v>
      </c>
      <c r="H55" s="183">
        <f t="shared" si="50"/>
        <v>5141</v>
      </c>
      <c r="I55" s="183">
        <f t="shared" si="50"/>
        <v>-236</v>
      </c>
      <c r="J55" s="183">
        <f t="shared" si="50"/>
        <v>143</v>
      </c>
      <c r="K55" s="183">
        <f t="shared" si="50"/>
        <v>98</v>
      </c>
      <c r="L55" s="183">
        <f t="shared" si="50"/>
        <v>-406</v>
      </c>
      <c r="M55" s="183">
        <f t="shared" si="50"/>
        <v>11350</v>
      </c>
      <c r="N55" s="183">
        <f t="shared" si="50"/>
        <v>13939</v>
      </c>
      <c r="O55" s="183">
        <f>ROUND((SUM(O52:O53)),0)</f>
        <v>65833</v>
      </c>
      <c r="P55" s="183">
        <f>ROUND((SUM(P52:P53)),0)</f>
        <v>23670</v>
      </c>
      <c r="Q55" s="183">
        <f>ROUND((SUM(Q52:Q53)),0)</f>
        <v>42163</v>
      </c>
      <c r="R55" s="426"/>
      <c r="S55" s="169"/>
      <c r="T55" s="177" t="str">
        <f>A55</f>
        <v xml:space="preserve">     Total Income Taxes </v>
      </c>
      <c r="U55" s="671"/>
      <c r="V55" s="183">
        <f>V52+V53</f>
        <v>37011</v>
      </c>
      <c r="W55" s="183">
        <f>W52+W53</f>
        <v>3934</v>
      </c>
      <c r="X55" s="183">
        <f>X52+X53</f>
        <v>5</v>
      </c>
      <c r="Y55" s="183">
        <f>Y52+Y53</f>
        <v>24883</v>
      </c>
      <c r="Z55" s="183"/>
      <c r="AA55" s="183">
        <f>AA52+AA53</f>
        <v>65833</v>
      </c>
      <c r="AB55" s="169"/>
      <c r="AC55" s="169"/>
      <c r="AD55" s="166" t="str">
        <f>A55</f>
        <v xml:space="preserve">     Total Income Taxes </v>
      </c>
      <c r="AF55" s="183">
        <f>C55</f>
        <v>12070</v>
      </c>
      <c r="AG55" s="183">
        <f t="shared" ref="AG55:AQ55" si="51">D55+AF55</f>
        <v>23670</v>
      </c>
      <c r="AH55" s="183">
        <f t="shared" si="51"/>
        <v>37011</v>
      </c>
      <c r="AI55" s="183">
        <f t="shared" si="51"/>
        <v>36411</v>
      </c>
      <c r="AJ55" s="183">
        <f t="shared" si="51"/>
        <v>35804</v>
      </c>
      <c r="AK55" s="183">
        <f t="shared" si="51"/>
        <v>40945</v>
      </c>
      <c r="AL55" s="183">
        <f t="shared" si="51"/>
        <v>40709</v>
      </c>
      <c r="AM55" s="183">
        <f t="shared" si="51"/>
        <v>40852</v>
      </c>
      <c r="AN55" s="183">
        <f t="shared" si="51"/>
        <v>40950</v>
      </c>
      <c r="AO55" s="183">
        <f t="shared" si="51"/>
        <v>40544</v>
      </c>
      <c r="AP55" s="183">
        <f t="shared" si="51"/>
        <v>51894</v>
      </c>
      <c r="AQ55" s="183">
        <f t="shared" si="51"/>
        <v>65833</v>
      </c>
    </row>
    <row r="56" spans="1:44" x14ac:dyDescent="0.2">
      <c r="A56" s="411"/>
      <c r="B56" s="671"/>
      <c r="C56" s="184"/>
      <c r="D56" s="189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9"/>
      <c r="P56" s="184"/>
      <c r="Q56" s="184"/>
      <c r="R56" s="427"/>
      <c r="S56" s="169"/>
      <c r="T56" s="166"/>
      <c r="U56" s="671"/>
      <c r="V56" s="184"/>
      <c r="W56" s="184"/>
      <c r="X56" s="184"/>
      <c r="Y56" s="189"/>
      <c r="Z56" s="184"/>
      <c r="AA56" s="184"/>
      <c r="AB56" s="169"/>
      <c r="AC56" s="169"/>
      <c r="AF56" s="179"/>
      <c r="AG56" s="179"/>
      <c r="AH56" s="179"/>
      <c r="AI56" s="179"/>
      <c r="AJ56" s="179"/>
      <c r="AK56" s="179"/>
      <c r="AL56" s="179"/>
      <c r="AM56" s="179"/>
      <c r="AN56" s="179"/>
      <c r="AO56" s="179"/>
      <c r="AP56" s="179"/>
      <c r="AQ56" s="179"/>
    </row>
    <row r="57" spans="1:44" x14ac:dyDescent="0.2">
      <c r="A57" s="418" t="s">
        <v>386</v>
      </c>
      <c r="B57" s="671"/>
      <c r="C57" s="183">
        <f t="shared" ref="C57:P57" si="52">ROUND(+C50-C55,0)</f>
        <v>18505</v>
      </c>
      <c r="D57" s="183">
        <f t="shared" si="52"/>
        <v>17785</v>
      </c>
      <c r="E57" s="183">
        <f t="shared" si="52"/>
        <v>20453</v>
      </c>
      <c r="F57" s="183">
        <f t="shared" si="52"/>
        <v>-922</v>
      </c>
      <c r="G57" s="183">
        <f t="shared" si="52"/>
        <v>-935</v>
      </c>
      <c r="H57" s="183">
        <f t="shared" si="52"/>
        <v>7912</v>
      </c>
      <c r="I57" s="183">
        <f t="shared" si="52"/>
        <v>-333</v>
      </c>
      <c r="J57" s="183">
        <f t="shared" si="52"/>
        <v>240</v>
      </c>
      <c r="K57" s="183">
        <f t="shared" si="52"/>
        <v>171</v>
      </c>
      <c r="L57" s="183">
        <f t="shared" si="52"/>
        <v>-604</v>
      </c>
      <c r="M57" s="183">
        <f t="shared" si="52"/>
        <v>17426</v>
      </c>
      <c r="N57" s="183">
        <f t="shared" si="52"/>
        <v>21396</v>
      </c>
      <c r="O57" s="183">
        <f t="shared" si="52"/>
        <v>101094</v>
      </c>
      <c r="P57" s="183">
        <f t="shared" si="52"/>
        <v>36290</v>
      </c>
      <c r="Q57" s="183">
        <f>Q50-Q55</f>
        <v>64804</v>
      </c>
      <c r="R57" s="426"/>
      <c r="S57" s="169"/>
      <c r="T57" s="177" t="str">
        <f>A57</f>
        <v xml:space="preserve">NET INCOME </v>
      </c>
      <c r="U57" s="671"/>
      <c r="V57" s="183">
        <f>V50-V55</f>
        <v>56743</v>
      </c>
      <c r="W57" s="183">
        <f>W50-W55</f>
        <v>6055</v>
      </c>
      <c r="X57" s="183">
        <f>X50-X55</f>
        <v>78</v>
      </c>
      <c r="Y57" s="183">
        <f>Y50-Y55</f>
        <v>38218</v>
      </c>
      <c r="Z57" s="183"/>
      <c r="AA57" s="183">
        <f>AA50-AA55</f>
        <v>101094</v>
      </c>
      <c r="AB57" s="190"/>
      <c r="AC57" s="190"/>
      <c r="AD57" s="166" t="str">
        <f>A57</f>
        <v xml:space="preserve">NET INCOME </v>
      </c>
      <c r="AF57" s="183">
        <f>C57</f>
        <v>18505</v>
      </c>
      <c r="AG57" s="183">
        <f t="shared" ref="AG57:AQ57" si="53">D57+AF57</f>
        <v>36290</v>
      </c>
      <c r="AH57" s="183">
        <f t="shared" si="53"/>
        <v>56743</v>
      </c>
      <c r="AI57" s="183">
        <f t="shared" si="53"/>
        <v>55821</v>
      </c>
      <c r="AJ57" s="183">
        <f t="shared" si="53"/>
        <v>54886</v>
      </c>
      <c r="AK57" s="183">
        <f t="shared" si="53"/>
        <v>62798</v>
      </c>
      <c r="AL57" s="183">
        <f t="shared" si="53"/>
        <v>62465</v>
      </c>
      <c r="AM57" s="183">
        <f t="shared" si="53"/>
        <v>62705</v>
      </c>
      <c r="AN57" s="183">
        <f t="shared" si="53"/>
        <v>62876</v>
      </c>
      <c r="AO57" s="183">
        <f t="shared" si="53"/>
        <v>62272</v>
      </c>
      <c r="AP57" s="183">
        <f t="shared" si="53"/>
        <v>79698</v>
      </c>
      <c r="AQ57" s="183">
        <f t="shared" si="53"/>
        <v>101094</v>
      </c>
    </row>
    <row r="58" spans="1:44" x14ac:dyDescent="0.2">
      <c r="A58" s="408"/>
      <c r="B58" s="671"/>
      <c r="C58" s="193"/>
      <c r="D58" s="193"/>
      <c r="E58" s="193"/>
      <c r="F58" s="193"/>
      <c r="G58" s="193"/>
      <c r="H58" s="193"/>
      <c r="I58" s="193"/>
      <c r="J58" s="193"/>
      <c r="K58" s="193"/>
      <c r="L58" s="193"/>
      <c r="M58" s="193"/>
      <c r="N58" s="193"/>
      <c r="O58" s="193"/>
      <c r="P58" s="193"/>
      <c r="Q58" s="193"/>
      <c r="R58" s="166"/>
      <c r="S58" s="166"/>
      <c r="T58" s="177"/>
      <c r="U58" s="671"/>
      <c r="V58" s="193"/>
      <c r="W58" s="193"/>
      <c r="X58" s="193"/>
      <c r="Y58" s="193"/>
      <c r="Z58" s="194"/>
      <c r="AA58" s="193"/>
      <c r="AD58" s="166"/>
      <c r="AF58" s="195"/>
      <c r="AG58" s="195"/>
      <c r="AH58" s="195"/>
      <c r="AI58" s="195"/>
      <c r="AJ58" s="195"/>
      <c r="AK58" s="195"/>
      <c r="AL58" s="195"/>
      <c r="AM58" s="195"/>
      <c r="AN58" s="195"/>
      <c r="AO58" s="195"/>
      <c r="AP58" s="195"/>
      <c r="AQ58" s="195"/>
    </row>
    <row r="59" spans="1:44" ht="8.1" customHeight="1" x14ac:dyDescent="0.2">
      <c r="A59" s="409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V59" s="181"/>
      <c r="W59" s="181"/>
      <c r="X59" s="181"/>
      <c r="Y59" s="181"/>
      <c r="Z59" s="181"/>
      <c r="AA59" s="181"/>
      <c r="AF59" s="179"/>
      <c r="AG59" s="179"/>
      <c r="AH59" s="179"/>
      <c r="AI59" s="179"/>
      <c r="AJ59" s="179"/>
      <c r="AK59" s="179"/>
      <c r="AL59" s="179"/>
      <c r="AM59" s="179"/>
      <c r="AN59" s="179"/>
      <c r="AO59" s="179"/>
      <c r="AP59" s="179"/>
      <c r="AQ59" s="179"/>
    </row>
    <row r="60" spans="1:44" ht="12.75" customHeight="1" x14ac:dyDescent="0.2">
      <c r="O60" s="171"/>
      <c r="S60" s="171"/>
      <c r="T60" s="171"/>
      <c r="V60" s="171"/>
    </row>
    <row r="61" spans="1:44" x14ac:dyDescent="0.2">
      <c r="A61" s="605" t="str">
        <f ca="1">CELL("FILENAME")</f>
        <v>C:\Users\Felienne\Enron\EnronSpreadsheets\[tracy_geaccone__40367__EMNNG02PL.xls]IncomeState</v>
      </c>
      <c r="C61" s="166"/>
      <c r="D61" s="166"/>
      <c r="E61" s="166"/>
      <c r="F61" s="646" t="s">
        <v>306</v>
      </c>
      <c r="G61" s="510"/>
      <c r="H61" s="509"/>
      <c r="I61" s="509"/>
      <c r="J61" s="509"/>
      <c r="K61" s="512"/>
      <c r="L61" s="166"/>
      <c r="M61" s="166"/>
      <c r="N61" s="166"/>
      <c r="O61" s="166"/>
      <c r="P61" s="166"/>
      <c r="Q61" s="166"/>
      <c r="R61" s="166"/>
      <c r="S61" s="167"/>
      <c r="T61" s="424" t="str">
        <f ca="1">A61</f>
        <v>C:\Users\Felienne\Enron\EnronSpreadsheets\[tracy_geaccone__40367__EMNNG02PL.xls]IncomeState</v>
      </c>
      <c r="U61" s="671"/>
      <c r="V61" s="511" t="str">
        <f>F61</f>
        <v>TRAILBLAZER PIPELINE</v>
      </c>
      <c r="W61" s="509"/>
      <c r="X61" s="509"/>
      <c r="Y61" s="509"/>
      <c r="Z61" s="167"/>
      <c r="AA61" s="167"/>
      <c r="AB61" s="167"/>
      <c r="AC61" s="166"/>
      <c r="AD61" s="424" t="str">
        <f ca="1">A61</f>
        <v>C:\Users\Felienne\Enron\EnronSpreadsheets\[tracy_geaccone__40367__EMNNG02PL.xls]IncomeState</v>
      </c>
      <c r="AH61" s="509" t="str">
        <f>F61</f>
        <v>TRAILBLAZER PIPELINE</v>
      </c>
      <c r="AI61" s="510"/>
      <c r="AJ61" s="509"/>
      <c r="AK61" s="509"/>
      <c r="AL61" s="514"/>
      <c r="AM61" s="510"/>
    </row>
    <row r="62" spans="1:44" x14ac:dyDescent="0.2">
      <c r="A62" s="636" t="s">
        <v>1163</v>
      </c>
      <c r="C62" s="169"/>
      <c r="D62" s="170"/>
      <c r="E62" s="169"/>
      <c r="F62" s="167"/>
      <c r="G62" s="509" t="str">
        <f>G2</f>
        <v>2002 OPERATING PLAN</v>
      </c>
      <c r="H62" s="509"/>
      <c r="I62" s="509"/>
      <c r="J62" s="509"/>
      <c r="K62" s="169"/>
      <c r="L62" s="169"/>
      <c r="M62" s="169"/>
      <c r="N62" s="169"/>
      <c r="O62" s="166"/>
      <c r="P62" s="166"/>
      <c r="Q62" s="166"/>
      <c r="R62" s="166"/>
      <c r="S62" s="167"/>
      <c r="T62" s="665" t="s">
        <v>1164</v>
      </c>
      <c r="U62" s="671"/>
      <c r="V62" s="511" t="str">
        <f>V2</f>
        <v>2002 OPERATING PLAN</v>
      </c>
      <c r="W62" s="509"/>
      <c r="X62" s="509"/>
      <c r="Y62" s="509"/>
      <c r="Z62" s="167"/>
      <c r="AA62" s="167"/>
      <c r="AB62" s="166"/>
      <c r="AC62" s="166"/>
      <c r="AD62" s="670" t="s">
        <v>1165</v>
      </c>
      <c r="AF62" s="171"/>
      <c r="AG62" s="171"/>
      <c r="AH62" s="171"/>
      <c r="AI62" s="509" t="str">
        <f>AI2</f>
        <v>2002 OPERATING PLAN</v>
      </c>
      <c r="AJ62" s="509"/>
      <c r="AK62" s="509"/>
      <c r="AL62" s="514"/>
      <c r="AN62" s="171"/>
      <c r="AO62" s="171"/>
      <c r="AP62" s="171"/>
      <c r="AQ62" s="171"/>
    </row>
    <row r="63" spans="1:44" ht="12.75" customHeight="1" x14ac:dyDescent="0.2">
      <c r="A63" s="666" t="str">
        <f>A3</f>
        <v>2002 OPERATING PLAN</v>
      </c>
      <c r="C63" s="169"/>
      <c r="D63" s="169"/>
      <c r="E63" s="169"/>
      <c r="F63" s="169"/>
      <c r="G63" s="509" t="str">
        <f>G3</f>
        <v xml:space="preserve">RESULTS OF OPERATIONS </v>
      </c>
      <c r="H63" s="509"/>
      <c r="I63" s="509"/>
      <c r="J63" s="425"/>
      <c r="K63" s="169"/>
      <c r="L63" s="169"/>
      <c r="M63" s="169"/>
      <c r="N63" s="169"/>
      <c r="O63" s="166"/>
      <c r="P63" s="166"/>
      <c r="Q63" s="166"/>
      <c r="R63" s="166"/>
      <c r="S63" s="167"/>
      <c r="T63" s="428" t="str">
        <f>A63</f>
        <v>2002 OPERATING PLAN</v>
      </c>
      <c r="U63" s="671"/>
      <c r="V63" s="511" t="str">
        <f>V3</f>
        <v xml:space="preserve">RESULTS OF OPERATIONS </v>
      </c>
      <c r="W63" s="509"/>
      <c r="X63" s="509"/>
      <c r="Y63" s="509"/>
      <c r="Z63" s="167"/>
      <c r="AA63" s="167"/>
      <c r="AB63" s="166"/>
      <c r="AC63" s="166"/>
      <c r="AD63" s="424" t="str">
        <f>A63</f>
        <v>2002 OPERATING PLAN</v>
      </c>
      <c r="AF63" s="171"/>
      <c r="AG63" s="171"/>
      <c r="AH63" s="171"/>
      <c r="AI63" s="509" t="str">
        <f>AI3</f>
        <v>CUMMULATIVE RESULTS OF OPERATION</v>
      </c>
      <c r="AJ63" s="509"/>
      <c r="AK63" s="509"/>
      <c r="AL63" s="514"/>
      <c r="AN63" s="171"/>
      <c r="AO63" s="171"/>
      <c r="AP63" s="171"/>
      <c r="AQ63" s="171"/>
    </row>
    <row r="64" spans="1:44" x14ac:dyDescent="0.2">
      <c r="A64" s="409"/>
      <c r="B64" s="687">
        <f ca="1">NOW()</f>
        <v>41887.551126967592</v>
      </c>
      <c r="C64" s="169"/>
      <c r="D64" s="169"/>
      <c r="E64" s="169"/>
      <c r="F64" s="169"/>
      <c r="G64" s="509" t="str">
        <f>G4</f>
        <v>(Thousands of Dollars)</v>
      </c>
      <c r="H64" s="509"/>
      <c r="I64" s="509"/>
      <c r="J64" s="425"/>
      <c r="K64" s="169"/>
      <c r="L64" s="169"/>
      <c r="M64" s="169"/>
      <c r="N64" s="169"/>
      <c r="O64" s="166"/>
      <c r="P64" s="166"/>
      <c r="Q64" s="166"/>
      <c r="R64" s="166"/>
      <c r="S64" s="167"/>
      <c r="U64" s="687">
        <f ca="1">NOW()</f>
        <v>41887.551126967592</v>
      </c>
      <c r="V64" s="511" t="str">
        <f>V4</f>
        <v>(Thousands of Dollars)</v>
      </c>
      <c r="W64" s="509"/>
      <c r="X64" s="509"/>
      <c r="Y64" s="509"/>
      <c r="Z64" s="167"/>
      <c r="AA64" s="167"/>
      <c r="AB64" s="166"/>
      <c r="AC64" s="166"/>
      <c r="AD64" s="166"/>
      <c r="AE64" s="687">
        <f ca="1">NOW()</f>
        <v>41887.551126967592</v>
      </c>
      <c r="AF64" s="171"/>
      <c r="AG64" s="171"/>
      <c r="AH64" s="171"/>
      <c r="AI64" s="509" t="str">
        <f>AI4</f>
        <v>(Thousands of Dollars)</v>
      </c>
      <c r="AJ64" s="509"/>
      <c r="AK64" s="509"/>
      <c r="AL64" s="515"/>
      <c r="AN64" s="171"/>
      <c r="AO64" s="171"/>
      <c r="AP64" s="171"/>
      <c r="AQ64" s="171"/>
    </row>
    <row r="65" spans="1:43" x14ac:dyDescent="0.2">
      <c r="A65" s="420" t="s">
        <v>305</v>
      </c>
      <c r="B65" s="688">
        <f ca="1">NOW()</f>
        <v>41887.551126967592</v>
      </c>
      <c r="C65" s="169"/>
      <c r="D65" s="505"/>
      <c r="E65" s="169"/>
      <c r="F65" s="169"/>
      <c r="G65" s="417"/>
      <c r="H65" s="169"/>
      <c r="I65" s="172"/>
      <c r="J65" s="169"/>
      <c r="K65" s="169"/>
      <c r="L65" s="169"/>
      <c r="M65" s="169"/>
      <c r="N65" s="169"/>
      <c r="O65" s="166"/>
      <c r="P65" s="166"/>
      <c r="Q65" s="166"/>
      <c r="R65" s="166"/>
      <c r="S65" s="166"/>
      <c r="T65" s="420" t="s">
        <v>307</v>
      </c>
      <c r="U65" s="688">
        <f ca="1">NOW()</f>
        <v>41887.551126967592</v>
      </c>
      <c r="V65" s="167"/>
      <c r="W65" s="166"/>
      <c r="X65" s="166"/>
      <c r="Y65" s="166"/>
      <c r="Z65" s="166"/>
      <c r="AA65" s="166"/>
      <c r="AB65" s="166"/>
      <c r="AC65" s="166"/>
      <c r="AD65" s="420" t="s">
        <v>310</v>
      </c>
      <c r="AE65" s="688">
        <f ca="1">NOW()</f>
        <v>41887.551126967592</v>
      </c>
      <c r="AF65" s="171"/>
      <c r="AG65" s="171"/>
      <c r="AH65" s="171"/>
      <c r="AI65" s="171"/>
      <c r="AJ65" s="171"/>
      <c r="AK65" s="171"/>
      <c r="AL65" s="171"/>
      <c r="AM65" s="171"/>
      <c r="AN65" s="171"/>
      <c r="AO65" s="171"/>
      <c r="AP65" s="171"/>
      <c r="AQ65" s="171"/>
    </row>
    <row r="66" spans="1:43" x14ac:dyDescent="0.2">
      <c r="A66" s="171"/>
      <c r="C66" s="425" t="str">
        <f>DataBase!C2</f>
        <v>PLAN</v>
      </c>
      <c r="D66" s="425" t="str">
        <f>DataBase!D2</f>
        <v>PLAN</v>
      </c>
      <c r="E66" s="425" t="str">
        <f>DataBase!E2</f>
        <v>PLAN</v>
      </c>
      <c r="F66" s="425" t="str">
        <f>DataBase!F2</f>
        <v>PLAN</v>
      </c>
      <c r="G66" s="425" t="str">
        <f>DataBase!G2</f>
        <v>PLAN</v>
      </c>
      <c r="H66" s="425" t="str">
        <f>DataBase!H2</f>
        <v>PLAN</v>
      </c>
      <c r="I66" s="425" t="str">
        <f>DataBase!I2</f>
        <v>PLAN</v>
      </c>
      <c r="J66" s="425" t="str">
        <f>DataBase!J2</f>
        <v>PLAN</v>
      </c>
      <c r="K66" s="425" t="str">
        <f>DataBase!K2</f>
        <v>PLAN</v>
      </c>
      <c r="L66" s="425" t="str">
        <f>DataBase!L2</f>
        <v>PLAN</v>
      </c>
      <c r="M66" s="425" t="str">
        <f>DataBase!M2</f>
        <v>PLAN</v>
      </c>
      <c r="N66" s="425" t="str">
        <f>DataBase!N2</f>
        <v>PLAN</v>
      </c>
      <c r="O66" s="425" t="str">
        <f>DataBase!O2</f>
        <v>TOTAL</v>
      </c>
      <c r="P66" s="425" t="str">
        <f>P6</f>
        <v>FEB.</v>
      </c>
      <c r="Q66" s="425" t="str">
        <f>Q6</f>
        <v>ESTIMATE</v>
      </c>
      <c r="R66" s="166"/>
      <c r="S66" s="167"/>
      <c r="T66" s="167"/>
      <c r="U66" s="671"/>
      <c r="V66" s="671" t="str">
        <f>V6</f>
        <v>1st</v>
      </c>
      <c r="W66" s="671" t="str">
        <f>W6</f>
        <v>2nd</v>
      </c>
      <c r="X66" s="671" t="str">
        <f>X6</f>
        <v>3rd</v>
      </c>
      <c r="Y66" s="671" t="str">
        <f>Y6</f>
        <v>4th</v>
      </c>
      <c r="Z66" s="166"/>
      <c r="AA66" s="173" t="str">
        <f>O66</f>
        <v>TOTAL</v>
      </c>
      <c r="AB66" s="166"/>
      <c r="AC66" s="166"/>
      <c r="AD66" s="171"/>
      <c r="AF66" s="172" t="str">
        <f t="shared" ref="AF66:AQ67" si="54">C66</f>
        <v>PLAN</v>
      </c>
      <c r="AG66" s="172" t="str">
        <f t="shared" si="54"/>
        <v>PLAN</v>
      </c>
      <c r="AH66" s="172" t="str">
        <f t="shared" si="54"/>
        <v>PLAN</v>
      </c>
      <c r="AI66" s="172" t="str">
        <f t="shared" si="54"/>
        <v>PLAN</v>
      </c>
      <c r="AJ66" s="172" t="str">
        <f t="shared" si="54"/>
        <v>PLAN</v>
      </c>
      <c r="AK66" s="172" t="str">
        <f t="shared" si="54"/>
        <v>PLAN</v>
      </c>
      <c r="AL66" s="172" t="str">
        <f t="shared" si="54"/>
        <v>PLAN</v>
      </c>
      <c r="AM66" s="172" t="str">
        <f t="shared" si="54"/>
        <v>PLAN</v>
      </c>
      <c r="AN66" s="172" t="str">
        <f t="shared" si="54"/>
        <v>PLAN</v>
      </c>
      <c r="AO66" s="172" t="str">
        <f t="shared" si="54"/>
        <v>PLAN</v>
      </c>
      <c r="AP66" s="172" t="str">
        <f t="shared" si="54"/>
        <v>PLAN</v>
      </c>
      <c r="AQ66" s="172" t="str">
        <f t="shared" si="54"/>
        <v>PLAN</v>
      </c>
    </row>
    <row r="67" spans="1:43" x14ac:dyDescent="0.2">
      <c r="A67" s="171"/>
      <c r="C67" s="174" t="str">
        <f>C7</f>
        <v>JAN</v>
      </c>
      <c r="D67" s="174" t="str">
        <f t="shared" ref="D67:Q67" si="55">D7</f>
        <v>FEB</v>
      </c>
      <c r="E67" s="174" t="str">
        <f t="shared" si="55"/>
        <v>MAR</v>
      </c>
      <c r="F67" s="174" t="str">
        <f t="shared" si="55"/>
        <v>APR</v>
      </c>
      <c r="G67" s="174" t="str">
        <f t="shared" si="55"/>
        <v>MAY</v>
      </c>
      <c r="H67" s="174" t="str">
        <f t="shared" si="55"/>
        <v>JUN</v>
      </c>
      <c r="I67" s="174" t="str">
        <f t="shared" si="55"/>
        <v>JUL</v>
      </c>
      <c r="J67" s="174" t="str">
        <f t="shared" si="55"/>
        <v>AUG</v>
      </c>
      <c r="K67" s="174" t="str">
        <f t="shared" si="55"/>
        <v>SEP</v>
      </c>
      <c r="L67" s="174" t="str">
        <f t="shared" si="55"/>
        <v>OCT</v>
      </c>
      <c r="M67" s="174" t="str">
        <f t="shared" si="55"/>
        <v>NOV</v>
      </c>
      <c r="N67" s="174" t="str">
        <f t="shared" si="55"/>
        <v>DEC</v>
      </c>
      <c r="O67" s="174" t="str">
        <f t="shared" si="55"/>
        <v>2002</v>
      </c>
      <c r="P67" s="174" t="str">
        <f t="shared" si="55"/>
        <v>Y-T-D</v>
      </c>
      <c r="Q67" s="174" t="str">
        <f t="shared" si="55"/>
        <v>R.M.</v>
      </c>
      <c r="R67" s="169"/>
      <c r="S67" s="167"/>
      <c r="T67" s="167"/>
      <c r="U67" s="671"/>
      <c r="V67" s="174" t="str">
        <f>V7</f>
        <v>Quarter</v>
      </c>
      <c r="W67" s="429" t="str">
        <f>V$7</f>
        <v>Quarter</v>
      </c>
      <c r="X67" s="429" t="str">
        <f>W$7</f>
        <v>Quarter</v>
      </c>
      <c r="Y67" s="429" t="str">
        <f>X$7</f>
        <v>Quarter</v>
      </c>
      <c r="Z67" s="176"/>
      <c r="AA67" s="175" t="str">
        <f>O67</f>
        <v>2002</v>
      </c>
      <c r="AB67" s="166"/>
      <c r="AC67" s="166"/>
      <c r="AD67" s="171"/>
      <c r="AF67" s="174" t="str">
        <f t="shared" si="54"/>
        <v>JAN</v>
      </c>
      <c r="AG67" s="174" t="str">
        <f t="shared" si="54"/>
        <v>FEB</v>
      </c>
      <c r="AH67" s="174" t="str">
        <f t="shared" si="54"/>
        <v>MAR</v>
      </c>
      <c r="AI67" s="174" t="str">
        <f t="shared" si="54"/>
        <v>APR</v>
      </c>
      <c r="AJ67" s="174" t="str">
        <f t="shared" si="54"/>
        <v>MAY</v>
      </c>
      <c r="AK67" s="174" t="str">
        <f t="shared" si="54"/>
        <v>JUN</v>
      </c>
      <c r="AL67" s="174" t="str">
        <f t="shared" si="54"/>
        <v>JUL</v>
      </c>
      <c r="AM67" s="174" t="str">
        <f t="shared" si="54"/>
        <v>AUG</v>
      </c>
      <c r="AN67" s="174" t="str">
        <f t="shared" si="54"/>
        <v>SEP</v>
      </c>
      <c r="AO67" s="174" t="str">
        <f t="shared" si="54"/>
        <v>OCT</v>
      </c>
      <c r="AP67" s="174" t="str">
        <f t="shared" si="54"/>
        <v>NOV</v>
      </c>
      <c r="AQ67" s="174" t="str">
        <f t="shared" si="54"/>
        <v>DEC</v>
      </c>
    </row>
    <row r="68" spans="1:43" x14ac:dyDescent="0.2">
      <c r="A68" s="418" t="s">
        <v>815</v>
      </c>
      <c r="T68" s="177" t="str">
        <f>A68</f>
        <v>OPERATING REVENUES</v>
      </c>
      <c r="AD68" s="166" t="str">
        <f>A68</f>
        <v>OPERATING REVENUES</v>
      </c>
    </row>
    <row r="69" spans="1:43" x14ac:dyDescent="0.2">
      <c r="A69" s="419" t="s">
        <v>816</v>
      </c>
      <c r="C69" s="667">
        <v>0</v>
      </c>
      <c r="D69" s="667">
        <v>0</v>
      </c>
      <c r="E69" s="667">
        <v>0</v>
      </c>
      <c r="F69" s="667">
        <v>0</v>
      </c>
      <c r="G69" s="667">
        <v>0</v>
      </c>
      <c r="H69" s="667">
        <v>0</v>
      </c>
      <c r="I69" s="667">
        <v>0</v>
      </c>
      <c r="J69" s="667">
        <v>0</v>
      </c>
      <c r="K69" s="667">
        <v>0</v>
      </c>
      <c r="L69" s="667">
        <v>0</v>
      </c>
      <c r="M69" s="667">
        <v>0</v>
      </c>
      <c r="N69" s="667">
        <v>0</v>
      </c>
      <c r="O69" s="179">
        <f>SUM(C69:N69)</f>
        <v>0</v>
      </c>
      <c r="P69" s="180">
        <f>SUM(C69:D69)</f>
        <v>0</v>
      </c>
      <c r="Q69" s="179">
        <f>O69-P69</f>
        <v>0</v>
      </c>
      <c r="R69" s="617"/>
      <c r="S69" s="171"/>
      <c r="T69" s="181" t="str">
        <f>A69</f>
        <v xml:space="preserve">   Gas Sales &amp; Liquids Revenue</v>
      </c>
      <c r="V69" s="179">
        <f>C69+D69+E69</f>
        <v>0</v>
      </c>
      <c r="W69" s="179">
        <f>F69+G69+H69</f>
        <v>0</v>
      </c>
      <c r="X69" s="179">
        <f>I69+J69+K69</f>
        <v>0</v>
      </c>
      <c r="Y69" s="179">
        <f>L69+M69+N69</f>
        <v>0</v>
      </c>
      <c r="Z69" s="179"/>
      <c r="AA69" s="179">
        <f>SUM(V69:Y69)</f>
        <v>0</v>
      </c>
      <c r="AB69" s="171"/>
      <c r="AC69" s="171"/>
      <c r="AD69" s="165" t="str">
        <f>A69</f>
        <v xml:space="preserve">   Gas Sales &amp; Liquids Revenue</v>
      </c>
      <c r="AF69" s="179">
        <f>C69</f>
        <v>0</v>
      </c>
      <c r="AG69" s="179">
        <f t="shared" ref="AG69:AQ70" si="56">D69+AF69</f>
        <v>0</v>
      </c>
      <c r="AH69" s="179">
        <f t="shared" si="56"/>
        <v>0</v>
      </c>
      <c r="AI69" s="179">
        <f t="shared" si="56"/>
        <v>0</v>
      </c>
      <c r="AJ69" s="179">
        <f t="shared" si="56"/>
        <v>0</v>
      </c>
      <c r="AK69" s="179">
        <f t="shared" si="56"/>
        <v>0</v>
      </c>
      <c r="AL69" s="179">
        <f t="shared" si="56"/>
        <v>0</v>
      </c>
      <c r="AM69" s="179">
        <f t="shared" si="56"/>
        <v>0</v>
      </c>
      <c r="AN69" s="179">
        <f t="shared" si="56"/>
        <v>0</v>
      </c>
      <c r="AO69" s="179">
        <f t="shared" si="56"/>
        <v>0</v>
      </c>
      <c r="AP69" s="179">
        <f t="shared" si="56"/>
        <v>0</v>
      </c>
      <c r="AQ69" s="179">
        <f t="shared" si="56"/>
        <v>0</v>
      </c>
    </row>
    <row r="70" spans="1:43" x14ac:dyDescent="0.2">
      <c r="A70" s="419" t="s">
        <v>817</v>
      </c>
      <c r="C70" s="668">
        <v>0</v>
      </c>
      <c r="D70" s="668">
        <v>0</v>
      </c>
      <c r="E70" s="668">
        <v>0</v>
      </c>
      <c r="F70" s="668">
        <v>0</v>
      </c>
      <c r="G70" s="668">
        <v>0</v>
      </c>
      <c r="H70" s="668">
        <v>0</v>
      </c>
      <c r="I70" s="668">
        <v>0</v>
      </c>
      <c r="J70" s="668">
        <v>0</v>
      </c>
      <c r="K70" s="668">
        <v>0</v>
      </c>
      <c r="L70" s="668">
        <v>0</v>
      </c>
      <c r="M70" s="668">
        <v>0</v>
      </c>
      <c r="N70" s="668">
        <v>0</v>
      </c>
      <c r="O70" s="182">
        <f>SUM(C70:N70)</f>
        <v>0</v>
      </c>
      <c r="P70" s="273">
        <f>SUM(C70:D70)</f>
        <v>0</v>
      </c>
      <c r="Q70" s="182">
        <f>O70-P70</f>
        <v>0</v>
      </c>
      <c r="R70" s="618"/>
      <c r="S70" s="171"/>
      <c r="T70" s="181" t="str">
        <f>A70</f>
        <v xml:space="preserve">     Less:  Cost of Sales</v>
      </c>
      <c r="V70" s="182">
        <f>C70+D70+E70</f>
        <v>0</v>
      </c>
      <c r="W70" s="182">
        <f>F70+G70+H70</f>
        <v>0</v>
      </c>
      <c r="X70" s="182">
        <f>I70+J70+K70</f>
        <v>0</v>
      </c>
      <c r="Y70" s="182">
        <f>L70+M70+N70</f>
        <v>0</v>
      </c>
      <c r="Z70" s="182"/>
      <c r="AA70" s="182">
        <f>SUM(V70:Y70)</f>
        <v>0</v>
      </c>
      <c r="AB70" s="171"/>
      <c r="AC70" s="171"/>
      <c r="AD70" s="165" t="str">
        <f>A70</f>
        <v xml:space="preserve">     Less:  Cost of Sales</v>
      </c>
      <c r="AF70" s="182">
        <f>C70</f>
        <v>0</v>
      </c>
      <c r="AG70" s="182">
        <f t="shared" si="56"/>
        <v>0</v>
      </c>
      <c r="AH70" s="182">
        <f t="shared" si="56"/>
        <v>0</v>
      </c>
      <c r="AI70" s="182">
        <f t="shared" si="56"/>
        <v>0</v>
      </c>
      <c r="AJ70" s="182">
        <f t="shared" si="56"/>
        <v>0</v>
      </c>
      <c r="AK70" s="182">
        <f t="shared" si="56"/>
        <v>0</v>
      </c>
      <c r="AL70" s="182">
        <f t="shared" si="56"/>
        <v>0</v>
      </c>
      <c r="AM70" s="182">
        <f t="shared" si="56"/>
        <v>0</v>
      </c>
      <c r="AN70" s="182">
        <f t="shared" si="56"/>
        <v>0</v>
      </c>
      <c r="AO70" s="182">
        <f t="shared" si="56"/>
        <v>0</v>
      </c>
      <c r="AP70" s="182">
        <f t="shared" si="56"/>
        <v>0</v>
      </c>
      <c r="AQ70" s="182">
        <f t="shared" si="56"/>
        <v>0</v>
      </c>
    </row>
    <row r="71" spans="1:43" ht="6" customHeight="1" x14ac:dyDescent="0.2">
      <c r="A71" s="409"/>
      <c r="C71" s="179"/>
      <c r="D71" s="179"/>
      <c r="E71" s="179"/>
      <c r="F71" s="179"/>
      <c r="G71" s="179"/>
      <c r="H71" s="179"/>
      <c r="I71" s="179"/>
      <c r="J71" s="179"/>
      <c r="K71" s="179"/>
      <c r="L71" s="179"/>
      <c r="M71" s="179"/>
      <c r="N71" s="179"/>
      <c r="O71" s="179"/>
      <c r="P71" s="179"/>
      <c r="Q71" s="179"/>
      <c r="R71" s="180"/>
      <c r="S71" s="171"/>
      <c r="V71" s="179"/>
      <c r="W71" s="179"/>
      <c r="X71" s="179"/>
      <c r="Y71" s="179"/>
      <c r="Z71" s="179"/>
      <c r="AA71" s="179"/>
      <c r="AB71" s="171"/>
      <c r="AC71" s="171"/>
      <c r="AD71" s="171"/>
      <c r="AF71" s="179"/>
      <c r="AG71" s="179"/>
      <c r="AH71" s="179"/>
      <c r="AI71" s="179"/>
      <c r="AJ71" s="179"/>
      <c r="AK71" s="179"/>
      <c r="AL71" s="179"/>
      <c r="AM71" s="179"/>
      <c r="AN71" s="179"/>
      <c r="AO71" s="179"/>
      <c r="AP71" s="179"/>
      <c r="AQ71" s="179"/>
    </row>
    <row r="72" spans="1:43" x14ac:dyDescent="0.2">
      <c r="A72" s="420" t="s">
        <v>818</v>
      </c>
      <c r="B72" s="671"/>
      <c r="C72" s="183">
        <f t="shared" ref="C72:Q72" si="57">C69-C70</f>
        <v>0</v>
      </c>
      <c r="D72" s="183">
        <f t="shared" si="57"/>
        <v>0</v>
      </c>
      <c r="E72" s="183">
        <f t="shared" si="57"/>
        <v>0</v>
      </c>
      <c r="F72" s="183">
        <f t="shared" si="57"/>
        <v>0</v>
      </c>
      <c r="G72" s="183">
        <f t="shared" si="57"/>
        <v>0</v>
      </c>
      <c r="H72" s="183">
        <f t="shared" si="57"/>
        <v>0</v>
      </c>
      <c r="I72" s="183">
        <f t="shared" si="57"/>
        <v>0</v>
      </c>
      <c r="J72" s="183">
        <f t="shared" si="57"/>
        <v>0</v>
      </c>
      <c r="K72" s="183">
        <f t="shared" si="57"/>
        <v>0</v>
      </c>
      <c r="L72" s="183">
        <f t="shared" si="57"/>
        <v>0</v>
      </c>
      <c r="M72" s="183">
        <f t="shared" si="57"/>
        <v>0</v>
      </c>
      <c r="N72" s="183">
        <f t="shared" si="57"/>
        <v>0</v>
      </c>
      <c r="O72" s="183">
        <f t="shared" si="57"/>
        <v>0</v>
      </c>
      <c r="P72" s="183">
        <f t="shared" si="57"/>
        <v>0</v>
      </c>
      <c r="Q72" s="183">
        <f t="shared" si="57"/>
        <v>0</v>
      </c>
      <c r="R72" s="426"/>
      <c r="S72" s="169"/>
      <c r="T72" s="177" t="str">
        <f>A72</f>
        <v xml:space="preserve">      Sales Margin</v>
      </c>
      <c r="U72" s="671"/>
      <c r="V72" s="184">
        <f>V69-V70</f>
        <v>0</v>
      </c>
      <c r="W72" s="184">
        <f>W69-W70</f>
        <v>0</v>
      </c>
      <c r="X72" s="184">
        <f>X69-X70</f>
        <v>0</v>
      </c>
      <c r="Y72" s="184">
        <f>Y69-Y70</f>
        <v>0</v>
      </c>
      <c r="Z72" s="184"/>
      <c r="AA72" s="184">
        <f>AA69-AA70</f>
        <v>0</v>
      </c>
      <c r="AB72" s="169"/>
      <c r="AC72" s="169"/>
      <c r="AD72" s="166" t="str">
        <f>A72</f>
        <v xml:space="preserve">      Sales Margin</v>
      </c>
      <c r="AF72" s="184">
        <f>C72</f>
        <v>0</v>
      </c>
      <c r="AG72" s="184">
        <f t="shared" ref="AG72:AQ72" si="58">D72+AF72</f>
        <v>0</v>
      </c>
      <c r="AH72" s="184">
        <f t="shared" si="58"/>
        <v>0</v>
      </c>
      <c r="AI72" s="184">
        <f t="shared" si="58"/>
        <v>0</v>
      </c>
      <c r="AJ72" s="184">
        <f t="shared" si="58"/>
        <v>0</v>
      </c>
      <c r="AK72" s="184">
        <f t="shared" si="58"/>
        <v>0</v>
      </c>
      <c r="AL72" s="184">
        <f t="shared" si="58"/>
        <v>0</v>
      </c>
      <c r="AM72" s="184">
        <f t="shared" si="58"/>
        <v>0</v>
      </c>
      <c r="AN72" s="184">
        <f t="shared" si="58"/>
        <v>0</v>
      </c>
      <c r="AO72" s="184">
        <f t="shared" si="58"/>
        <v>0</v>
      </c>
      <c r="AP72" s="184">
        <f t="shared" si="58"/>
        <v>0</v>
      </c>
      <c r="AQ72" s="184">
        <f t="shared" si="58"/>
        <v>0</v>
      </c>
    </row>
    <row r="73" spans="1:43" ht="6" customHeight="1" x14ac:dyDescent="0.2">
      <c r="A73" s="409"/>
      <c r="C73" s="179"/>
      <c r="D73" s="179"/>
      <c r="E73" s="179"/>
      <c r="F73" s="179"/>
      <c r="G73" s="179"/>
      <c r="H73" s="179"/>
      <c r="I73" s="179"/>
      <c r="J73" s="179"/>
      <c r="K73" s="179"/>
      <c r="L73" s="179"/>
      <c r="M73" s="179"/>
      <c r="N73" s="179"/>
      <c r="O73" s="179"/>
      <c r="P73" s="179"/>
      <c r="Q73" s="179"/>
      <c r="R73" s="180"/>
      <c r="S73" s="171"/>
      <c r="V73" s="179"/>
      <c r="W73" s="179"/>
      <c r="X73" s="179"/>
      <c r="Y73" s="179"/>
      <c r="Z73" s="179"/>
      <c r="AA73" s="179"/>
      <c r="AB73" s="171"/>
      <c r="AC73" s="171"/>
      <c r="AD73" s="185"/>
      <c r="AF73" s="179"/>
      <c r="AG73" s="179"/>
      <c r="AH73" s="179"/>
      <c r="AI73" s="179"/>
      <c r="AJ73" s="179"/>
      <c r="AK73" s="179"/>
      <c r="AL73" s="179"/>
      <c r="AM73" s="179"/>
      <c r="AN73" s="179"/>
      <c r="AO73" s="179"/>
      <c r="AP73" s="179"/>
      <c r="AQ73" s="179"/>
    </row>
    <row r="74" spans="1:43" x14ac:dyDescent="0.2">
      <c r="A74" s="419" t="s">
        <v>819</v>
      </c>
      <c r="C74" s="667">
        <v>0</v>
      </c>
      <c r="D74" s="667">
        <v>0</v>
      </c>
      <c r="E74" s="667">
        <v>0</v>
      </c>
      <c r="F74" s="667">
        <v>0</v>
      </c>
      <c r="G74" s="667">
        <v>0</v>
      </c>
      <c r="H74" s="667">
        <v>0</v>
      </c>
      <c r="I74" s="667">
        <v>0</v>
      </c>
      <c r="J74" s="667">
        <v>0</v>
      </c>
      <c r="K74" s="667">
        <v>0</v>
      </c>
      <c r="L74" s="667">
        <v>0</v>
      </c>
      <c r="M74" s="667">
        <v>0</v>
      </c>
      <c r="N74" s="667">
        <v>0</v>
      </c>
      <c r="O74" s="179">
        <f>SUM(C74:N74)</f>
        <v>0</v>
      </c>
      <c r="P74" s="180">
        <f>SUM(C74:D74)</f>
        <v>0</v>
      </c>
      <c r="Q74" s="179">
        <f>O74-P74</f>
        <v>0</v>
      </c>
      <c r="R74" s="617"/>
      <c r="S74" s="171"/>
      <c r="T74" s="181" t="str">
        <f>A74</f>
        <v xml:space="preserve">   Transportation &amp; Storage Revenue</v>
      </c>
      <c r="V74" s="179">
        <f>C74+D74+E74</f>
        <v>0</v>
      </c>
      <c r="W74" s="179">
        <f>F74+G74+H74</f>
        <v>0</v>
      </c>
      <c r="X74" s="179">
        <f>I74+J74+K74</f>
        <v>0</v>
      </c>
      <c r="Y74" s="179">
        <f>L74+M74+N74</f>
        <v>0</v>
      </c>
      <c r="Z74" s="179"/>
      <c r="AA74" s="179">
        <f>SUM(V74:Y74)</f>
        <v>0</v>
      </c>
      <c r="AB74" s="171"/>
      <c r="AC74" s="171"/>
      <c r="AD74" s="165" t="str">
        <f>A74</f>
        <v xml:space="preserve">   Transportation &amp; Storage Revenue</v>
      </c>
      <c r="AF74" s="179">
        <f>C74</f>
        <v>0</v>
      </c>
      <c r="AG74" s="179">
        <f t="shared" ref="AG74:AQ75" si="59">D74+AF74</f>
        <v>0</v>
      </c>
      <c r="AH74" s="179">
        <f t="shared" si="59"/>
        <v>0</v>
      </c>
      <c r="AI74" s="179">
        <f t="shared" si="59"/>
        <v>0</v>
      </c>
      <c r="AJ74" s="179">
        <f t="shared" si="59"/>
        <v>0</v>
      </c>
      <c r="AK74" s="179">
        <f t="shared" si="59"/>
        <v>0</v>
      </c>
      <c r="AL74" s="179">
        <f t="shared" si="59"/>
        <v>0</v>
      </c>
      <c r="AM74" s="179">
        <f t="shared" si="59"/>
        <v>0</v>
      </c>
      <c r="AN74" s="179">
        <f t="shared" si="59"/>
        <v>0</v>
      </c>
      <c r="AO74" s="179">
        <f t="shared" si="59"/>
        <v>0</v>
      </c>
      <c r="AP74" s="179">
        <f t="shared" si="59"/>
        <v>0</v>
      </c>
      <c r="AQ74" s="179">
        <f t="shared" si="59"/>
        <v>0</v>
      </c>
    </row>
    <row r="75" spans="1:43" x14ac:dyDescent="0.2">
      <c r="A75" s="419" t="s">
        <v>820</v>
      </c>
      <c r="C75" s="668">
        <v>0</v>
      </c>
      <c r="D75" s="668">
        <v>0</v>
      </c>
      <c r="E75" s="668">
        <v>0</v>
      </c>
      <c r="F75" s="668">
        <v>0</v>
      </c>
      <c r="G75" s="668">
        <v>0</v>
      </c>
      <c r="H75" s="668">
        <v>0</v>
      </c>
      <c r="I75" s="668">
        <v>0</v>
      </c>
      <c r="J75" s="668">
        <v>0</v>
      </c>
      <c r="K75" s="668">
        <v>0</v>
      </c>
      <c r="L75" s="668">
        <v>0</v>
      </c>
      <c r="M75" s="668">
        <v>0</v>
      </c>
      <c r="N75" s="668">
        <v>0</v>
      </c>
      <c r="O75" s="182">
        <f>SUM(C75:N75)</f>
        <v>0</v>
      </c>
      <c r="P75" s="273">
        <f>SUM(C75:D75)</f>
        <v>0</v>
      </c>
      <c r="Q75" s="182">
        <f>O75-P75</f>
        <v>0</v>
      </c>
      <c r="R75" s="618"/>
      <c r="S75" s="171"/>
      <c r="T75" s="181" t="str">
        <f>A75</f>
        <v xml:space="preserve">   Other Revenue</v>
      </c>
      <c r="V75" s="182">
        <f>C75+D75+E75</f>
        <v>0</v>
      </c>
      <c r="W75" s="182">
        <f>F75+G75+H75</f>
        <v>0</v>
      </c>
      <c r="X75" s="182">
        <f>I75+J75+K75</f>
        <v>0</v>
      </c>
      <c r="Y75" s="182">
        <f>L75+M75+N75</f>
        <v>0</v>
      </c>
      <c r="Z75" s="182"/>
      <c r="AA75" s="182">
        <f>SUM(V75:Y75)</f>
        <v>0</v>
      </c>
      <c r="AB75" s="171"/>
      <c r="AC75" s="171"/>
      <c r="AD75" s="165" t="str">
        <f>A75</f>
        <v xml:space="preserve">   Other Revenue</v>
      </c>
      <c r="AF75" s="182">
        <f>C75</f>
        <v>0</v>
      </c>
      <c r="AG75" s="182">
        <f t="shared" si="59"/>
        <v>0</v>
      </c>
      <c r="AH75" s="182">
        <f t="shared" si="59"/>
        <v>0</v>
      </c>
      <c r="AI75" s="182">
        <f t="shared" si="59"/>
        <v>0</v>
      </c>
      <c r="AJ75" s="182">
        <f t="shared" si="59"/>
        <v>0</v>
      </c>
      <c r="AK75" s="182">
        <f t="shared" si="59"/>
        <v>0</v>
      </c>
      <c r="AL75" s="182">
        <f t="shared" si="59"/>
        <v>0</v>
      </c>
      <c r="AM75" s="182">
        <f t="shared" si="59"/>
        <v>0</v>
      </c>
      <c r="AN75" s="182">
        <f t="shared" si="59"/>
        <v>0</v>
      </c>
      <c r="AO75" s="182">
        <f t="shared" si="59"/>
        <v>0</v>
      </c>
      <c r="AP75" s="182">
        <f t="shared" si="59"/>
        <v>0</v>
      </c>
      <c r="AQ75" s="182">
        <f t="shared" si="59"/>
        <v>0</v>
      </c>
    </row>
    <row r="76" spans="1:43" ht="3.95" customHeight="1" x14ac:dyDescent="0.2">
      <c r="A76" s="171"/>
      <c r="C76" s="179"/>
      <c r="D76" s="179"/>
      <c r="E76" s="179"/>
      <c r="F76" s="179"/>
      <c r="G76" s="179"/>
      <c r="H76" s="179"/>
      <c r="I76" s="179"/>
      <c r="J76" s="179"/>
      <c r="K76" s="179"/>
      <c r="L76" s="179"/>
      <c r="M76" s="179"/>
      <c r="N76" s="179"/>
      <c r="O76" s="179"/>
      <c r="P76" s="179"/>
      <c r="Q76" s="179"/>
      <c r="R76" s="180"/>
      <c r="S76" s="171"/>
      <c r="T76" s="181"/>
      <c r="V76" s="179"/>
      <c r="W76" s="179"/>
      <c r="X76" s="179"/>
      <c r="Y76" s="179"/>
      <c r="Z76" s="179"/>
      <c r="AA76" s="179"/>
      <c r="AB76" s="171"/>
      <c r="AC76" s="171"/>
      <c r="AD76" s="171"/>
      <c r="AF76" s="179"/>
      <c r="AG76" s="179"/>
      <c r="AH76" s="179"/>
      <c r="AI76" s="179"/>
      <c r="AJ76" s="179"/>
      <c r="AK76" s="179"/>
      <c r="AL76" s="179"/>
      <c r="AM76" s="179"/>
      <c r="AN76" s="179"/>
      <c r="AO76" s="179"/>
      <c r="AP76" s="179"/>
      <c r="AQ76" s="179"/>
    </row>
    <row r="77" spans="1:43" x14ac:dyDescent="0.2">
      <c r="A77" s="418" t="s">
        <v>821</v>
      </c>
      <c r="B77" s="694"/>
      <c r="C77" s="183">
        <f>C72+C74+C75</f>
        <v>0</v>
      </c>
      <c r="D77" s="183">
        <f t="shared" ref="D77:Q77" si="60">D72+D74+D75</f>
        <v>0</v>
      </c>
      <c r="E77" s="183">
        <f t="shared" si="60"/>
        <v>0</v>
      </c>
      <c r="F77" s="183">
        <f t="shared" si="60"/>
        <v>0</v>
      </c>
      <c r="G77" s="183">
        <f t="shared" si="60"/>
        <v>0</v>
      </c>
      <c r="H77" s="183">
        <f t="shared" si="60"/>
        <v>0</v>
      </c>
      <c r="I77" s="183">
        <f t="shared" si="60"/>
        <v>0</v>
      </c>
      <c r="J77" s="183">
        <f t="shared" si="60"/>
        <v>0</v>
      </c>
      <c r="K77" s="183">
        <f t="shared" si="60"/>
        <v>0</v>
      </c>
      <c r="L77" s="183">
        <f t="shared" si="60"/>
        <v>0</v>
      </c>
      <c r="M77" s="183">
        <f t="shared" si="60"/>
        <v>0</v>
      </c>
      <c r="N77" s="183">
        <f t="shared" si="60"/>
        <v>0</v>
      </c>
      <c r="O77" s="183">
        <f t="shared" si="60"/>
        <v>0</v>
      </c>
      <c r="P77" s="183">
        <f t="shared" si="60"/>
        <v>0</v>
      </c>
      <c r="Q77" s="183">
        <f t="shared" si="60"/>
        <v>0</v>
      </c>
      <c r="R77" s="427"/>
      <c r="S77" s="169"/>
      <c r="T77" s="177" t="str">
        <f>A77</f>
        <v xml:space="preserve">      Net Operating Income</v>
      </c>
      <c r="U77" s="671"/>
      <c r="V77" s="183">
        <f>SUM(V72:V75)</f>
        <v>0</v>
      </c>
      <c r="W77" s="183">
        <f>SUM(W72:W75)</f>
        <v>0</v>
      </c>
      <c r="X77" s="183">
        <f>SUM(X72:X75)</f>
        <v>0</v>
      </c>
      <c r="Y77" s="183">
        <f>SUM(Y72:Y75)</f>
        <v>0</v>
      </c>
      <c r="Z77" s="183"/>
      <c r="AA77" s="183">
        <f>SUM(AA72:AA75)</f>
        <v>0</v>
      </c>
      <c r="AB77" s="169"/>
      <c r="AC77" s="169"/>
      <c r="AD77" s="166" t="str">
        <f>A77</f>
        <v xml:space="preserve">      Net Operating Income</v>
      </c>
      <c r="AF77" s="183">
        <f>C77</f>
        <v>0</v>
      </c>
      <c r="AG77" s="183">
        <f t="shared" ref="AG77:AQ77" si="61">D77+AF77</f>
        <v>0</v>
      </c>
      <c r="AH77" s="183">
        <f t="shared" si="61"/>
        <v>0</v>
      </c>
      <c r="AI77" s="183">
        <f t="shared" si="61"/>
        <v>0</v>
      </c>
      <c r="AJ77" s="183">
        <f t="shared" si="61"/>
        <v>0</v>
      </c>
      <c r="AK77" s="183">
        <f t="shared" si="61"/>
        <v>0</v>
      </c>
      <c r="AL77" s="183">
        <f t="shared" si="61"/>
        <v>0</v>
      </c>
      <c r="AM77" s="183">
        <f t="shared" si="61"/>
        <v>0</v>
      </c>
      <c r="AN77" s="183">
        <f t="shared" si="61"/>
        <v>0</v>
      </c>
      <c r="AO77" s="183">
        <f t="shared" si="61"/>
        <v>0</v>
      </c>
      <c r="AP77" s="183">
        <f t="shared" si="61"/>
        <v>0</v>
      </c>
      <c r="AQ77" s="183">
        <f t="shared" si="61"/>
        <v>0</v>
      </c>
    </row>
    <row r="78" spans="1:43" x14ac:dyDescent="0.2">
      <c r="A78" s="171"/>
      <c r="C78" s="179"/>
      <c r="D78" s="179"/>
      <c r="E78" s="179"/>
      <c r="F78" s="186"/>
      <c r="G78" s="179"/>
      <c r="H78" s="179"/>
      <c r="I78" s="179"/>
      <c r="J78" s="179"/>
      <c r="K78" s="179"/>
      <c r="L78" s="179"/>
      <c r="M78" s="179"/>
      <c r="N78" s="179"/>
      <c r="O78" s="179"/>
      <c r="P78" s="179"/>
      <c r="Q78" s="179"/>
      <c r="R78" s="180"/>
      <c r="S78" s="171"/>
      <c r="T78" s="181"/>
      <c r="V78" s="179"/>
      <c r="W78" s="179"/>
      <c r="X78" s="179"/>
      <c r="Y78" s="179"/>
      <c r="Z78" s="179"/>
      <c r="AA78" s="179"/>
      <c r="AB78" s="171"/>
      <c r="AC78" s="171"/>
      <c r="AD78" s="171"/>
      <c r="AF78" s="179"/>
      <c r="AG78" s="179"/>
      <c r="AH78" s="179"/>
      <c r="AI78" s="179"/>
      <c r="AJ78" s="179"/>
      <c r="AK78" s="179"/>
      <c r="AL78" s="179"/>
      <c r="AM78" s="179"/>
      <c r="AN78" s="179"/>
      <c r="AO78" s="179"/>
      <c r="AP78" s="179"/>
      <c r="AQ78" s="179"/>
    </row>
    <row r="79" spans="1:43" x14ac:dyDescent="0.2">
      <c r="A79" s="418" t="s">
        <v>822</v>
      </c>
      <c r="C79" s="180"/>
      <c r="D79" s="180"/>
      <c r="E79" s="180"/>
      <c r="F79" s="180"/>
      <c r="G79" s="180"/>
      <c r="H79" s="180"/>
      <c r="I79" s="180"/>
      <c r="J79" s="180"/>
      <c r="K79" s="180"/>
      <c r="L79" s="180"/>
      <c r="M79" s="180"/>
      <c r="N79" s="180"/>
      <c r="O79" s="180"/>
      <c r="P79" s="180"/>
      <c r="Q79" s="179"/>
      <c r="R79" s="180"/>
      <c r="S79" s="171"/>
      <c r="T79" s="177" t="str">
        <f t="shared" ref="T79:T85" si="62">A79</f>
        <v>OPERATING EXPENSES</v>
      </c>
      <c r="V79" s="179"/>
      <c r="W79" s="179"/>
      <c r="X79" s="179"/>
      <c r="Y79" s="179"/>
      <c r="Z79" s="179"/>
      <c r="AA79" s="179"/>
      <c r="AB79" s="171"/>
      <c r="AC79" s="171"/>
      <c r="AD79" s="166" t="str">
        <f t="shared" ref="AD79:AD85" si="63">A79</f>
        <v>OPERATING EXPENSES</v>
      </c>
      <c r="AF79" s="179"/>
      <c r="AG79" s="179"/>
      <c r="AH79" s="179"/>
      <c r="AI79" s="179"/>
      <c r="AJ79" s="179"/>
      <c r="AK79" s="179"/>
      <c r="AL79" s="179"/>
      <c r="AM79" s="179"/>
      <c r="AN79" s="179"/>
      <c r="AO79" s="179"/>
      <c r="AP79" s="179"/>
      <c r="AQ79" s="179"/>
    </row>
    <row r="80" spans="1:43" x14ac:dyDescent="0.2">
      <c r="A80" s="419" t="s">
        <v>823</v>
      </c>
      <c r="C80" s="667">
        <v>0</v>
      </c>
      <c r="D80" s="667">
        <v>0</v>
      </c>
      <c r="E80" s="667">
        <v>0</v>
      </c>
      <c r="F80" s="667">
        <v>0</v>
      </c>
      <c r="G80" s="667">
        <v>0</v>
      </c>
      <c r="H80" s="667">
        <v>0</v>
      </c>
      <c r="I80" s="667">
        <v>0</v>
      </c>
      <c r="J80" s="667">
        <v>0</v>
      </c>
      <c r="K80" s="667">
        <v>0</v>
      </c>
      <c r="L80" s="667">
        <v>0</v>
      </c>
      <c r="M80" s="667">
        <v>0</v>
      </c>
      <c r="N80" s="667">
        <v>0</v>
      </c>
      <c r="O80" s="179">
        <f t="shared" ref="O80:O85" si="64">SUM(C80:N80)</f>
        <v>0</v>
      </c>
      <c r="P80" s="180">
        <f t="shared" ref="P80:P85" si="65">SUM(C80:D80)</f>
        <v>0</v>
      </c>
      <c r="Q80" s="179">
        <f t="shared" ref="Q80:Q85" si="66">O80-P80</f>
        <v>0</v>
      </c>
      <c r="R80" s="617"/>
      <c r="S80" s="171"/>
      <c r="T80" s="181" t="str">
        <f t="shared" si="62"/>
        <v xml:space="preserve">   Operations and Maintenance</v>
      </c>
      <c r="V80" s="179">
        <f t="shared" ref="V80:V85" si="67">C80+D80+E80</f>
        <v>0</v>
      </c>
      <c r="W80" s="179">
        <f t="shared" ref="W80:W85" si="68">F80+G80+H80</f>
        <v>0</v>
      </c>
      <c r="X80" s="179">
        <f t="shared" ref="X80:X85" si="69">I80+J80+K80</f>
        <v>0</v>
      </c>
      <c r="Y80" s="179">
        <f t="shared" ref="Y80:Y85" si="70">L80+M80+N80</f>
        <v>0</v>
      </c>
      <c r="Z80" s="179"/>
      <c r="AA80" s="179">
        <f t="shared" ref="AA80:AA85" si="71">SUM(V80:Y80)</f>
        <v>0</v>
      </c>
      <c r="AB80" s="171"/>
      <c r="AD80" s="165" t="str">
        <f t="shared" si="63"/>
        <v xml:space="preserve">   Operations and Maintenance</v>
      </c>
      <c r="AF80" s="179">
        <f t="shared" ref="AF80:AF85" si="72">C80</f>
        <v>0</v>
      </c>
      <c r="AG80" s="179">
        <f t="shared" ref="AG80:AG85" si="73">D80+AF80</f>
        <v>0</v>
      </c>
      <c r="AH80" s="179">
        <f t="shared" ref="AH80:AH85" si="74">E80+AG80</f>
        <v>0</v>
      </c>
      <c r="AI80" s="179">
        <f t="shared" ref="AI80:AI85" si="75">F80+AH80</f>
        <v>0</v>
      </c>
      <c r="AJ80" s="179">
        <f t="shared" ref="AJ80:AJ85" si="76">G80+AI80</f>
        <v>0</v>
      </c>
      <c r="AK80" s="179">
        <f t="shared" ref="AK80:AK85" si="77">H80+AJ80</f>
        <v>0</v>
      </c>
      <c r="AL80" s="179">
        <f t="shared" ref="AL80:AL85" si="78">I80+AK80</f>
        <v>0</v>
      </c>
      <c r="AM80" s="179">
        <f t="shared" ref="AM80:AM85" si="79">J80+AL80</f>
        <v>0</v>
      </c>
      <c r="AN80" s="179">
        <f t="shared" ref="AN80:AN85" si="80">K80+AM80</f>
        <v>0</v>
      </c>
      <c r="AO80" s="179">
        <f t="shared" ref="AO80:AO85" si="81">L80+AN80</f>
        <v>0</v>
      </c>
      <c r="AP80" s="179">
        <f t="shared" ref="AP80:AP85" si="82">M80+AO80</f>
        <v>0</v>
      </c>
      <c r="AQ80" s="179">
        <f t="shared" ref="AQ80:AQ85" si="83">N80+AP80</f>
        <v>0</v>
      </c>
    </row>
    <row r="81" spans="1:43" x14ac:dyDescent="0.2">
      <c r="A81" s="419" t="s">
        <v>824</v>
      </c>
      <c r="C81" s="667">
        <v>0</v>
      </c>
      <c r="D81" s="667">
        <v>0</v>
      </c>
      <c r="E81" s="667">
        <v>0</v>
      </c>
      <c r="F81" s="667">
        <v>0</v>
      </c>
      <c r="G81" s="667">
        <v>0</v>
      </c>
      <c r="H81" s="667">
        <v>0</v>
      </c>
      <c r="I81" s="667">
        <v>0</v>
      </c>
      <c r="J81" s="667">
        <v>0</v>
      </c>
      <c r="K81" s="667">
        <v>0</v>
      </c>
      <c r="L81" s="667">
        <v>0</v>
      </c>
      <c r="M81" s="667">
        <v>0</v>
      </c>
      <c r="N81" s="667">
        <v>0</v>
      </c>
      <c r="O81" s="179">
        <f t="shared" si="64"/>
        <v>0</v>
      </c>
      <c r="P81" s="180">
        <f t="shared" si="65"/>
        <v>0</v>
      </c>
      <c r="Q81" s="179">
        <f t="shared" si="66"/>
        <v>0</v>
      </c>
      <c r="R81" s="617"/>
      <c r="S81" s="171"/>
      <c r="T81" s="181" t="str">
        <f t="shared" si="62"/>
        <v xml:space="preserve">   Regulatory Amortization</v>
      </c>
      <c r="V81" s="179">
        <f t="shared" si="67"/>
        <v>0</v>
      </c>
      <c r="W81" s="179">
        <f t="shared" si="68"/>
        <v>0</v>
      </c>
      <c r="X81" s="179">
        <f t="shared" si="69"/>
        <v>0</v>
      </c>
      <c r="Y81" s="179">
        <f t="shared" si="70"/>
        <v>0</v>
      </c>
      <c r="Z81" s="179"/>
      <c r="AA81" s="179">
        <f t="shared" si="71"/>
        <v>0</v>
      </c>
      <c r="AB81" s="171"/>
      <c r="AC81" s="171"/>
      <c r="AD81" s="165" t="str">
        <f t="shared" si="63"/>
        <v xml:space="preserve">   Regulatory Amortization</v>
      </c>
      <c r="AF81" s="179">
        <f t="shared" si="72"/>
        <v>0</v>
      </c>
      <c r="AG81" s="179">
        <f t="shared" si="73"/>
        <v>0</v>
      </c>
      <c r="AH81" s="179">
        <f t="shared" si="74"/>
        <v>0</v>
      </c>
      <c r="AI81" s="179">
        <f t="shared" si="75"/>
        <v>0</v>
      </c>
      <c r="AJ81" s="179">
        <f t="shared" si="76"/>
        <v>0</v>
      </c>
      <c r="AK81" s="179">
        <f t="shared" si="77"/>
        <v>0</v>
      </c>
      <c r="AL81" s="179">
        <f t="shared" si="78"/>
        <v>0</v>
      </c>
      <c r="AM81" s="179">
        <f t="shared" si="79"/>
        <v>0</v>
      </c>
      <c r="AN81" s="179">
        <f t="shared" si="80"/>
        <v>0</v>
      </c>
      <c r="AO81" s="179">
        <f t="shared" si="81"/>
        <v>0</v>
      </c>
      <c r="AP81" s="179">
        <f t="shared" si="82"/>
        <v>0</v>
      </c>
      <c r="AQ81" s="179">
        <f t="shared" si="83"/>
        <v>0</v>
      </c>
    </row>
    <row r="82" spans="1:43" x14ac:dyDescent="0.2">
      <c r="A82" s="421" t="s">
        <v>825</v>
      </c>
      <c r="C82" s="667">
        <v>0</v>
      </c>
      <c r="D82" s="667">
        <v>0</v>
      </c>
      <c r="E82" s="667">
        <v>0</v>
      </c>
      <c r="F82" s="667">
        <v>0</v>
      </c>
      <c r="G82" s="667">
        <v>0</v>
      </c>
      <c r="H82" s="667">
        <v>0</v>
      </c>
      <c r="I82" s="667">
        <v>0</v>
      </c>
      <c r="J82" s="667">
        <v>0</v>
      </c>
      <c r="K82" s="667">
        <v>0</v>
      </c>
      <c r="L82" s="667">
        <v>0</v>
      </c>
      <c r="M82" s="667">
        <v>0</v>
      </c>
      <c r="N82" s="667">
        <v>0</v>
      </c>
      <c r="O82" s="179">
        <f t="shared" si="64"/>
        <v>0</v>
      </c>
      <c r="P82" s="180">
        <f t="shared" si="65"/>
        <v>0</v>
      </c>
      <c r="Q82" s="179">
        <f t="shared" si="66"/>
        <v>0</v>
      </c>
      <c r="R82" s="617"/>
      <c r="S82" s="171"/>
      <c r="T82" s="181" t="str">
        <f t="shared" si="62"/>
        <v xml:space="preserve">   Fuel Used in Operations</v>
      </c>
      <c r="V82" s="179">
        <f t="shared" si="67"/>
        <v>0</v>
      </c>
      <c r="W82" s="179">
        <f t="shared" si="68"/>
        <v>0</v>
      </c>
      <c r="X82" s="179">
        <f t="shared" si="69"/>
        <v>0</v>
      </c>
      <c r="Y82" s="179">
        <f t="shared" si="70"/>
        <v>0</v>
      </c>
      <c r="Z82" s="179"/>
      <c r="AA82" s="179">
        <f t="shared" si="71"/>
        <v>0</v>
      </c>
      <c r="AB82" s="171"/>
      <c r="AC82" s="171"/>
      <c r="AD82" s="165" t="str">
        <f t="shared" si="63"/>
        <v xml:space="preserve">   Fuel Used in Operations</v>
      </c>
      <c r="AF82" s="179">
        <f t="shared" si="72"/>
        <v>0</v>
      </c>
      <c r="AG82" s="179">
        <f t="shared" si="73"/>
        <v>0</v>
      </c>
      <c r="AH82" s="179">
        <f t="shared" si="74"/>
        <v>0</v>
      </c>
      <c r="AI82" s="179">
        <f t="shared" si="75"/>
        <v>0</v>
      </c>
      <c r="AJ82" s="179">
        <f t="shared" si="76"/>
        <v>0</v>
      </c>
      <c r="AK82" s="179">
        <f t="shared" si="77"/>
        <v>0</v>
      </c>
      <c r="AL82" s="179">
        <f t="shared" si="78"/>
        <v>0</v>
      </c>
      <c r="AM82" s="179">
        <f t="shared" si="79"/>
        <v>0</v>
      </c>
      <c r="AN82" s="179">
        <f t="shared" si="80"/>
        <v>0</v>
      </c>
      <c r="AO82" s="179">
        <f t="shared" si="81"/>
        <v>0</v>
      </c>
      <c r="AP82" s="179">
        <f t="shared" si="82"/>
        <v>0</v>
      </c>
      <c r="AQ82" s="179">
        <f t="shared" si="83"/>
        <v>0</v>
      </c>
    </row>
    <row r="83" spans="1:43" x14ac:dyDescent="0.2">
      <c r="A83" s="422" t="s">
        <v>826</v>
      </c>
      <c r="B83" s="689"/>
      <c r="C83" s="667">
        <v>0</v>
      </c>
      <c r="D83" s="667">
        <v>0</v>
      </c>
      <c r="E83" s="667">
        <v>0</v>
      </c>
      <c r="F83" s="667">
        <v>0</v>
      </c>
      <c r="G83" s="667">
        <v>0</v>
      </c>
      <c r="H83" s="667">
        <v>0</v>
      </c>
      <c r="I83" s="667">
        <v>0</v>
      </c>
      <c r="J83" s="667">
        <v>0</v>
      </c>
      <c r="K83" s="667">
        <v>0</v>
      </c>
      <c r="L83" s="667">
        <v>0</v>
      </c>
      <c r="M83" s="667">
        <v>0</v>
      </c>
      <c r="N83" s="667">
        <v>0</v>
      </c>
      <c r="O83" s="179">
        <f t="shared" si="64"/>
        <v>0</v>
      </c>
      <c r="P83" s="180">
        <f t="shared" si="65"/>
        <v>0</v>
      </c>
      <c r="Q83" s="179">
        <f t="shared" si="66"/>
        <v>0</v>
      </c>
      <c r="R83" s="617"/>
      <c r="S83" s="171"/>
      <c r="T83" s="181" t="str">
        <f t="shared" si="62"/>
        <v xml:space="preserve">   Transmission, Compression &amp; Storage</v>
      </c>
      <c r="U83" s="689"/>
      <c r="V83" s="179">
        <f t="shared" si="67"/>
        <v>0</v>
      </c>
      <c r="W83" s="179">
        <f t="shared" si="68"/>
        <v>0</v>
      </c>
      <c r="X83" s="179">
        <f t="shared" si="69"/>
        <v>0</v>
      </c>
      <c r="Y83" s="179">
        <f t="shared" si="70"/>
        <v>0</v>
      </c>
      <c r="Z83" s="179"/>
      <c r="AA83" s="179">
        <f t="shared" si="71"/>
        <v>0</v>
      </c>
      <c r="AB83" s="171"/>
      <c r="AC83" s="171"/>
      <c r="AD83" s="165" t="str">
        <f t="shared" si="63"/>
        <v xml:space="preserve">   Transmission, Compression &amp; Storage</v>
      </c>
      <c r="AF83" s="179">
        <f t="shared" si="72"/>
        <v>0</v>
      </c>
      <c r="AG83" s="179">
        <f t="shared" si="73"/>
        <v>0</v>
      </c>
      <c r="AH83" s="179">
        <f t="shared" si="74"/>
        <v>0</v>
      </c>
      <c r="AI83" s="179">
        <f t="shared" si="75"/>
        <v>0</v>
      </c>
      <c r="AJ83" s="179">
        <f t="shared" si="76"/>
        <v>0</v>
      </c>
      <c r="AK83" s="179">
        <f t="shared" si="77"/>
        <v>0</v>
      </c>
      <c r="AL83" s="179">
        <f t="shared" si="78"/>
        <v>0</v>
      </c>
      <c r="AM83" s="179">
        <f t="shared" si="79"/>
        <v>0</v>
      </c>
      <c r="AN83" s="179">
        <f t="shared" si="80"/>
        <v>0</v>
      </c>
      <c r="AO83" s="179">
        <f t="shared" si="81"/>
        <v>0</v>
      </c>
      <c r="AP83" s="179">
        <f t="shared" si="82"/>
        <v>0</v>
      </c>
      <c r="AQ83" s="179">
        <f t="shared" si="83"/>
        <v>0</v>
      </c>
    </row>
    <row r="84" spans="1:43" x14ac:dyDescent="0.2">
      <c r="A84" s="419" t="s">
        <v>827</v>
      </c>
      <c r="C84" s="179">
        <f>'Fuel-Depr-OtherTax'!C21</f>
        <v>28</v>
      </c>
      <c r="D84" s="179">
        <f>'Fuel-Depr-OtherTax'!D21</f>
        <v>28</v>
      </c>
      <c r="E84" s="179">
        <f>'Fuel-Depr-OtherTax'!E21</f>
        <v>28</v>
      </c>
      <c r="F84" s="179">
        <f>'Fuel-Depr-OtherTax'!F21</f>
        <v>28</v>
      </c>
      <c r="G84" s="179">
        <f>'Fuel-Depr-OtherTax'!G21</f>
        <v>28</v>
      </c>
      <c r="H84" s="179">
        <f>'Fuel-Depr-OtherTax'!H21</f>
        <v>28</v>
      </c>
      <c r="I84" s="179">
        <f>'Fuel-Depr-OtherTax'!I21</f>
        <v>28</v>
      </c>
      <c r="J84" s="179">
        <f>'Fuel-Depr-OtherTax'!J21</f>
        <v>28</v>
      </c>
      <c r="K84" s="179">
        <f>'Fuel-Depr-OtherTax'!K21</f>
        <v>28</v>
      </c>
      <c r="L84" s="179">
        <f>'Fuel-Depr-OtherTax'!L21</f>
        <v>28</v>
      </c>
      <c r="M84" s="179">
        <f>'Fuel-Depr-OtherTax'!M21</f>
        <v>28</v>
      </c>
      <c r="N84" s="179">
        <f>'Fuel-Depr-OtherTax'!N21</f>
        <v>28</v>
      </c>
      <c r="O84" s="179">
        <f t="shared" si="64"/>
        <v>336</v>
      </c>
      <c r="P84" s="180">
        <f t="shared" si="65"/>
        <v>56</v>
      </c>
      <c r="Q84" s="179">
        <f t="shared" si="66"/>
        <v>280</v>
      </c>
      <c r="R84" s="617"/>
      <c r="S84" s="171"/>
      <c r="T84" s="181" t="str">
        <f t="shared" si="62"/>
        <v xml:space="preserve">   Depreciation &amp; Amortization</v>
      </c>
      <c r="V84" s="179">
        <f t="shared" si="67"/>
        <v>84</v>
      </c>
      <c r="W84" s="179">
        <f t="shared" si="68"/>
        <v>84</v>
      </c>
      <c r="X84" s="179">
        <f t="shared" si="69"/>
        <v>84</v>
      </c>
      <c r="Y84" s="179">
        <f t="shared" si="70"/>
        <v>84</v>
      </c>
      <c r="Z84" s="179"/>
      <c r="AA84" s="179">
        <f t="shared" si="71"/>
        <v>336</v>
      </c>
      <c r="AB84" s="171"/>
      <c r="AC84" s="171"/>
      <c r="AD84" s="165" t="str">
        <f t="shared" si="63"/>
        <v xml:space="preserve">   Depreciation &amp; Amortization</v>
      </c>
      <c r="AE84" s="689"/>
      <c r="AF84" s="179">
        <f t="shared" si="72"/>
        <v>28</v>
      </c>
      <c r="AG84" s="179">
        <f t="shared" si="73"/>
        <v>56</v>
      </c>
      <c r="AH84" s="179">
        <f t="shared" si="74"/>
        <v>84</v>
      </c>
      <c r="AI84" s="179">
        <f t="shared" si="75"/>
        <v>112</v>
      </c>
      <c r="AJ84" s="179">
        <f t="shared" si="76"/>
        <v>140</v>
      </c>
      <c r="AK84" s="179">
        <f t="shared" si="77"/>
        <v>168</v>
      </c>
      <c r="AL84" s="179">
        <f t="shared" si="78"/>
        <v>196</v>
      </c>
      <c r="AM84" s="179">
        <f t="shared" si="79"/>
        <v>224</v>
      </c>
      <c r="AN84" s="179">
        <f t="shared" si="80"/>
        <v>252</v>
      </c>
      <c r="AO84" s="179">
        <f t="shared" si="81"/>
        <v>280</v>
      </c>
      <c r="AP84" s="179">
        <f t="shared" si="82"/>
        <v>308</v>
      </c>
      <c r="AQ84" s="179">
        <f t="shared" si="83"/>
        <v>336</v>
      </c>
    </row>
    <row r="85" spans="1:43" x14ac:dyDescent="0.2">
      <c r="A85" s="419" t="s">
        <v>828</v>
      </c>
      <c r="C85" s="182">
        <f>'Fuel-Depr-OtherTax'!C32</f>
        <v>0</v>
      </c>
      <c r="D85" s="182">
        <f>'Fuel-Depr-OtherTax'!D32</f>
        <v>0</v>
      </c>
      <c r="E85" s="182">
        <f>'Fuel-Depr-OtherTax'!E32</f>
        <v>0</v>
      </c>
      <c r="F85" s="182">
        <f>'Fuel-Depr-OtherTax'!F32</f>
        <v>0</v>
      </c>
      <c r="G85" s="182">
        <f>'Fuel-Depr-OtherTax'!G32</f>
        <v>0</v>
      </c>
      <c r="H85" s="182">
        <f>'Fuel-Depr-OtherTax'!H32</f>
        <v>0</v>
      </c>
      <c r="I85" s="182">
        <f>'Fuel-Depr-OtherTax'!I32</f>
        <v>0</v>
      </c>
      <c r="J85" s="182">
        <f>'Fuel-Depr-OtherTax'!J32</f>
        <v>0</v>
      </c>
      <c r="K85" s="182">
        <f>'Fuel-Depr-OtherTax'!K32</f>
        <v>0</v>
      </c>
      <c r="L85" s="182">
        <f>'Fuel-Depr-OtherTax'!L32</f>
        <v>0</v>
      </c>
      <c r="M85" s="182">
        <f>'Fuel-Depr-OtherTax'!M32</f>
        <v>0</v>
      </c>
      <c r="N85" s="182">
        <f>'Fuel-Depr-OtherTax'!N32</f>
        <v>0</v>
      </c>
      <c r="O85" s="182">
        <f t="shared" si="64"/>
        <v>0</v>
      </c>
      <c r="P85" s="273">
        <f t="shared" si="65"/>
        <v>0</v>
      </c>
      <c r="Q85" s="182">
        <f t="shared" si="66"/>
        <v>0</v>
      </c>
      <c r="R85" s="618"/>
      <c r="S85" s="171"/>
      <c r="T85" s="181" t="str">
        <f t="shared" si="62"/>
        <v xml:space="preserve">   Taxes Other Than Income</v>
      </c>
      <c r="V85" s="182">
        <f t="shared" si="67"/>
        <v>0</v>
      </c>
      <c r="W85" s="182">
        <f t="shared" si="68"/>
        <v>0</v>
      </c>
      <c r="X85" s="182">
        <f t="shared" si="69"/>
        <v>0</v>
      </c>
      <c r="Y85" s="182">
        <f t="shared" si="70"/>
        <v>0</v>
      </c>
      <c r="Z85" s="182"/>
      <c r="AA85" s="182">
        <f t="shared" si="71"/>
        <v>0</v>
      </c>
      <c r="AB85" s="171"/>
      <c r="AC85" s="171"/>
      <c r="AD85" s="165" t="str">
        <f t="shared" si="63"/>
        <v xml:space="preserve">   Taxes Other Than Income</v>
      </c>
      <c r="AF85" s="182">
        <f t="shared" si="72"/>
        <v>0</v>
      </c>
      <c r="AG85" s="182">
        <f t="shared" si="73"/>
        <v>0</v>
      </c>
      <c r="AH85" s="182">
        <f t="shared" si="74"/>
        <v>0</v>
      </c>
      <c r="AI85" s="182">
        <f t="shared" si="75"/>
        <v>0</v>
      </c>
      <c r="AJ85" s="182">
        <f t="shared" si="76"/>
        <v>0</v>
      </c>
      <c r="AK85" s="182">
        <f t="shared" si="77"/>
        <v>0</v>
      </c>
      <c r="AL85" s="182">
        <f t="shared" si="78"/>
        <v>0</v>
      </c>
      <c r="AM85" s="182">
        <f t="shared" si="79"/>
        <v>0</v>
      </c>
      <c r="AN85" s="182">
        <f t="shared" si="80"/>
        <v>0</v>
      </c>
      <c r="AO85" s="182">
        <f t="shared" si="81"/>
        <v>0</v>
      </c>
      <c r="AP85" s="182">
        <f t="shared" si="82"/>
        <v>0</v>
      </c>
      <c r="AQ85" s="182">
        <f t="shared" si="83"/>
        <v>0</v>
      </c>
    </row>
    <row r="86" spans="1:43" ht="3.95" customHeight="1" x14ac:dyDescent="0.2">
      <c r="A86" s="171"/>
      <c r="C86" s="179"/>
      <c r="D86" s="179"/>
      <c r="E86" s="179"/>
      <c r="F86" s="179"/>
      <c r="G86" s="179"/>
      <c r="H86" s="179"/>
      <c r="I86" s="179"/>
      <c r="J86" s="179"/>
      <c r="K86" s="179"/>
      <c r="L86" s="179"/>
      <c r="M86" s="179"/>
      <c r="N86" s="179"/>
      <c r="O86" s="179"/>
      <c r="P86" s="179"/>
      <c r="Q86" s="179"/>
      <c r="R86" s="180"/>
      <c r="S86" s="171"/>
      <c r="T86" s="181"/>
      <c r="V86" s="179"/>
      <c r="W86" s="179"/>
      <c r="X86" s="179"/>
      <c r="Y86" s="179"/>
      <c r="Z86" s="179"/>
      <c r="AA86" s="179"/>
      <c r="AB86" s="171"/>
      <c r="AC86" s="171"/>
      <c r="AD86" s="171"/>
      <c r="AF86" s="179"/>
      <c r="AG86" s="179"/>
      <c r="AH86" s="179"/>
      <c r="AI86" s="179"/>
      <c r="AJ86" s="179"/>
      <c r="AK86" s="179"/>
      <c r="AL86" s="179"/>
      <c r="AM86" s="179"/>
      <c r="AN86" s="179"/>
      <c r="AO86" s="179"/>
      <c r="AP86" s="179"/>
      <c r="AQ86" s="179"/>
    </row>
    <row r="87" spans="1:43" x14ac:dyDescent="0.2">
      <c r="A87" s="418" t="s">
        <v>829</v>
      </c>
      <c r="B87" s="694"/>
      <c r="C87" s="183">
        <f t="shared" ref="C87:Q87" si="84">SUM(C80:C85)</f>
        <v>28</v>
      </c>
      <c r="D87" s="183">
        <f t="shared" si="84"/>
        <v>28</v>
      </c>
      <c r="E87" s="183">
        <f t="shared" si="84"/>
        <v>28</v>
      </c>
      <c r="F87" s="183">
        <f t="shared" si="84"/>
        <v>28</v>
      </c>
      <c r="G87" s="183">
        <f t="shared" si="84"/>
        <v>28</v>
      </c>
      <c r="H87" s="183">
        <f t="shared" si="84"/>
        <v>28</v>
      </c>
      <c r="I87" s="183">
        <f t="shared" si="84"/>
        <v>28</v>
      </c>
      <c r="J87" s="183">
        <f t="shared" si="84"/>
        <v>28</v>
      </c>
      <c r="K87" s="183">
        <f t="shared" si="84"/>
        <v>28</v>
      </c>
      <c r="L87" s="183">
        <f t="shared" si="84"/>
        <v>28</v>
      </c>
      <c r="M87" s="183">
        <f t="shared" si="84"/>
        <v>28</v>
      </c>
      <c r="N87" s="183">
        <f t="shared" si="84"/>
        <v>28</v>
      </c>
      <c r="O87" s="183">
        <f t="shared" si="84"/>
        <v>336</v>
      </c>
      <c r="P87" s="183">
        <f t="shared" si="84"/>
        <v>56</v>
      </c>
      <c r="Q87" s="183">
        <f t="shared" si="84"/>
        <v>280</v>
      </c>
      <c r="R87" s="426"/>
      <c r="S87" s="169"/>
      <c r="T87" s="177" t="str">
        <f>A87</f>
        <v xml:space="preserve">     Total Operating Expenses</v>
      </c>
      <c r="U87" s="671"/>
      <c r="V87" s="183">
        <f>SUM(V80:V85)</f>
        <v>84</v>
      </c>
      <c r="W87" s="183">
        <f>SUM(W80:W85)</f>
        <v>84</v>
      </c>
      <c r="X87" s="183">
        <f>SUM(X80:X85)</f>
        <v>84</v>
      </c>
      <c r="Y87" s="183">
        <f>SUM(Y80:Y85)</f>
        <v>84</v>
      </c>
      <c r="Z87" s="183"/>
      <c r="AA87" s="183">
        <f>SUM(AA80:AA85)</f>
        <v>336</v>
      </c>
      <c r="AB87" s="169"/>
      <c r="AC87" s="169"/>
      <c r="AD87" s="166" t="str">
        <f>A87</f>
        <v xml:space="preserve">     Total Operating Expenses</v>
      </c>
      <c r="AF87" s="183">
        <f>C87</f>
        <v>28</v>
      </c>
      <c r="AG87" s="183">
        <f t="shared" ref="AG87:AQ87" si="85">D87+AF87</f>
        <v>56</v>
      </c>
      <c r="AH87" s="183">
        <f t="shared" si="85"/>
        <v>84</v>
      </c>
      <c r="AI87" s="183">
        <f t="shared" si="85"/>
        <v>112</v>
      </c>
      <c r="AJ87" s="183">
        <f t="shared" si="85"/>
        <v>140</v>
      </c>
      <c r="AK87" s="183">
        <f t="shared" si="85"/>
        <v>168</v>
      </c>
      <c r="AL87" s="183">
        <f t="shared" si="85"/>
        <v>196</v>
      </c>
      <c r="AM87" s="183">
        <f t="shared" si="85"/>
        <v>224</v>
      </c>
      <c r="AN87" s="183">
        <f t="shared" si="85"/>
        <v>252</v>
      </c>
      <c r="AO87" s="183">
        <f t="shared" si="85"/>
        <v>280</v>
      </c>
      <c r="AP87" s="183">
        <f t="shared" si="85"/>
        <v>308</v>
      </c>
      <c r="AQ87" s="183">
        <f t="shared" si="85"/>
        <v>336</v>
      </c>
    </row>
    <row r="88" spans="1:43" x14ac:dyDescent="0.2">
      <c r="A88" s="171"/>
      <c r="C88" s="179"/>
      <c r="D88" s="179"/>
      <c r="E88" s="179"/>
      <c r="F88" s="179"/>
      <c r="G88" s="179"/>
      <c r="H88" s="179"/>
      <c r="I88" s="179"/>
      <c r="J88" s="179"/>
      <c r="K88" s="179"/>
      <c r="L88" s="179"/>
      <c r="M88" s="179"/>
      <c r="N88" s="179"/>
      <c r="O88" s="179"/>
      <c r="P88" s="179"/>
      <c r="Q88" s="179"/>
      <c r="R88" s="180"/>
      <c r="S88" s="171"/>
      <c r="T88" s="171"/>
      <c r="V88" s="179"/>
      <c r="W88" s="179"/>
      <c r="X88" s="179"/>
      <c r="Y88" s="179"/>
      <c r="Z88" s="179"/>
      <c r="AA88" s="179"/>
      <c r="AB88" s="171"/>
      <c r="AC88" s="171"/>
      <c r="AD88" s="171"/>
      <c r="AF88" s="179"/>
      <c r="AG88" s="179"/>
      <c r="AH88" s="179"/>
      <c r="AI88" s="179"/>
      <c r="AJ88" s="179"/>
      <c r="AK88" s="179"/>
      <c r="AL88" s="179"/>
      <c r="AM88" s="179"/>
      <c r="AN88" s="179"/>
      <c r="AO88" s="179"/>
      <c r="AP88" s="179"/>
      <c r="AQ88" s="179"/>
    </row>
    <row r="89" spans="1:43" x14ac:dyDescent="0.2">
      <c r="A89" s="418" t="s">
        <v>830</v>
      </c>
      <c r="B89" s="671"/>
      <c r="C89" s="183">
        <f t="shared" ref="C89:Q89" si="86">C77-C87</f>
        <v>-28</v>
      </c>
      <c r="D89" s="183">
        <f t="shared" si="86"/>
        <v>-28</v>
      </c>
      <c r="E89" s="183">
        <f t="shared" si="86"/>
        <v>-28</v>
      </c>
      <c r="F89" s="183">
        <f t="shared" si="86"/>
        <v>-28</v>
      </c>
      <c r="G89" s="183">
        <f t="shared" si="86"/>
        <v>-28</v>
      </c>
      <c r="H89" s="183">
        <f t="shared" si="86"/>
        <v>-28</v>
      </c>
      <c r="I89" s="183">
        <f t="shared" si="86"/>
        <v>-28</v>
      </c>
      <c r="J89" s="183">
        <f t="shared" si="86"/>
        <v>-28</v>
      </c>
      <c r="K89" s="183">
        <f t="shared" si="86"/>
        <v>-28</v>
      </c>
      <c r="L89" s="183">
        <f t="shared" si="86"/>
        <v>-28</v>
      </c>
      <c r="M89" s="183">
        <f t="shared" si="86"/>
        <v>-28</v>
      </c>
      <c r="N89" s="183">
        <f t="shared" si="86"/>
        <v>-28</v>
      </c>
      <c r="O89" s="183">
        <f t="shared" si="86"/>
        <v>-336</v>
      </c>
      <c r="P89" s="183">
        <f t="shared" si="86"/>
        <v>-56</v>
      </c>
      <c r="Q89" s="183">
        <f t="shared" si="86"/>
        <v>-280</v>
      </c>
      <c r="R89" s="426"/>
      <c r="S89" s="169"/>
      <c r="T89" s="177" t="str">
        <f>A89</f>
        <v>OPERATING INCOME</v>
      </c>
      <c r="U89" s="671"/>
      <c r="V89" s="183">
        <f>V77-V87</f>
        <v>-84</v>
      </c>
      <c r="W89" s="183">
        <f>W77-W87</f>
        <v>-84</v>
      </c>
      <c r="X89" s="183">
        <f>X77-X87</f>
        <v>-84</v>
      </c>
      <c r="Y89" s="183">
        <f>Y77-Y87</f>
        <v>-84</v>
      </c>
      <c r="Z89" s="183"/>
      <c r="AA89" s="183">
        <f>AA77-AA87</f>
        <v>-336</v>
      </c>
      <c r="AB89" s="169"/>
      <c r="AC89" s="169"/>
      <c r="AD89" s="166" t="str">
        <f>A89</f>
        <v>OPERATING INCOME</v>
      </c>
      <c r="AF89" s="183">
        <f>C89</f>
        <v>-28</v>
      </c>
      <c r="AG89" s="183">
        <f t="shared" ref="AG89:AQ89" si="87">D89+AF89</f>
        <v>-56</v>
      </c>
      <c r="AH89" s="183">
        <f t="shared" si="87"/>
        <v>-84</v>
      </c>
      <c r="AI89" s="183">
        <f t="shared" si="87"/>
        <v>-112</v>
      </c>
      <c r="AJ89" s="183">
        <f t="shared" si="87"/>
        <v>-140</v>
      </c>
      <c r="AK89" s="183">
        <f t="shared" si="87"/>
        <v>-168</v>
      </c>
      <c r="AL89" s="183">
        <f t="shared" si="87"/>
        <v>-196</v>
      </c>
      <c r="AM89" s="183">
        <f t="shared" si="87"/>
        <v>-224</v>
      </c>
      <c r="AN89" s="183">
        <f t="shared" si="87"/>
        <v>-252</v>
      </c>
      <c r="AO89" s="183">
        <f t="shared" si="87"/>
        <v>-280</v>
      </c>
      <c r="AP89" s="183">
        <f t="shared" si="87"/>
        <v>-308</v>
      </c>
      <c r="AQ89" s="183">
        <f t="shared" si="87"/>
        <v>-336</v>
      </c>
    </row>
    <row r="90" spans="1:43" x14ac:dyDescent="0.2">
      <c r="A90" s="171"/>
      <c r="C90" s="179"/>
      <c r="D90" s="179"/>
      <c r="E90" s="179"/>
      <c r="F90" s="179"/>
      <c r="G90" s="179"/>
      <c r="H90" s="179"/>
      <c r="I90" s="179"/>
      <c r="J90" s="179"/>
      <c r="K90" s="179"/>
      <c r="L90" s="179"/>
      <c r="M90" s="179"/>
      <c r="N90" s="179"/>
      <c r="O90" s="179"/>
      <c r="P90" s="179"/>
      <c r="Q90" s="179"/>
      <c r="R90" s="180"/>
      <c r="S90" s="171"/>
      <c r="T90" s="171"/>
      <c r="V90" s="179"/>
      <c r="W90" s="179"/>
      <c r="X90" s="179"/>
      <c r="Y90" s="179"/>
      <c r="Z90" s="179"/>
      <c r="AA90" s="179"/>
      <c r="AB90" s="171"/>
      <c r="AC90" s="171"/>
      <c r="AD90" s="171"/>
      <c r="AF90" s="179"/>
      <c r="AG90" s="179"/>
      <c r="AH90" s="179"/>
      <c r="AI90" s="179"/>
      <c r="AJ90" s="179"/>
      <c r="AK90" s="179"/>
      <c r="AL90" s="179"/>
      <c r="AM90" s="179"/>
      <c r="AN90" s="179"/>
      <c r="AO90" s="179"/>
      <c r="AP90" s="179"/>
      <c r="AQ90" s="179"/>
    </row>
    <row r="91" spans="1:43" x14ac:dyDescent="0.2">
      <c r="A91" s="407" t="s">
        <v>831</v>
      </c>
      <c r="C91" s="179"/>
      <c r="D91" s="179"/>
      <c r="E91" s="179"/>
      <c r="F91" s="179"/>
      <c r="G91" s="179"/>
      <c r="H91" s="179"/>
      <c r="I91" s="179"/>
      <c r="J91" s="179"/>
      <c r="K91" s="179"/>
      <c r="L91" s="179"/>
      <c r="M91" s="179"/>
      <c r="N91" s="179"/>
      <c r="O91" s="180"/>
      <c r="P91" s="180"/>
      <c r="Q91" s="179"/>
      <c r="R91" s="180"/>
      <c r="S91" s="171"/>
      <c r="T91" s="177" t="str">
        <f>A91</f>
        <v>OTHER INCOME</v>
      </c>
      <c r="V91" s="179"/>
      <c r="W91" s="179"/>
      <c r="X91" s="179"/>
      <c r="Y91" s="179"/>
      <c r="Z91" s="179"/>
      <c r="AA91" s="179"/>
      <c r="AB91" s="171"/>
      <c r="AC91" s="171"/>
      <c r="AD91" s="166" t="str">
        <f>A91</f>
        <v>OTHER INCOME</v>
      </c>
      <c r="AF91" s="179"/>
      <c r="AG91" s="179"/>
      <c r="AH91" s="179"/>
      <c r="AI91" s="179"/>
      <c r="AJ91" s="179"/>
      <c r="AK91" s="179"/>
      <c r="AL91" s="179"/>
      <c r="AM91" s="179"/>
      <c r="AN91" s="179"/>
      <c r="AO91" s="179"/>
      <c r="AP91" s="179"/>
      <c r="AQ91" s="179"/>
    </row>
    <row r="92" spans="1:43" x14ac:dyDescent="0.2">
      <c r="A92" s="421" t="s">
        <v>832</v>
      </c>
      <c r="C92" s="179">
        <f>OtherInc!C12</f>
        <v>289</v>
      </c>
      <c r="D92" s="179">
        <f>OtherInc!D12</f>
        <v>287</v>
      </c>
      <c r="E92" s="179">
        <f>OtherInc!E12</f>
        <v>289</v>
      </c>
      <c r="F92" s="179">
        <f>OtherInc!F12</f>
        <v>287</v>
      </c>
      <c r="G92" s="179">
        <f>OtherInc!G12</f>
        <v>285</v>
      </c>
      <c r="H92" s="179">
        <f>OtherInc!H12</f>
        <v>846</v>
      </c>
      <c r="I92" s="179">
        <f>OtherInc!I12</f>
        <v>847</v>
      </c>
      <c r="J92" s="179">
        <f>OtherInc!J12</f>
        <v>711</v>
      </c>
      <c r="K92" s="179">
        <f>OtherInc!K12</f>
        <v>710</v>
      </c>
      <c r="L92" s="179">
        <f>OtherInc!L12</f>
        <v>681</v>
      </c>
      <c r="M92" s="179">
        <f>OtherInc!M12</f>
        <v>703</v>
      </c>
      <c r="N92" s="179">
        <f>OtherInc!N12</f>
        <v>704</v>
      </c>
      <c r="O92" s="179">
        <f>SUM(C92:N92)</f>
        <v>6639</v>
      </c>
      <c r="P92" s="180">
        <f>SUM(C92:D92)</f>
        <v>576</v>
      </c>
      <c r="Q92" s="179">
        <f>O92-P92</f>
        <v>6063</v>
      </c>
      <c r="R92" s="617"/>
      <c r="S92" s="171"/>
      <c r="T92" s="181" t="str">
        <f>A92</f>
        <v xml:space="preserve">   Partnership Income</v>
      </c>
      <c r="V92" s="179">
        <f>C92+D92+E92</f>
        <v>865</v>
      </c>
      <c r="W92" s="179">
        <f>F92+G92+H92</f>
        <v>1418</v>
      </c>
      <c r="X92" s="179">
        <f>I92+J92+K92</f>
        <v>2268</v>
      </c>
      <c r="Y92" s="179">
        <f>L92+M92+N92</f>
        <v>2088</v>
      </c>
      <c r="Z92" s="179"/>
      <c r="AA92" s="179">
        <f>SUM(V92:Y92)</f>
        <v>6639</v>
      </c>
      <c r="AB92" s="171"/>
      <c r="AC92" s="171"/>
      <c r="AD92" s="165" t="str">
        <f>A92</f>
        <v xml:space="preserve">   Partnership Income</v>
      </c>
      <c r="AF92" s="179">
        <f>C92</f>
        <v>289</v>
      </c>
      <c r="AG92" s="179">
        <f t="shared" ref="AG92:AQ94" si="88">D92+AF92</f>
        <v>576</v>
      </c>
      <c r="AH92" s="179">
        <f t="shared" si="88"/>
        <v>865</v>
      </c>
      <c r="AI92" s="179">
        <f t="shared" si="88"/>
        <v>1152</v>
      </c>
      <c r="AJ92" s="179">
        <f t="shared" si="88"/>
        <v>1437</v>
      </c>
      <c r="AK92" s="179">
        <f t="shared" si="88"/>
        <v>2283</v>
      </c>
      <c r="AL92" s="179">
        <f t="shared" si="88"/>
        <v>3130</v>
      </c>
      <c r="AM92" s="179">
        <f t="shared" si="88"/>
        <v>3841</v>
      </c>
      <c r="AN92" s="179">
        <f t="shared" si="88"/>
        <v>4551</v>
      </c>
      <c r="AO92" s="179">
        <f t="shared" si="88"/>
        <v>5232</v>
      </c>
      <c r="AP92" s="179">
        <f t="shared" si="88"/>
        <v>5935</v>
      </c>
      <c r="AQ92" s="179">
        <f t="shared" si="88"/>
        <v>6639</v>
      </c>
    </row>
    <row r="93" spans="1:43" x14ac:dyDescent="0.2">
      <c r="A93" s="421" t="s">
        <v>833</v>
      </c>
      <c r="C93" s="667">
        <v>0</v>
      </c>
      <c r="D93" s="667">
        <v>0</v>
      </c>
      <c r="E93" s="667">
        <v>0</v>
      </c>
      <c r="F93" s="667">
        <v>0</v>
      </c>
      <c r="G93" s="667">
        <v>0</v>
      </c>
      <c r="H93" s="667">
        <v>0</v>
      </c>
      <c r="I93" s="667">
        <v>0</v>
      </c>
      <c r="J93" s="667">
        <v>0</v>
      </c>
      <c r="K93" s="667">
        <v>0</v>
      </c>
      <c r="L93" s="667">
        <v>0</v>
      </c>
      <c r="M93" s="667">
        <v>0</v>
      </c>
      <c r="N93" s="667">
        <v>0</v>
      </c>
      <c r="O93" s="179">
        <f>SUM(C93:N93)</f>
        <v>0</v>
      </c>
      <c r="P93" s="180">
        <f>SUM(C93:D93)</f>
        <v>0</v>
      </c>
      <c r="Q93" s="179">
        <f>O93-P93</f>
        <v>0</v>
      </c>
      <c r="R93" s="617"/>
      <c r="T93" s="181" t="str">
        <f>A93</f>
        <v xml:space="preserve">   Interest Income</v>
      </c>
      <c r="V93" s="179">
        <f>C93+D93+E93</f>
        <v>0</v>
      </c>
      <c r="W93" s="179">
        <f>F93+G93+H93</f>
        <v>0</v>
      </c>
      <c r="X93" s="179">
        <f>I93+J93+K93</f>
        <v>0</v>
      </c>
      <c r="Y93" s="179">
        <f>L93+M93+N93</f>
        <v>0</v>
      </c>
      <c r="Z93" s="179"/>
      <c r="AA93" s="179">
        <f>SUM(V93:Y93)</f>
        <v>0</v>
      </c>
      <c r="AD93" s="165" t="str">
        <f>A93</f>
        <v xml:space="preserve">   Interest Income</v>
      </c>
      <c r="AF93" s="179">
        <f>C93</f>
        <v>0</v>
      </c>
      <c r="AG93" s="179">
        <f t="shared" si="88"/>
        <v>0</v>
      </c>
      <c r="AH93" s="179">
        <f t="shared" si="88"/>
        <v>0</v>
      </c>
      <c r="AI93" s="179">
        <f t="shared" si="88"/>
        <v>0</v>
      </c>
      <c r="AJ93" s="179">
        <f t="shared" si="88"/>
        <v>0</v>
      </c>
      <c r="AK93" s="179">
        <f t="shared" si="88"/>
        <v>0</v>
      </c>
      <c r="AL93" s="179">
        <f t="shared" si="88"/>
        <v>0</v>
      </c>
      <c r="AM93" s="179">
        <f t="shared" si="88"/>
        <v>0</v>
      </c>
      <c r="AN93" s="179">
        <f t="shared" si="88"/>
        <v>0</v>
      </c>
      <c r="AO93" s="179">
        <f t="shared" si="88"/>
        <v>0</v>
      </c>
      <c r="AP93" s="179">
        <f t="shared" si="88"/>
        <v>0</v>
      </c>
      <c r="AQ93" s="179">
        <f t="shared" si="88"/>
        <v>0</v>
      </c>
    </row>
    <row r="94" spans="1:43" x14ac:dyDescent="0.2">
      <c r="A94" s="421" t="s">
        <v>834</v>
      </c>
      <c r="C94" s="1008">
        <f>OtherInc!C44</f>
        <v>0</v>
      </c>
      <c r="D94" s="1008">
        <f>OtherInc!D44</f>
        <v>0</v>
      </c>
      <c r="E94" s="1008">
        <f>OtherInc!E44</f>
        <v>0</v>
      </c>
      <c r="F94" s="1008">
        <f>OtherInc!F44</f>
        <v>0</v>
      </c>
      <c r="G94" s="1008">
        <f>OtherInc!G44</f>
        <v>0</v>
      </c>
      <c r="H94" s="1008">
        <f>OtherInc!H44</f>
        <v>0</v>
      </c>
      <c r="I94" s="1008">
        <f>OtherInc!I44</f>
        <v>0</v>
      </c>
      <c r="J94" s="1008">
        <f>OtherInc!J44</f>
        <v>0</v>
      </c>
      <c r="K94" s="1008">
        <f>OtherInc!K44</f>
        <v>0</v>
      </c>
      <c r="L94" s="1008">
        <f>OtherInc!L44</f>
        <v>0</v>
      </c>
      <c r="M94" s="1008">
        <f>OtherInc!M44</f>
        <v>0</v>
      </c>
      <c r="N94" s="1008">
        <f>OtherInc!N44</f>
        <v>0</v>
      </c>
      <c r="O94" s="182">
        <f>SUM(C94:N94)</f>
        <v>0</v>
      </c>
      <c r="P94" s="273">
        <f>SUM(C94:D94)</f>
        <v>0</v>
      </c>
      <c r="Q94" s="182">
        <f>O94-P94</f>
        <v>0</v>
      </c>
      <c r="R94" s="618"/>
      <c r="S94" s="171"/>
      <c r="T94" s="181" t="str">
        <f>A94</f>
        <v xml:space="preserve">   Other Income / (Deductions)</v>
      </c>
      <c r="V94" s="182">
        <f>C94+D94+E94</f>
        <v>0</v>
      </c>
      <c r="W94" s="182">
        <f>F94+G94+H94</f>
        <v>0</v>
      </c>
      <c r="X94" s="182">
        <f>I94+J94+K94</f>
        <v>0</v>
      </c>
      <c r="Y94" s="182">
        <f>L94+M94+N94</f>
        <v>0</v>
      </c>
      <c r="Z94" s="182"/>
      <c r="AA94" s="182">
        <f>SUM(V94:Y94)</f>
        <v>0</v>
      </c>
      <c r="AB94" s="171"/>
      <c r="AC94" s="171"/>
      <c r="AD94" s="165" t="str">
        <f>A94</f>
        <v xml:space="preserve">   Other Income / (Deductions)</v>
      </c>
      <c r="AF94" s="182">
        <f>C94</f>
        <v>0</v>
      </c>
      <c r="AG94" s="182">
        <f t="shared" si="88"/>
        <v>0</v>
      </c>
      <c r="AH94" s="182">
        <f t="shared" si="88"/>
        <v>0</v>
      </c>
      <c r="AI94" s="182">
        <f t="shared" si="88"/>
        <v>0</v>
      </c>
      <c r="AJ94" s="182">
        <f t="shared" si="88"/>
        <v>0</v>
      </c>
      <c r="AK94" s="182">
        <f t="shared" si="88"/>
        <v>0</v>
      </c>
      <c r="AL94" s="182">
        <f t="shared" si="88"/>
        <v>0</v>
      </c>
      <c r="AM94" s="182">
        <f t="shared" si="88"/>
        <v>0</v>
      </c>
      <c r="AN94" s="182">
        <f t="shared" si="88"/>
        <v>0</v>
      </c>
      <c r="AO94" s="182">
        <f t="shared" si="88"/>
        <v>0</v>
      </c>
      <c r="AP94" s="182">
        <f t="shared" si="88"/>
        <v>0</v>
      </c>
      <c r="AQ94" s="182">
        <f t="shared" si="88"/>
        <v>0</v>
      </c>
    </row>
    <row r="95" spans="1:43" ht="3.95" customHeight="1" x14ac:dyDescent="0.2">
      <c r="A95" s="409"/>
      <c r="C95" s="179"/>
      <c r="D95" s="179"/>
      <c r="E95" s="179"/>
      <c r="F95" s="179"/>
      <c r="G95" s="179"/>
      <c r="H95" s="179"/>
      <c r="I95" s="179"/>
      <c r="J95" s="179"/>
      <c r="K95" s="179"/>
      <c r="L95" s="179"/>
      <c r="M95" s="179"/>
      <c r="N95" s="179"/>
      <c r="O95" s="179"/>
      <c r="P95" s="179"/>
      <c r="Q95" s="179"/>
      <c r="R95" s="180"/>
      <c r="S95" s="171"/>
      <c r="V95" s="179"/>
      <c r="W95" s="179"/>
      <c r="X95" s="179"/>
      <c r="Y95" s="179"/>
      <c r="Z95" s="179"/>
      <c r="AA95" s="179"/>
      <c r="AB95" s="171"/>
      <c r="AC95" s="171"/>
      <c r="AD95" s="185"/>
      <c r="AF95" s="179"/>
      <c r="AG95" s="179"/>
      <c r="AH95" s="179"/>
      <c r="AI95" s="179"/>
      <c r="AJ95" s="179"/>
      <c r="AK95" s="179"/>
      <c r="AL95" s="179"/>
      <c r="AM95" s="179"/>
      <c r="AN95" s="179"/>
      <c r="AO95" s="179"/>
      <c r="AP95" s="179"/>
      <c r="AQ95" s="179"/>
    </row>
    <row r="96" spans="1:43" x14ac:dyDescent="0.2">
      <c r="A96" s="418" t="s">
        <v>835</v>
      </c>
      <c r="B96" s="671"/>
      <c r="C96" s="183">
        <f t="shared" ref="C96:Q96" si="89">SUM(C92:C94)</f>
        <v>289</v>
      </c>
      <c r="D96" s="183">
        <f t="shared" si="89"/>
        <v>287</v>
      </c>
      <c r="E96" s="183">
        <f t="shared" si="89"/>
        <v>289</v>
      </c>
      <c r="F96" s="183">
        <f t="shared" si="89"/>
        <v>287</v>
      </c>
      <c r="G96" s="183">
        <f t="shared" si="89"/>
        <v>285</v>
      </c>
      <c r="H96" s="183">
        <f t="shared" si="89"/>
        <v>846</v>
      </c>
      <c r="I96" s="183">
        <f t="shared" si="89"/>
        <v>847</v>
      </c>
      <c r="J96" s="183">
        <f t="shared" si="89"/>
        <v>711</v>
      </c>
      <c r="K96" s="183">
        <f t="shared" si="89"/>
        <v>710</v>
      </c>
      <c r="L96" s="183">
        <f t="shared" si="89"/>
        <v>681</v>
      </c>
      <c r="M96" s="183">
        <f t="shared" si="89"/>
        <v>703</v>
      </c>
      <c r="N96" s="183">
        <f t="shared" si="89"/>
        <v>704</v>
      </c>
      <c r="O96" s="183">
        <f t="shared" si="89"/>
        <v>6639</v>
      </c>
      <c r="P96" s="183">
        <f t="shared" si="89"/>
        <v>576</v>
      </c>
      <c r="Q96" s="183">
        <f t="shared" si="89"/>
        <v>6063</v>
      </c>
      <c r="R96" s="426"/>
      <c r="S96" s="169"/>
      <c r="T96" s="177" t="str">
        <f>A96</f>
        <v xml:space="preserve">     Total Other Income &amp; Other Deductions</v>
      </c>
      <c r="U96" s="671"/>
      <c r="V96" s="183">
        <f>V92+V93+V94</f>
        <v>865</v>
      </c>
      <c r="W96" s="183">
        <f>W92+W93+W94</f>
        <v>1418</v>
      </c>
      <c r="X96" s="183">
        <f>X92+X93+X94</f>
        <v>2268</v>
      </c>
      <c r="Y96" s="183">
        <f>Y92+Y93+Y94</f>
        <v>2088</v>
      </c>
      <c r="Z96" s="183"/>
      <c r="AA96" s="183">
        <f>AA92+AA93+AA94</f>
        <v>6639</v>
      </c>
      <c r="AB96" s="169"/>
      <c r="AC96" s="169"/>
      <c r="AD96" s="166" t="str">
        <f>A96</f>
        <v xml:space="preserve">     Total Other Income &amp; Other Deductions</v>
      </c>
      <c r="AF96" s="183">
        <f>C96</f>
        <v>289</v>
      </c>
      <c r="AG96" s="183">
        <f t="shared" ref="AG96:AQ96" si="90">D96+AF96</f>
        <v>576</v>
      </c>
      <c r="AH96" s="183">
        <f t="shared" si="90"/>
        <v>865</v>
      </c>
      <c r="AI96" s="183">
        <f t="shared" si="90"/>
        <v>1152</v>
      </c>
      <c r="AJ96" s="183">
        <f t="shared" si="90"/>
        <v>1437</v>
      </c>
      <c r="AK96" s="183">
        <f t="shared" si="90"/>
        <v>2283</v>
      </c>
      <c r="AL96" s="183">
        <f t="shared" si="90"/>
        <v>3130</v>
      </c>
      <c r="AM96" s="183">
        <f t="shared" si="90"/>
        <v>3841</v>
      </c>
      <c r="AN96" s="183">
        <f t="shared" si="90"/>
        <v>4551</v>
      </c>
      <c r="AO96" s="183">
        <f t="shared" si="90"/>
        <v>5232</v>
      </c>
      <c r="AP96" s="183">
        <f t="shared" si="90"/>
        <v>5935</v>
      </c>
      <c r="AQ96" s="183">
        <f t="shared" si="90"/>
        <v>6639</v>
      </c>
    </row>
    <row r="97" spans="1:43" x14ac:dyDescent="0.2">
      <c r="A97" s="171"/>
      <c r="C97" s="179"/>
      <c r="D97" s="179"/>
      <c r="E97" s="179"/>
      <c r="F97" s="179"/>
      <c r="G97" s="179"/>
      <c r="H97" s="179"/>
      <c r="I97" s="179"/>
      <c r="J97" s="179"/>
      <c r="K97" s="179"/>
      <c r="L97" s="179"/>
      <c r="M97" s="179"/>
      <c r="N97" s="179"/>
      <c r="O97" s="179"/>
      <c r="P97" s="179"/>
      <c r="Q97" s="179"/>
      <c r="R97" s="180"/>
      <c r="S97" s="171"/>
      <c r="T97" s="171"/>
      <c r="V97" s="179"/>
      <c r="W97" s="179"/>
      <c r="X97" s="179"/>
      <c r="Y97" s="179"/>
      <c r="Z97" s="179"/>
      <c r="AA97" s="179"/>
      <c r="AB97" s="171"/>
      <c r="AC97" s="171"/>
      <c r="AD97" s="171"/>
      <c r="AF97" s="179"/>
      <c r="AG97" s="179"/>
      <c r="AH97" s="179"/>
      <c r="AI97" s="179"/>
      <c r="AJ97" s="179"/>
      <c r="AK97" s="179"/>
      <c r="AL97" s="179"/>
      <c r="AM97" s="179"/>
      <c r="AN97" s="179"/>
      <c r="AO97" s="179"/>
      <c r="AP97" s="179"/>
      <c r="AQ97" s="179"/>
    </row>
    <row r="98" spans="1:43" x14ac:dyDescent="0.2">
      <c r="A98" s="418" t="s">
        <v>391</v>
      </c>
      <c r="B98" s="692"/>
      <c r="C98" s="183">
        <f t="shared" ref="C98:Q98" si="91">C89+C96</f>
        <v>261</v>
      </c>
      <c r="D98" s="183">
        <f t="shared" si="91"/>
        <v>259</v>
      </c>
      <c r="E98" s="183">
        <f t="shared" si="91"/>
        <v>261</v>
      </c>
      <c r="F98" s="183">
        <f t="shared" si="91"/>
        <v>259</v>
      </c>
      <c r="G98" s="183">
        <f t="shared" si="91"/>
        <v>257</v>
      </c>
      <c r="H98" s="183">
        <f t="shared" si="91"/>
        <v>818</v>
      </c>
      <c r="I98" s="183">
        <f t="shared" si="91"/>
        <v>819</v>
      </c>
      <c r="J98" s="183">
        <f t="shared" si="91"/>
        <v>683</v>
      </c>
      <c r="K98" s="183">
        <f t="shared" si="91"/>
        <v>682</v>
      </c>
      <c r="L98" s="183">
        <f t="shared" si="91"/>
        <v>653</v>
      </c>
      <c r="M98" s="183">
        <f t="shared" si="91"/>
        <v>675</v>
      </c>
      <c r="N98" s="183">
        <f t="shared" si="91"/>
        <v>676</v>
      </c>
      <c r="O98" s="183">
        <f t="shared" si="91"/>
        <v>6303</v>
      </c>
      <c r="P98" s="183">
        <f t="shared" si="91"/>
        <v>520</v>
      </c>
      <c r="Q98" s="183">
        <f t="shared" si="91"/>
        <v>5783</v>
      </c>
      <c r="R98" s="426"/>
      <c r="S98" s="169"/>
      <c r="T98" s="177" t="str">
        <f>A98</f>
        <v>INCOME BEFORE INTEREST &amp; TAXES</v>
      </c>
      <c r="U98" s="692"/>
      <c r="V98" s="540">
        <f>C98+D98+E98</f>
        <v>781</v>
      </c>
      <c r="W98" s="540">
        <f>F98+G98+H98</f>
        <v>1334</v>
      </c>
      <c r="X98" s="540">
        <f>I98+J98+K98</f>
        <v>2184</v>
      </c>
      <c r="Y98" s="540">
        <f>L98+M98+N98</f>
        <v>2004</v>
      </c>
      <c r="Z98" s="540"/>
      <c r="AA98" s="540">
        <f>SUM(V98:Y98)</f>
        <v>6303</v>
      </c>
      <c r="AB98" s="169"/>
      <c r="AC98" s="169"/>
      <c r="AD98" s="166" t="str">
        <f>A98</f>
        <v>INCOME BEFORE INTEREST &amp; TAXES</v>
      </c>
      <c r="AF98" s="183">
        <f>C98</f>
        <v>261</v>
      </c>
      <c r="AG98" s="183">
        <f t="shared" ref="AG98:AQ98" si="92">D98+AF98</f>
        <v>520</v>
      </c>
      <c r="AH98" s="183">
        <f t="shared" si="92"/>
        <v>781</v>
      </c>
      <c r="AI98" s="183">
        <f t="shared" si="92"/>
        <v>1040</v>
      </c>
      <c r="AJ98" s="183">
        <f t="shared" si="92"/>
        <v>1297</v>
      </c>
      <c r="AK98" s="183">
        <f t="shared" si="92"/>
        <v>2115</v>
      </c>
      <c r="AL98" s="183">
        <f t="shared" si="92"/>
        <v>2934</v>
      </c>
      <c r="AM98" s="183">
        <f t="shared" si="92"/>
        <v>3617</v>
      </c>
      <c r="AN98" s="183">
        <f t="shared" si="92"/>
        <v>4299</v>
      </c>
      <c r="AO98" s="183">
        <f t="shared" si="92"/>
        <v>4952</v>
      </c>
      <c r="AP98" s="183">
        <f t="shared" si="92"/>
        <v>5627</v>
      </c>
      <c r="AQ98" s="183">
        <f t="shared" si="92"/>
        <v>6303</v>
      </c>
    </row>
    <row r="99" spans="1:43" x14ac:dyDescent="0.2">
      <c r="A99" s="171"/>
      <c r="C99" s="179"/>
      <c r="D99" s="179"/>
      <c r="E99" s="179"/>
      <c r="F99" s="179"/>
      <c r="G99" s="179"/>
      <c r="H99" s="179"/>
      <c r="I99" s="179"/>
      <c r="J99" s="179"/>
      <c r="K99" s="179"/>
      <c r="L99" s="179"/>
      <c r="M99" s="179"/>
      <c r="N99" s="179"/>
      <c r="O99" s="179"/>
      <c r="P99" s="179"/>
      <c r="Q99" s="179"/>
      <c r="R99" s="180"/>
      <c r="S99" s="171"/>
      <c r="T99" s="171"/>
      <c r="V99" s="179"/>
      <c r="W99" s="179"/>
      <c r="X99" s="179"/>
      <c r="Y99" s="179"/>
      <c r="Z99" s="179"/>
      <c r="AA99" s="179"/>
      <c r="AB99" s="171"/>
      <c r="AC99" s="171"/>
      <c r="AD99" s="171"/>
      <c r="AF99" s="179"/>
      <c r="AG99" s="179"/>
      <c r="AH99" s="179"/>
      <c r="AI99" s="179"/>
      <c r="AJ99" s="179"/>
      <c r="AK99" s="179"/>
      <c r="AL99" s="179"/>
      <c r="AM99" s="179"/>
      <c r="AN99" s="179"/>
      <c r="AO99" s="179"/>
      <c r="AP99" s="179"/>
      <c r="AQ99" s="179"/>
    </row>
    <row r="100" spans="1:43" x14ac:dyDescent="0.2">
      <c r="A100" s="418" t="s">
        <v>392</v>
      </c>
      <c r="C100" s="180"/>
      <c r="D100" s="180"/>
      <c r="E100" s="180"/>
      <c r="F100" s="180"/>
      <c r="G100" s="180"/>
      <c r="H100" s="180"/>
      <c r="I100" s="180"/>
      <c r="J100" s="180"/>
      <c r="K100" s="180"/>
      <c r="L100" s="180"/>
      <c r="M100" s="180"/>
      <c r="N100" s="180"/>
      <c r="O100" s="180"/>
      <c r="P100" s="180"/>
      <c r="Q100" s="179"/>
      <c r="R100" s="180"/>
      <c r="S100" s="171"/>
      <c r="T100" s="177" t="str">
        <f t="shared" ref="T100:T106" si="93">A100</f>
        <v>INTEREST AND OTHER</v>
      </c>
      <c r="V100" s="179"/>
      <c r="W100" s="186"/>
      <c r="X100" s="179"/>
      <c r="Y100" s="179"/>
      <c r="Z100" s="179"/>
      <c r="AA100" s="179"/>
      <c r="AB100" s="171"/>
      <c r="AC100" s="171"/>
      <c r="AD100" s="166" t="str">
        <f t="shared" ref="AD100:AD106" si="94">A100</f>
        <v>INTEREST AND OTHER</v>
      </c>
      <c r="AF100" s="179"/>
      <c r="AG100" s="179"/>
      <c r="AH100" s="179"/>
      <c r="AI100" s="179"/>
      <c r="AJ100" s="179"/>
      <c r="AK100" s="179"/>
      <c r="AL100" s="179"/>
      <c r="AM100" s="179"/>
      <c r="AN100" s="179"/>
      <c r="AO100" s="179"/>
      <c r="AP100" s="179"/>
      <c r="AQ100" s="179"/>
    </row>
    <row r="101" spans="1:43" x14ac:dyDescent="0.2">
      <c r="A101" s="419" t="s">
        <v>836</v>
      </c>
      <c r="C101" s="667">
        <v>0</v>
      </c>
      <c r="D101" s="667">
        <v>0</v>
      </c>
      <c r="E101" s="667">
        <v>0</v>
      </c>
      <c r="F101" s="667">
        <v>0</v>
      </c>
      <c r="G101" s="667">
        <v>0</v>
      </c>
      <c r="H101" s="667">
        <v>0</v>
      </c>
      <c r="I101" s="667">
        <v>0</v>
      </c>
      <c r="J101" s="667">
        <v>0</v>
      </c>
      <c r="K101" s="667">
        <v>0</v>
      </c>
      <c r="L101" s="667">
        <v>0</v>
      </c>
      <c r="M101" s="667">
        <v>0</v>
      </c>
      <c r="N101" s="667">
        <v>0</v>
      </c>
      <c r="O101" s="179">
        <f t="shared" ref="O101:O106" si="95">SUM(C101:N101)</f>
        <v>0</v>
      </c>
      <c r="P101" s="180">
        <f t="shared" ref="P101:P106" si="96">SUM(C101:D101)</f>
        <v>0</v>
      </c>
      <c r="Q101" s="179">
        <f t="shared" ref="Q101:Q106" si="97">O101-P101</f>
        <v>0</v>
      </c>
      <c r="R101" s="617"/>
      <c r="S101" s="171"/>
      <c r="T101" s="181" t="str">
        <f t="shared" si="93"/>
        <v xml:space="preserve">   Direct Interest</v>
      </c>
      <c r="V101" s="179">
        <f t="shared" ref="V101:V106" si="98">C101+D101+E101</f>
        <v>0</v>
      </c>
      <c r="W101" s="179">
        <f t="shared" ref="W101:W106" si="99">F101+G101+H101</f>
        <v>0</v>
      </c>
      <c r="X101" s="179">
        <f t="shared" ref="X101:X106" si="100">I101+J101+K101</f>
        <v>0</v>
      </c>
      <c r="Y101" s="179">
        <f t="shared" ref="Y101:Y106" si="101">L101+M101+N101</f>
        <v>0</v>
      </c>
      <c r="Z101" s="179"/>
      <c r="AA101" s="179">
        <f t="shared" ref="AA101:AA106" si="102">SUM(V101:Y101)</f>
        <v>0</v>
      </c>
      <c r="AB101" s="171"/>
      <c r="AC101" s="171"/>
      <c r="AD101" s="165" t="str">
        <f t="shared" si="94"/>
        <v xml:space="preserve">   Direct Interest</v>
      </c>
      <c r="AF101" s="179">
        <f t="shared" ref="AF101:AF106" si="103">C101</f>
        <v>0</v>
      </c>
      <c r="AG101" s="179">
        <f t="shared" ref="AG101:AQ106" si="104">D101+AF101</f>
        <v>0</v>
      </c>
      <c r="AH101" s="179">
        <f t="shared" si="104"/>
        <v>0</v>
      </c>
      <c r="AI101" s="179">
        <f t="shared" si="104"/>
        <v>0</v>
      </c>
      <c r="AJ101" s="179">
        <f t="shared" si="104"/>
        <v>0</v>
      </c>
      <c r="AK101" s="179">
        <f t="shared" si="104"/>
        <v>0</v>
      </c>
      <c r="AL101" s="179">
        <f t="shared" si="104"/>
        <v>0</v>
      </c>
      <c r="AM101" s="179">
        <f t="shared" si="104"/>
        <v>0</v>
      </c>
      <c r="AN101" s="179">
        <f t="shared" si="104"/>
        <v>0</v>
      </c>
      <c r="AO101" s="179">
        <f t="shared" si="104"/>
        <v>0</v>
      </c>
      <c r="AP101" s="179">
        <f t="shared" si="104"/>
        <v>0</v>
      </c>
      <c r="AQ101" s="179">
        <f t="shared" si="104"/>
        <v>0</v>
      </c>
    </row>
    <row r="102" spans="1:43" x14ac:dyDescent="0.2">
      <c r="A102" s="419" t="s">
        <v>385</v>
      </c>
      <c r="C102" s="667">
        <v>0</v>
      </c>
      <c r="D102" s="667">
        <v>0</v>
      </c>
      <c r="E102" s="667">
        <v>0</v>
      </c>
      <c r="F102" s="667">
        <v>0</v>
      </c>
      <c r="G102" s="667">
        <v>0</v>
      </c>
      <c r="H102" s="667">
        <v>0</v>
      </c>
      <c r="I102" s="667">
        <v>0</v>
      </c>
      <c r="J102" s="667">
        <v>0</v>
      </c>
      <c r="K102" s="667">
        <v>0</v>
      </c>
      <c r="L102" s="667">
        <v>0</v>
      </c>
      <c r="M102" s="667">
        <v>0</v>
      </c>
      <c r="N102" s="667">
        <v>0</v>
      </c>
      <c r="O102" s="179">
        <f t="shared" si="95"/>
        <v>0</v>
      </c>
      <c r="P102" s="180">
        <f t="shared" si="96"/>
        <v>0</v>
      </c>
      <c r="Q102" s="179">
        <f t="shared" si="97"/>
        <v>0</v>
      </c>
      <c r="R102" s="617"/>
      <c r="S102" s="171"/>
      <c r="T102" s="181" t="str">
        <f>A102</f>
        <v xml:space="preserve">   Interest on New Long Term Debt (Pre 1/1/98)</v>
      </c>
      <c r="V102" s="179">
        <f t="shared" si="98"/>
        <v>0</v>
      </c>
      <c r="W102" s="179">
        <f t="shared" si="99"/>
        <v>0</v>
      </c>
      <c r="X102" s="179">
        <f t="shared" si="100"/>
        <v>0</v>
      </c>
      <c r="Y102" s="179">
        <f t="shared" si="101"/>
        <v>0</v>
      </c>
      <c r="Z102" s="179"/>
      <c r="AA102" s="179">
        <f t="shared" si="102"/>
        <v>0</v>
      </c>
      <c r="AB102" s="171"/>
      <c r="AC102" s="171"/>
      <c r="AD102" s="165" t="str">
        <f>A102</f>
        <v xml:space="preserve">   Interest on New Long Term Debt (Pre 1/1/98)</v>
      </c>
      <c r="AF102" s="179">
        <f t="shared" si="103"/>
        <v>0</v>
      </c>
      <c r="AG102" s="179">
        <f t="shared" ref="AG102:AQ102" si="105">D102+AF102</f>
        <v>0</v>
      </c>
      <c r="AH102" s="179">
        <f t="shared" si="105"/>
        <v>0</v>
      </c>
      <c r="AI102" s="179">
        <f t="shared" si="105"/>
        <v>0</v>
      </c>
      <c r="AJ102" s="179">
        <f t="shared" si="105"/>
        <v>0</v>
      </c>
      <c r="AK102" s="179">
        <f t="shared" si="105"/>
        <v>0</v>
      </c>
      <c r="AL102" s="179">
        <f t="shared" si="105"/>
        <v>0</v>
      </c>
      <c r="AM102" s="179">
        <f t="shared" si="105"/>
        <v>0</v>
      </c>
      <c r="AN102" s="179">
        <f t="shared" si="105"/>
        <v>0</v>
      </c>
      <c r="AO102" s="179">
        <f t="shared" si="105"/>
        <v>0</v>
      </c>
      <c r="AP102" s="179">
        <f t="shared" si="105"/>
        <v>0</v>
      </c>
      <c r="AQ102" s="179">
        <f t="shared" si="105"/>
        <v>0</v>
      </c>
    </row>
    <row r="103" spans="1:43" x14ac:dyDescent="0.2">
      <c r="A103" s="419" t="s">
        <v>837</v>
      </c>
      <c r="C103" s="667">
        <v>0</v>
      </c>
      <c r="D103" s="667">
        <v>0</v>
      </c>
      <c r="E103" s="667">
        <v>0</v>
      </c>
      <c r="F103" s="667">
        <v>0</v>
      </c>
      <c r="G103" s="667">
        <v>0</v>
      </c>
      <c r="H103" s="667">
        <v>0</v>
      </c>
      <c r="I103" s="667">
        <v>0</v>
      </c>
      <c r="J103" s="667">
        <v>0</v>
      </c>
      <c r="K103" s="667">
        <v>0</v>
      </c>
      <c r="L103" s="667">
        <v>0</v>
      </c>
      <c r="M103" s="667">
        <v>0</v>
      </c>
      <c r="N103" s="667">
        <v>0</v>
      </c>
      <c r="O103" s="179">
        <f t="shared" si="95"/>
        <v>0</v>
      </c>
      <c r="P103" s="180">
        <f t="shared" si="96"/>
        <v>0</v>
      </c>
      <c r="Q103" s="179">
        <f t="shared" si="97"/>
        <v>0</v>
      </c>
      <c r="R103" s="617"/>
      <c r="S103" s="171"/>
      <c r="T103" s="181" t="str">
        <f t="shared" si="93"/>
        <v xml:space="preserve">   Interest on New Long Term Debt (Post 1/1/98)</v>
      </c>
      <c r="V103" s="179">
        <f t="shared" si="98"/>
        <v>0</v>
      </c>
      <c r="W103" s="179">
        <f t="shared" si="99"/>
        <v>0</v>
      </c>
      <c r="X103" s="179">
        <f t="shared" si="100"/>
        <v>0</v>
      </c>
      <c r="Y103" s="179">
        <f t="shared" si="101"/>
        <v>0</v>
      </c>
      <c r="Z103" s="179"/>
      <c r="AA103" s="179">
        <f t="shared" si="102"/>
        <v>0</v>
      </c>
      <c r="AB103" s="171"/>
      <c r="AC103" s="171"/>
      <c r="AD103" s="165" t="str">
        <f t="shared" si="94"/>
        <v xml:space="preserve">   Interest on New Long Term Debt (Post 1/1/98)</v>
      </c>
      <c r="AF103" s="179">
        <f t="shared" si="103"/>
        <v>0</v>
      </c>
      <c r="AG103" s="179">
        <f t="shared" si="104"/>
        <v>0</v>
      </c>
      <c r="AH103" s="179">
        <f t="shared" si="104"/>
        <v>0</v>
      </c>
      <c r="AI103" s="179">
        <f t="shared" si="104"/>
        <v>0</v>
      </c>
      <c r="AJ103" s="179">
        <f t="shared" si="104"/>
        <v>0</v>
      </c>
      <c r="AK103" s="179">
        <f t="shared" si="104"/>
        <v>0</v>
      </c>
      <c r="AL103" s="179">
        <f t="shared" si="104"/>
        <v>0</v>
      </c>
      <c r="AM103" s="179">
        <f t="shared" si="104"/>
        <v>0</v>
      </c>
      <c r="AN103" s="179">
        <f t="shared" si="104"/>
        <v>0</v>
      </c>
      <c r="AO103" s="179">
        <f t="shared" si="104"/>
        <v>0</v>
      </c>
      <c r="AP103" s="179">
        <f t="shared" si="104"/>
        <v>0</v>
      </c>
      <c r="AQ103" s="179">
        <f t="shared" si="104"/>
        <v>0</v>
      </c>
    </row>
    <row r="104" spans="1:43" x14ac:dyDescent="0.2">
      <c r="A104" s="419" t="s">
        <v>838</v>
      </c>
      <c r="C104" s="667">
        <v>0</v>
      </c>
      <c r="D104" s="667">
        <v>0</v>
      </c>
      <c r="E104" s="667">
        <v>0</v>
      </c>
      <c r="F104" s="667">
        <v>0</v>
      </c>
      <c r="G104" s="667">
        <v>0</v>
      </c>
      <c r="H104" s="667">
        <v>0</v>
      </c>
      <c r="I104" s="667">
        <v>0</v>
      </c>
      <c r="J104" s="667">
        <v>0</v>
      </c>
      <c r="K104" s="667">
        <v>0</v>
      </c>
      <c r="L104" s="667">
        <v>0</v>
      </c>
      <c r="M104" s="667">
        <v>0</v>
      </c>
      <c r="N104" s="667">
        <v>0</v>
      </c>
      <c r="O104" s="179">
        <f t="shared" si="95"/>
        <v>0</v>
      </c>
      <c r="P104" s="180">
        <f t="shared" si="96"/>
        <v>0</v>
      </c>
      <c r="Q104" s="179">
        <f t="shared" si="97"/>
        <v>0</v>
      </c>
      <c r="R104" s="617"/>
      <c r="S104" s="171"/>
      <c r="T104" s="181" t="str">
        <f t="shared" si="93"/>
        <v xml:space="preserve">   Intercompany Interest Differential</v>
      </c>
      <c r="V104" s="179">
        <f t="shared" si="98"/>
        <v>0</v>
      </c>
      <c r="W104" s="179">
        <f t="shared" si="99"/>
        <v>0</v>
      </c>
      <c r="X104" s="179">
        <f t="shared" si="100"/>
        <v>0</v>
      </c>
      <c r="Y104" s="179">
        <f t="shared" si="101"/>
        <v>0</v>
      </c>
      <c r="Z104" s="179"/>
      <c r="AA104" s="179">
        <f t="shared" si="102"/>
        <v>0</v>
      </c>
      <c r="AB104" s="171"/>
      <c r="AC104" s="171"/>
      <c r="AD104" s="165" t="str">
        <f t="shared" si="94"/>
        <v xml:space="preserve">   Intercompany Interest Differential</v>
      </c>
      <c r="AF104" s="179">
        <f t="shared" si="103"/>
        <v>0</v>
      </c>
      <c r="AG104" s="179">
        <f t="shared" si="104"/>
        <v>0</v>
      </c>
      <c r="AH104" s="179">
        <f t="shared" si="104"/>
        <v>0</v>
      </c>
      <c r="AI104" s="179">
        <f t="shared" si="104"/>
        <v>0</v>
      </c>
      <c r="AJ104" s="179">
        <f t="shared" si="104"/>
        <v>0</v>
      </c>
      <c r="AK104" s="179">
        <f t="shared" si="104"/>
        <v>0</v>
      </c>
      <c r="AL104" s="179">
        <f t="shared" si="104"/>
        <v>0</v>
      </c>
      <c r="AM104" s="179">
        <f t="shared" si="104"/>
        <v>0</v>
      </c>
      <c r="AN104" s="179">
        <f t="shared" si="104"/>
        <v>0</v>
      </c>
      <c r="AO104" s="179">
        <f t="shared" si="104"/>
        <v>0</v>
      </c>
      <c r="AP104" s="179">
        <f t="shared" si="104"/>
        <v>0</v>
      </c>
      <c r="AQ104" s="179">
        <f t="shared" si="104"/>
        <v>0</v>
      </c>
    </row>
    <row r="105" spans="1:43" x14ac:dyDescent="0.2">
      <c r="A105" s="419" t="s">
        <v>839</v>
      </c>
      <c r="C105" s="667">
        <v>0</v>
      </c>
      <c r="D105" s="667">
        <v>0</v>
      </c>
      <c r="E105" s="667">
        <v>0</v>
      </c>
      <c r="F105" s="667">
        <v>0</v>
      </c>
      <c r="G105" s="667">
        <v>0</v>
      </c>
      <c r="H105" s="667">
        <v>0</v>
      </c>
      <c r="I105" s="667">
        <v>0</v>
      </c>
      <c r="J105" s="667">
        <v>0</v>
      </c>
      <c r="K105" s="667">
        <v>0</v>
      </c>
      <c r="L105" s="667">
        <v>0</v>
      </c>
      <c r="M105" s="667">
        <v>0</v>
      </c>
      <c r="N105" s="667">
        <v>0</v>
      </c>
      <c r="O105" s="179">
        <f t="shared" si="95"/>
        <v>0</v>
      </c>
      <c r="P105" s="180">
        <f t="shared" si="96"/>
        <v>0</v>
      </c>
      <c r="Q105" s="179">
        <f t="shared" si="97"/>
        <v>0</v>
      </c>
      <c r="R105" s="617"/>
      <c r="S105" s="171"/>
      <c r="T105" s="181" t="str">
        <f t="shared" si="93"/>
        <v xml:space="preserve">   Intercompany Interest Expense / (Income)</v>
      </c>
      <c r="V105" s="179">
        <f t="shared" si="98"/>
        <v>0</v>
      </c>
      <c r="W105" s="179">
        <f t="shared" si="99"/>
        <v>0</v>
      </c>
      <c r="X105" s="179">
        <f t="shared" si="100"/>
        <v>0</v>
      </c>
      <c r="Y105" s="179">
        <f t="shared" si="101"/>
        <v>0</v>
      </c>
      <c r="Z105" s="179"/>
      <c r="AA105" s="179">
        <f t="shared" si="102"/>
        <v>0</v>
      </c>
      <c r="AB105" s="171"/>
      <c r="AC105" s="171"/>
      <c r="AD105" s="165" t="str">
        <f t="shared" si="94"/>
        <v xml:space="preserve">   Intercompany Interest Expense / (Income)</v>
      </c>
      <c r="AF105" s="179">
        <f t="shared" si="103"/>
        <v>0</v>
      </c>
      <c r="AG105" s="179">
        <f t="shared" si="104"/>
        <v>0</v>
      </c>
      <c r="AH105" s="179">
        <f t="shared" si="104"/>
        <v>0</v>
      </c>
      <c r="AI105" s="179">
        <f t="shared" si="104"/>
        <v>0</v>
      </c>
      <c r="AJ105" s="179">
        <f t="shared" si="104"/>
        <v>0</v>
      </c>
      <c r="AK105" s="179">
        <f t="shared" si="104"/>
        <v>0</v>
      </c>
      <c r="AL105" s="179">
        <f t="shared" si="104"/>
        <v>0</v>
      </c>
      <c r="AM105" s="179">
        <f t="shared" si="104"/>
        <v>0</v>
      </c>
      <c r="AN105" s="179">
        <f t="shared" si="104"/>
        <v>0</v>
      </c>
      <c r="AO105" s="179">
        <f t="shared" si="104"/>
        <v>0</v>
      </c>
      <c r="AP105" s="179">
        <f t="shared" si="104"/>
        <v>0</v>
      </c>
      <c r="AQ105" s="179">
        <f t="shared" si="104"/>
        <v>0</v>
      </c>
    </row>
    <row r="106" spans="1:43" x14ac:dyDescent="0.2">
      <c r="A106" s="178" t="s">
        <v>840</v>
      </c>
      <c r="C106" s="668">
        <v>0</v>
      </c>
      <c r="D106" s="668">
        <v>0</v>
      </c>
      <c r="E106" s="668">
        <v>0</v>
      </c>
      <c r="F106" s="668">
        <v>0</v>
      </c>
      <c r="G106" s="668">
        <v>0</v>
      </c>
      <c r="H106" s="668">
        <v>0</v>
      </c>
      <c r="I106" s="668">
        <v>0</v>
      </c>
      <c r="J106" s="668">
        <v>0</v>
      </c>
      <c r="K106" s="668">
        <v>0</v>
      </c>
      <c r="L106" s="668">
        <v>0</v>
      </c>
      <c r="M106" s="668">
        <v>0</v>
      </c>
      <c r="N106" s="668">
        <v>0</v>
      </c>
      <c r="O106" s="182">
        <f t="shared" si="95"/>
        <v>0</v>
      </c>
      <c r="P106" s="273">
        <f t="shared" si="96"/>
        <v>0</v>
      </c>
      <c r="Q106" s="182">
        <f t="shared" si="97"/>
        <v>0</v>
      </c>
      <c r="R106" s="618"/>
      <c r="S106" s="171"/>
      <c r="T106" s="181" t="str">
        <f t="shared" si="93"/>
        <v xml:space="preserve">   AFUDC</v>
      </c>
      <c r="V106" s="182">
        <f t="shared" si="98"/>
        <v>0</v>
      </c>
      <c r="W106" s="182">
        <f t="shared" si="99"/>
        <v>0</v>
      </c>
      <c r="X106" s="182">
        <f t="shared" si="100"/>
        <v>0</v>
      </c>
      <c r="Y106" s="182">
        <f t="shared" si="101"/>
        <v>0</v>
      </c>
      <c r="Z106" s="182"/>
      <c r="AA106" s="182">
        <f t="shared" si="102"/>
        <v>0</v>
      </c>
      <c r="AB106" s="171"/>
      <c r="AC106" s="171"/>
      <c r="AD106" s="165" t="str">
        <f t="shared" si="94"/>
        <v xml:space="preserve">   AFUDC</v>
      </c>
      <c r="AF106" s="182">
        <f t="shared" si="103"/>
        <v>0</v>
      </c>
      <c r="AG106" s="182">
        <f t="shared" si="104"/>
        <v>0</v>
      </c>
      <c r="AH106" s="182">
        <f t="shared" si="104"/>
        <v>0</v>
      </c>
      <c r="AI106" s="182">
        <f t="shared" si="104"/>
        <v>0</v>
      </c>
      <c r="AJ106" s="182">
        <f t="shared" si="104"/>
        <v>0</v>
      </c>
      <c r="AK106" s="182">
        <f t="shared" si="104"/>
        <v>0</v>
      </c>
      <c r="AL106" s="182">
        <f t="shared" si="104"/>
        <v>0</v>
      </c>
      <c r="AM106" s="182">
        <f t="shared" si="104"/>
        <v>0</v>
      </c>
      <c r="AN106" s="182">
        <f t="shared" si="104"/>
        <v>0</v>
      </c>
      <c r="AO106" s="182">
        <f t="shared" si="104"/>
        <v>0</v>
      </c>
      <c r="AP106" s="182">
        <f t="shared" si="104"/>
        <v>0</v>
      </c>
      <c r="AQ106" s="182">
        <f t="shared" si="104"/>
        <v>0</v>
      </c>
    </row>
    <row r="107" spans="1:43" ht="3.95" customHeight="1" x14ac:dyDescent="0.2">
      <c r="A107" s="171"/>
      <c r="C107" s="179"/>
      <c r="D107" s="179"/>
      <c r="E107" s="179"/>
      <c r="F107" s="179"/>
      <c r="G107" s="179"/>
      <c r="H107" s="179"/>
      <c r="I107" s="179"/>
      <c r="J107" s="179"/>
      <c r="K107" s="179"/>
      <c r="L107" s="179"/>
      <c r="M107" s="179"/>
      <c r="N107" s="179"/>
      <c r="O107" s="179"/>
      <c r="P107" s="179"/>
      <c r="Q107" s="179"/>
      <c r="R107" s="180"/>
      <c r="S107" s="171"/>
      <c r="T107" s="171"/>
      <c r="V107" s="179"/>
      <c r="W107" s="179"/>
      <c r="X107" s="179"/>
      <c r="Y107" s="179"/>
      <c r="Z107" s="179"/>
      <c r="AA107" s="179"/>
      <c r="AB107" s="171"/>
      <c r="AC107" s="171"/>
      <c r="AD107" s="171"/>
      <c r="AF107" s="179"/>
      <c r="AG107" s="179"/>
      <c r="AH107" s="179"/>
      <c r="AI107" s="179"/>
      <c r="AJ107" s="179"/>
      <c r="AK107" s="179"/>
      <c r="AL107" s="179"/>
      <c r="AM107" s="179"/>
      <c r="AN107" s="179"/>
      <c r="AO107" s="179"/>
      <c r="AP107" s="179"/>
      <c r="AQ107" s="179"/>
    </row>
    <row r="108" spans="1:43" x14ac:dyDescent="0.2">
      <c r="A108" s="423" t="s">
        <v>393</v>
      </c>
      <c r="B108" s="692"/>
      <c r="C108" s="183">
        <f t="shared" ref="C108:Q108" si="106">SUM(C101:C106)</f>
        <v>0</v>
      </c>
      <c r="D108" s="183">
        <f t="shared" si="106"/>
        <v>0</v>
      </c>
      <c r="E108" s="183">
        <f t="shared" si="106"/>
        <v>0</v>
      </c>
      <c r="F108" s="183">
        <f t="shared" si="106"/>
        <v>0</v>
      </c>
      <c r="G108" s="183">
        <f t="shared" si="106"/>
        <v>0</v>
      </c>
      <c r="H108" s="183">
        <f t="shared" si="106"/>
        <v>0</v>
      </c>
      <c r="I108" s="183">
        <f t="shared" si="106"/>
        <v>0</v>
      </c>
      <c r="J108" s="183">
        <f t="shared" si="106"/>
        <v>0</v>
      </c>
      <c r="K108" s="183">
        <f t="shared" si="106"/>
        <v>0</v>
      </c>
      <c r="L108" s="183">
        <f t="shared" si="106"/>
        <v>0</v>
      </c>
      <c r="M108" s="183">
        <f t="shared" si="106"/>
        <v>0</v>
      </c>
      <c r="N108" s="183">
        <f t="shared" si="106"/>
        <v>0</v>
      </c>
      <c r="O108" s="183">
        <f t="shared" si="106"/>
        <v>0</v>
      </c>
      <c r="P108" s="183">
        <f t="shared" si="106"/>
        <v>0</v>
      </c>
      <c r="Q108" s="183">
        <f t="shared" si="106"/>
        <v>0</v>
      </c>
      <c r="R108" s="426"/>
      <c r="S108" s="169"/>
      <c r="T108" s="177" t="str">
        <f>A108</f>
        <v xml:space="preserve">     Total Interest and Other</v>
      </c>
      <c r="U108" s="692"/>
      <c r="V108" s="183">
        <f>SUM(V101:V106)</f>
        <v>0</v>
      </c>
      <c r="W108" s="183">
        <f>SUM(W101:W106)</f>
        <v>0</v>
      </c>
      <c r="X108" s="183">
        <f>SUM(X101:X106)</f>
        <v>0</v>
      </c>
      <c r="Y108" s="183">
        <f>SUM(Y101:Y106)</f>
        <v>0</v>
      </c>
      <c r="Z108" s="183"/>
      <c r="AA108" s="183">
        <f>SUM(AA101:AA106)</f>
        <v>0</v>
      </c>
      <c r="AB108" s="169"/>
      <c r="AC108" s="169"/>
      <c r="AD108" s="166" t="str">
        <f>A108</f>
        <v xml:space="preserve">     Total Interest and Other</v>
      </c>
      <c r="AF108" s="183">
        <f>C108</f>
        <v>0</v>
      </c>
      <c r="AG108" s="183">
        <f t="shared" ref="AG108:AQ108" si="107">D108+AF108</f>
        <v>0</v>
      </c>
      <c r="AH108" s="183">
        <f t="shared" si="107"/>
        <v>0</v>
      </c>
      <c r="AI108" s="183">
        <f t="shared" si="107"/>
        <v>0</v>
      </c>
      <c r="AJ108" s="183">
        <f t="shared" si="107"/>
        <v>0</v>
      </c>
      <c r="AK108" s="183">
        <f t="shared" si="107"/>
        <v>0</v>
      </c>
      <c r="AL108" s="183">
        <f t="shared" si="107"/>
        <v>0</v>
      </c>
      <c r="AM108" s="183">
        <f t="shared" si="107"/>
        <v>0</v>
      </c>
      <c r="AN108" s="183">
        <f t="shared" si="107"/>
        <v>0</v>
      </c>
      <c r="AO108" s="183">
        <f t="shared" si="107"/>
        <v>0</v>
      </c>
      <c r="AP108" s="183">
        <f t="shared" si="107"/>
        <v>0</v>
      </c>
      <c r="AQ108" s="183">
        <f t="shared" si="107"/>
        <v>0</v>
      </c>
    </row>
    <row r="109" spans="1:43" x14ac:dyDescent="0.2">
      <c r="A109" s="409"/>
      <c r="C109" s="179"/>
      <c r="D109" s="179"/>
      <c r="E109" s="179"/>
      <c r="F109" s="179"/>
      <c r="G109" s="179"/>
      <c r="H109" s="186"/>
      <c r="I109" s="179"/>
      <c r="J109" s="179"/>
      <c r="K109" s="179"/>
      <c r="L109" s="179"/>
      <c r="M109" s="179"/>
      <c r="N109" s="179"/>
      <c r="O109" s="179"/>
      <c r="P109" s="179"/>
      <c r="Q109" s="179"/>
      <c r="R109" s="180"/>
      <c r="V109" s="179"/>
      <c r="W109" s="179"/>
      <c r="X109" s="179"/>
      <c r="Y109" s="179"/>
      <c r="Z109" s="179"/>
      <c r="AA109" s="179"/>
      <c r="AD109" s="168"/>
      <c r="AE109" s="689"/>
    </row>
    <row r="110" spans="1:43" x14ac:dyDescent="0.2">
      <c r="A110" s="408" t="s">
        <v>841</v>
      </c>
      <c r="B110" s="671"/>
      <c r="C110" s="183">
        <f t="shared" ref="C110:Q110" si="108">C89+C96-C108</f>
        <v>261</v>
      </c>
      <c r="D110" s="183">
        <f t="shared" si="108"/>
        <v>259</v>
      </c>
      <c r="E110" s="183">
        <f t="shared" si="108"/>
        <v>261</v>
      </c>
      <c r="F110" s="183">
        <f t="shared" si="108"/>
        <v>259</v>
      </c>
      <c r="G110" s="183">
        <f t="shared" si="108"/>
        <v>257</v>
      </c>
      <c r="H110" s="183">
        <f t="shared" si="108"/>
        <v>818</v>
      </c>
      <c r="I110" s="183">
        <f t="shared" si="108"/>
        <v>819</v>
      </c>
      <c r="J110" s="183">
        <f t="shared" si="108"/>
        <v>683</v>
      </c>
      <c r="K110" s="183">
        <f t="shared" si="108"/>
        <v>682</v>
      </c>
      <c r="L110" s="183">
        <f t="shared" si="108"/>
        <v>653</v>
      </c>
      <c r="M110" s="183">
        <f t="shared" si="108"/>
        <v>675</v>
      </c>
      <c r="N110" s="183">
        <f t="shared" si="108"/>
        <v>676</v>
      </c>
      <c r="O110" s="183">
        <f t="shared" si="108"/>
        <v>6303</v>
      </c>
      <c r="P110" s="183">
        <f t="shared" si="108"/>
        <v>520</v>
      </c>
      <c r="Q110" s="183">
        <f t="shared" si="108"/>
        <v>5783</v>
      </c>
      <c r="R110" s="426"/>
      <c r="S110" s="169"/>
      <c r="T110" s="177" t="str">
        <f>A110</f>
        <v>INCOME BEFORE INCOME TAXES</v>
      </c>
      <c r="U110" s="671"/>
      <c r="V110" s="183">
        <f>V89+V96-V108</f>
        <v>781</v>
      </c>
      <c r="W110" s="183">
        <f>W89+W96-W108</f>
        <v>1334</v>
      </c>
      <c r="X110" s="183">
        <f>X89+X96-X108</f>
        <v>2184</v>
      </c>
      <c r="Y110" s="183">
        <f>Y89+Y96-Y108</f>
        <v>2004</v>
      </c>
      <c r="Z110" s="183"/>
      <c r="AA110" s="183">
        <f>AA89+AA96-AA108</f>
        <v>6303</v>
      </c>
      <c r="AB110" s="169"/>
      <c r="AC110" s="171"/>
      <c r="AD110" s="166" t="str">
        <f>A110</f>
        <v>INCOME BEFORE INCOME TAXES</v>
      </c>
      <c r="AF110" s="183">
        <f>C110</f>
        <v>261</v>
      </c>
      <c r="AG110" s="183">
        <f t="shared" ref="AG110:AQ110" si="109">D110+AF110</f>
        <v>520</v>
      </c>
      <c r="AH110" s="183">
        <f t="shared" si="109"/>
        <v>781</v>
      </c>
      <c r="AI110" s="183">
        <f t="shared" si="109"/>
        <v>1040</v>
      </c>
      <c r="AJ110" s="183">
        <f t="shared" si="109"/>
        <v>1297</v>
      </c>
      <c r="AK110" s="183">
        <f t="shared" si="109"/>
        <v>2115</v>
      </c>
      <c r="AL110" s="183">
        <f t="shared" si="109"/>
        <v>2934</v>
      </c>
      <c r="AM110" s="183">
        <f t="shared" si="109"/>
        <v>3617</v>
      </c>
      <c r="AN110" s="183">
        <f t="shared" si="109"/>
        <v>4299</v>
      </c>
      <c r="AO110" s="183">
        <f t="shared" si="109"/>
        <v>4952</v>
      </c>
      <c r="AP110" s="183">
        <f t="shared" si="109"/>
        <v>5627</v>
      </c>
      <c r="AQ110" s="183">
        <f t="shared" si="109"/>
        <v>6303</v>
      </c>
    </row>
    <row r="111" spans="1:43" x14ac:dyDescent="0.2">
      <c r="A111" s="171"/>
      <c r="C111" s="179"/>
      <c r="D111" s="179"/>
      <c r="E111" s="179"/>
      <c r="F111" s="179"/>
      <c r="G111" s="179"/>
      <c r="H111" s="179"/>
      <c r="I111" s="179"/>
      <c r="J111" s="179"/>
      <c r="K111" s="179"/>
      <c r="L111" s="179"/>
      <c r="M111" s="179"/>
      <c r="N111" s="179"/>
      <c r="O111" s="179"/>
      <c r="P111" s="179"/>
      <c r="Q111" s="179"/>
      <c r="R111" s="180"/>
      <c r="S111" s="171"/>
      <c r="T111" s="171"/>
      <c r="V111" s="179"/>
      <c r="W111" s="179"/>
      <c r="X111" s="179"/>
      <c r="Y111" s="179"/>
      <c r="Z111" s="179"/>
      <c r="AA111" s="179"/>
      <c r="AB111" s="171"/>
      <c r="AC111" s="171"/>
      <c r="AF111" s="179"/>
      <c r="AG111" s="179"/>
      <c r="AH111" s="179"/>
      <c r="AI111" s="179"/>
      <c r="AJ111" s="179"/>
      <c r="AK111" s="179"/>
      <c r="AL111" s="179"/>
      <c r="AM111" s="179"/>
      <c r="AN111" s="179"/>
      <c r="AO111" s="179"/>
      <c r="AP111" s="179"/>
      <c r="AQ111" s="179"/>
    </row>
    <row r="112" spans="1:43" x14ac:dyDescent="0.2">
      <c r="A112" s="419" t="s">
        <v>327</v>
      </c>
      <c r="C112" s="179">
        <f>C115-C113</f>
        <v>182</v>
      </c>
      <c r="D112" s="179">
        <f t="shared" ref="D112:N112" si="110">D115-D113</f>
        <v>180</v>
      </c>
      <c r="E112" s="179">
        <f t="shared" si="110"/>
        <v>182</v>
      </c>
      <c r="F112" s="179">
        <f t="shared" si="110"/>
        <v>180</v>
      </c>
      <c r="G112" s="179">
        <f t="shared" si="110"/>
        <v>181</v>
      </c>
      <c r="H112" s="179">
        <f t="shared" si="110"/>
        <v>609</v>
      </c>
      <c r="I112" s="179">
        <f t="shared" si="110"/>
        <v>610</v>
      </c>
      <c r="J112" s="179">
        <f t="shared" si="110"/>
        <v>506</v>
      </c>
      <c r="K112" s="179">
        <f t="shared" si="110"/>
        <v>505</v>
      </c>
      <c r="L112" s="179">
        <f t="shared" si="110"/>
        <v>483</v>
      </c>
      <c r="M112" s="179">
        <f t="shared" si="110"/>
        <v>499</v>
      </c>
      <c r="N112" s="179">
        <f t="shared" si="110"/>
        <v>499</v>
      </c>
      <c r="O112" s="179">
        <f>SUM(C112:N112)</f>
        <v>4616</v>
      </c>
      <c r="P112" s="180">
        <f>SUM(C112:D112)</f>
        <v>362</v>
      </c>
      <c r="Q112" s="179">
        <f>O112-P112</f>
        <v>4254</v>
      </c>
      <c r="R112" s="617"/>
      <c r="S112" s="171"/>
      <c r="T112" s="181" t="str">
        <f>A112</f>
        <v xml:space="preserve">   Payable Currently</v>
      </c>
      <c r="V112" s="179">
        <f>C112+D112+E112</f>
        <v>544</v>
      </c>
      <c r="W112" s="179">
        <f>F112+G112+H112</f>
        <v>970</v>
      </c>
      <c r="X112" s="179">
        <f>I112+J112+K112</f>
        <v>1621</v>
      </c>
      <c r="Y112" s="179">
        <f>L112+M112+N112</f>
        <v>1481</v>
      </c>
      <c r="Z112" s="179"/>
      <c r="AA112" s="179">
        <f>SUM(V112:Y112)</f>
        <v>4616</v>
      </c>
      <c r="AB112" s="171"/>
      <c r="AC112" s="171"/>
      <c r="AD112" s="165" t="str">
        <f>A112</f>
        <v xml:space="preserve">   Payable Currently</v>
      </c>
      <c r="AF112" s="179">
        <f>C112</f>
        <v>182</v>
      </c>
      <c r="AG112" s="179">
        <f t="shared" ref="AG112:AQ113" si="111">D112+AF112</f>
        <v>362</v>
      </c>
      <c r="AH112" s="179">
        <f t="shared" si="111"/>
        <v>544</v>
      </c>
      <c r="AI112" s="179">
        <f t="shared" si="111"/>
        <v>724</v>
      </c>
      <c r="AJ112" s="179">
        <f t="shared" si="111"/>
        <v>905</v>
      </c>
      <c r="AK112" s="179">
        <f t="shared" si="111"/>
        <v>1514</v>
      </c>
      <c r="AL112" s="179">
        <f t="shared" si="111"/>
        <v>2124</v>
      </c>
      <c r="AM112" s="179">
        <f t="shared" si="111"/>
        <v>2630</v>
      </c>
      <c r="AN112" s="179">
        <f t="shared" si="111"/>
        <v>3135</v>
      </c>
      <c r="AO112" s="179">
        <f t="shared" si="111"/>
        <v>3618</v>
      </c>
      <c r="AP112" s="179">
        <f t="shared" si="111"/>
        <v>4117</v>
      </c>
      <c r="AQ112" s="179">
        <f t="shared" si="111"/>
        <v>4616</v>
      </c>
    </row>
    <row r="113" spans="1:43" x14ac:dyDescent="0.2">
      <c r="A113" s="421" t="s">
        <v>328</v>
      </c>
      <c r="C113" s="669">
        <f>DeferredTax!R72</f>
        <v>-85</v>
      </c>
      <c r="D113" s="669">
        <f>DeferredTax!S72</f>
        <v>-84</v>
      </c>
      <c r="E113" s="669">
        <f>DeferredTax!T72</f>
        <v>-85</v>
      </c>
      <c r="F113" s="669">
        <f>DeferredTax!U72</f>
        <v>-84</v>
      </c>
      <c r="G113" s="669">
        <f>DeferredTax!V72</f>
        <v>-85</v>
      </c>
      <c r="H113" s="669">
        <f>DeferredTax!W72</f>
        <v>-305</v>
      </c>
      <c r="I113" s="669">
        <f>DeferredTax!X72</f>
        <v>-305</v>
      </c>
      <c r="J113" s="669">
        <f>DeferredTax!Y72</f>
        <v>-252</v>
      </c>
      <c r="K113" s="669">
        <f>DeferredTax!Z72</f>
        <v>-251</v>
      </c>
      <c r="L113" s="669">
        <f>DeferredTax!AA72</f>
        <v>-240</v>
      </c>
      <c r="M113" s="669">
        <f>DeferredTax!AB72</f>
        <v>-248</v>
      </c>
      <c r="N113" s="669">
        <f>DeferredTax!AC72</f>
        <v>-248</v>
      </c>
      <c r="O113" s="182">
        <f>SUM(C113:N113)</f>
        <v>-2272</v>
      </c>
      <c r="P113" s="273">
        <f>SUM(C113:D113)</f>
        <v>-169</v>
      </c>
      <c r="Q113" s="182">
        <f>O113-P113</f>
        <v>-2103</v>
      </c>
      <c r="R113" s="618"/>
      <c r="S113" s="171"/>
      <c r="T113" s="181" t="str">
        <f>A113</f>
        <v xml:space="preserve">   Deferred</v>
      </c>
      <c r="V113" s="182">
        <f>C113+D113+E113</f>
        <v>-254</v>
      </c>
      <c r="W113" s="182">
        <f>F113+G113+H113</f>
        <v>-474</v>
      </c>
      <c r="X113" s="182">
        <f>I113+J113+K113</f>
        <v>-808</v>
      </c>
      <c r="Y113" s="182">
        <f>L113+M113+N113</f>
        <v>-736</v>
      </c>
      <c r="Z113" s="182"/>
      <c r="AA113" s="182">
        <f>SUM(V113:Y113)</f>
        <v>-2272</v>
      </c>
      <c r="AB113" s="188"/>
      <c r="AC113" s="171"/>
      <c r="AD113" s="165" t="str">
        <f>A113</f>
        <v xml:space="preserve">   Deferred</v>
      </c>
      <c r="AF113" s="182">
        <f>C113</f>
        <v>-85</v>
      </c>
      <c r="AG113" s="182">
        <f t="shared" si="111"/>
        <v>-169</v>
      </c>
      <c r="AH113" s="182">
        <f t="shared" si="111"/>
        <v>-254</v>
      </c>
      <c r="AI113" s="182">
        <f t="shared" si="111"/>
        <v>-338</v>
      </c>
      <c r="AJ113" s="182">
        <f t="shared" si="111"/>
        <v>-423</v>
      </c>
      <c r="AK113" s="182">
        <f t="shared" si="111"/>
        <v>-728</v>
      </c>
      <c r="AL113" s="182">
        <f t="shared" si="111"/>
        <v>-1033</v>
      </c>
      <c r="AM113" s="182">
        <f t="shared" si="111"/>
        <v>-1285</v>
      </c>
      <c r="AN113" s="182">
        <f t="shared" si="111"/>
        <v>-1536</v>
      </c>
      <c r="AO113" s="182">
        <f t="shared" si="111"/>
        <v>-1776</v>
      </c>
      <c r="AP113" s="182">
        <f t="shared" si="111"/>
        <v>-2024</v>
      </c>
      <c r="AQ113" s="182">
        <f t="shared" si="111"/>
        <v>-2272</v>
      </c>
    </row>
    <row r="114" spans="1:43" ht="3.95" customHeight="1" x14ac:dyDescent="0.2">
      <c r="A114" s="409"/>
      <c r="C114" s="179"/>
      <c r="D114" s="179"/>
      <c r="E114" s="179"/>
      <c r="F114" s="179"/>
      <c r="G114" s="179"/>
      <c r="H114" s="179"/>
      <c r="I114" s="179"/>
      <c r="J114" s="179"/>
      <c r="K114" s="179"/>
      <c r="L114" s="179"/>
      <c r="M114" s="179"/>
      <c r="N114" s="179"/>
      <c r="O114" s="179"/>
      <c r="P114" s="179"/>
      <c r="Q114" s="179"/>
      <c r="R114" s="180"/>
      <c r="S114" s="171"/>
      <c r="V114" s="179"/>
      <c r="W114" s="179"/>
      <c r="X114" s="179"/>
      <c r="Y114" s="179"/>
      <c r="Z114" s="179"/>
      <c r="AA114" s="179"/>
      <c r="AB114" s="171"/>
      <c r="AC114" s="171"/>
      <c r="AD114" s="171"/>
      <c r="AF114" s="179"/>
      <c r="AG114" s="179"/>
      <c r="AH114" s="179"/>
      <c r="AI114" s="179"/>
      <c r="AJ114" s="179"/>
      <c r="AK114" s="179"/>
      <c r="AL114" s="179"/>
      <c r="AM114" s="179"/>
      <c r="AN114" s="179"/>
      <c r="AO114" s="179"/>
      <c r="AP114" s="179"/>
      <c r="AQ114" s="179"/>
    </row>
    <row r="115" spans="1:43" x14ac:dyDescent="0.2">
      <c r="A115" s="420" t="s">
        <v>923</v>
      </c>
      <c r="B115" s="671"/>
      <c r="C115" s="183">
        <f>ROUND(C110*0.372,0)</f>
        <v>97</v>
      </c>
      <c r="D115" s="183">
        <f>ROUND(D110*0.372,0)</f>
        <v>96</v>
      </c>
      <c r="E115" s="183">
        <f>ROUND(E110*0.372,0)</f>
        <v>97</v>
      </c>
      <c r="F115" s="183">
        <f t="shared" ref="F115:N115" si="112">ROUND(F110*0.372,0)</f>
        <v>96</v>
      </c>
      <c r="G115" s="183">
        <f t="shared" si="112"/>
        <v>96</v>
      </c>
      <c r="H115" s="183">
        <f t="shared" si="112"/>
        <v>304</v>
      </c>
      <c r="I115" s="183">
        <f t="shared" si="112"/>
        <v>305</v>
      </c>
      <c r="J115" s="183">
        <f t="shared" si="112"/>
        <v>254</v>
      </c>
      <c r="K115" s="183">
        <f t="shared" si="112"/>
        <v>254</v>
      </c>
      <c r="L115" s="183">
        <f t="shared" si="112"/>
        <v>243</v>
      </c>
      <c r="M115" s="183">
        <f t="shared" si="112"/>
        <v>251</v>
      </c>
      <c r="N115" s="183">
        <f t="shared" si="112"/>
        <v>251</v>
      </c>
      <c r="O115" s="183">
        <f>ROUND((SUM(O112:O113)),0)</f>
        <v>2344</v>
      </c>
      <c r="P115" s="183">
        <f>ROUND((SUM(P112:P113)),0)</f>
        <v>193</v>
      </c>
      <c r="Q115" s="183">
        <f>ROUND((SUM(Q112:Q113)),0)</f>
        <v>2151</v>
      </c>
      <c r="R115" s="426"/>
      <c r="S115" s="169"/>
      <c r="T115" s="177" t="str">
        <f>A115</f>
        <v xml:space="preserve">     Total Income Taxes (Composite Rate - 37.20 %)</v>
      </c>
      <c r="U115" s="671"/>
      <c r="V115" s="183">
        <f>V112+V113</f>
        <v>290</v>
      </c>
      <c r="W115" s="183">
        <f>W112+W113</f>
        <v>496</v>
      </c>
      <c r="X115" s="183">
        <f>X112+X113</f>
        <v>813</v>
      </c>
      <c r="Y115" s="183">
        <f>Y112+Y113</f>
        <v>745</v>
      </c>
      <c r="Z115" s="183"/>
      <c r="AA115" s="183">
        <f>AA112+AA113</f>
        <v>2344</v>
      </c>
      <c r="AB115" s="169"/>
      <c r="AC115" s="169"/>
      <c r="AD115" s="166" t="str">
        <f>A115</f>
        <v xml:space="preserve">     Total Income Taxes (Composite Rate - 37.20 %)</v>
      </c>
      <c r="AF115" s="183">
        <f>C115</f>
        <v>97</v>
      </c>
      <c r="AG115" s="183">
        <f t="shared" ref="AG115:AQ115" si="113">D115+AF115</f>
        <v>193</v>
      </c>
      <c r="AH115" s="183">
        <f t="shared" si="113"/>
        <v>290</v>
      </c>
      <c r="AI115" s="183">
        <f t="shared" si="113"/>
        <v>386</v>
      </c>
      <c r="AJ115" s="183">
        <f t="shared" si="113"/>
        <v>482</v>
      </c>
      <c r="AK115" s="183">
        <f t="shared" si="113"/>
        <v>786</v>
      </c>
      <c r="AL115" s="183">
        <f t="shared" si="113"/>
        <v>1091</v>
      </c>
      <c r="AM115" s="183">
        <f t="shared" si="113"/>
        <v>1345</v>
      </c>
      <c r="AN115" s="183">
        <f t="shared" si="113"/>
        <v>1599</v>
      </c>
      <c r="AO115" s="183">
        <f t="shared" si="113"/>
        <v>1842</v>
      </c>
      <c r="AP115" s="183">
        <f t="shared" si="113"/>
        <v>2093</v>
      </c>
      <c r="AQ115" s="183">
        <f t="shared" si="113"/>
        <v>2344</v>
      </c>
    </row>
    <row r="116" spans="1:43" x14ac:dyDescent="0.2">
      <c r="A116" s="411"/>
      <c r="B116" s="671"/>
      <c r="C116" s="184"/>
      <c r="D116" s="189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9"/>
      <c r="P116" s="184"/>
      <c r="Q116" s="184"/>
      <c r="R116" s="427"/>
      <c r="S116" s="169"/>
      <c r="T116" s="166"/>
      <c r="U116" s="671"/>
      <c r="V116" s="184"/>
      <c r="W116" s="184"/>
      <c r="X116" s="184"/>
      <c r="Y116" s="189"/>
      <c r="Z116" s="184"/>
      <c r="AA116" s="184"/>
      <c r="AB116" s="169"/>
      <c r="AC116" s="169"/>
      <c r="AF116" s="179"/>
      <c r="AG116" s="179"/>
      <c r="AH116" s="179"/>
      <c r="AI116" s="179"/>
      <c r="AJ116" s="179"/>
      <c r="AK116" s="179"/>
      <c r="AL116" s="179"/>
      <c r="AM116" s="179"/>
      <c r="AN116" s="179"/>
      <c r="AO116" s="179"/>
      <c r="AP116" s="179"/>
      <c r="AQ116" s="179"/>
    </row>
    <row r="117" spans="1:43" x14ac:dyDescent="0.2">
      <c r="A117" s="418" t="s">
        <v>386</v>
      </c>
      <c r="B117" s="671"/>
      <c r="C117" s="183">
        <f t="shared" ref="C117:P117" si="114">ROUND(+C110-C115,0)</f>
        <v>164</v>
      </c>
      <c r="D117" s="183">
        <f t="shared" si="114"/>
        <v>163</v>
      </c>
      <c r="E117" s="183">
        <f t="shared" si="114"/>
        <v>164</v>
      </c>
      <c r="F117" s="183">
        <f t="shared" si="114"/>
        <v>163</v>
      </c>
      <c r="G117" s="183">
        <f t="shared" si="114"/>
        <v>161</v>
      </c>
      <c r="H117" s="183">
        <f t="shared" si="114"/>
        <v>514</v>
      </c>
      <c r="I117" s="183">
        <f t="shared" si="114"/>
        <v>514</v>
      </c>
      <c r="J117" s="183">
        <f t="shared" si="114"/>
        <v>429</v>
      </c>
      <c r="K117" s="183">
        <f t="shared" si="114"/>
        <v>428</v>
      </c>
      <c r="L117" s="183">
        <f t="shared" si="114"/>
        <v>410</v>
      </c>
      <c r="M117" s="183">
        <f t="shared" si="114"/>
        <v>424</v>
      </c>
      <c r="N117" s="183">
        <f t="shared" si="114"/>
        <v>425</v>
      </c>
      <c r="O117" s="183">
        <f t="shared" si="114"/>
        <v>3959</v>
      </c>
      <c r="P117" s="183">
        <f t="shared" si="114"/>
        <v>327</v>
      </c>
      <c r="Q117" s="183">
        <f>Q110-Q115</f>
        <v>3632</v>
      </c>
      <c r="R117" s="426"/>
      <c r="S117" s="169"/>
      <c r="T117" s="177" t="str">
        <f>A117</f>
        <v xml:space="preserve">NET INCOME </v>
      </c>
      <c r="U117" s="671"/>
      <c r="V117" s="183">
        <f>V110-V115</f>
        <v>491</v>
      </c>
      <c r="W117" s="183">
        <f>W110-W115</f>
        <v>838</v>
      </c>
      <c r="X117" s="183">
        <f>X110-X115</f>
        <v>1371</v>
      </c>
      <c r="Y117" s="183">
        <f>Y110-Y115</f>
        <v>1259</v>
      </c>
      <c r="Z117" s="183"/>
      <c r="AA117" s="183">
        <f>AA110-AA115</f>
        <v>3959</v>
      </c>
      <c r="AB117" s="190"/>
      <c r="AC117" s="190"/>
      <c r="AD117" s="166" t="str">
        <f>A117</f>
        <v xml:space="preserve">NET INCOME </v>
      </c>
      <c r="AF117" s="183">
        <f>C117</f>
        <v>164</v>
      </c>
      <c r="AG117" s="183">
        <f t="shared" ref="AG117:AQ117" si="115">D117+AF117</f>
        <v>327</v>
      </c>
      <c r="AH117" s="183">
        <f t="shared" si="115"/>
        <v>491</v>
      </c>
      <c r="AI117" s="183">
        <f t="shared" si="115"/>
        <v>654</v>
      </c>
      <c r="AJ117" s="183">
        <f t="shared" si="115"/>
        <v>815</v>
      </c>
      <c r="AK117" s="183">
        <f t="shared" si="115"/>
        <v>1329</v>
      </c>
      <c r="AL117" s="183">
        <f t="shared" si="115"/>
        <v>1843</v>
      </c>
      <c r="AM117" s="183">
        <f t="shared" si="115"/>
        <v>2272</v>
      </c>
      <c r="AN117" s="183">
        <f t="shared" si="115"/>
        <v>2700</v>
      </c>
      <c r="AO117" s="183">
        <f t="shared" si="115"/>
        <v>3110</v>
      </c>
      <c r="AP117" s="183">
        <f t="shared" si="115"/>
        <v>3534</v>
      </c>
      <c r="AQ117" s="183">
        <f t="shared" si="115"/>
        <v>3959</v>
      </c>
    </row>
    <row r="118" spans="1:43" x14ac:dyDescent="0.2">
      <c r="A118" s="536"/>
      <c r="B118" s="671"/>
      <c r="C118" s="537"/>
      <c r="D118" s="537"/>
      <c r="E118" s="537"/>
      <c r="F118" s="537"/>
      <c r="G118" s="537"/>
      <c r="H118" s="537"/>
      <c r="I118" s="537"/>
      <c r="J118" s="537"/>
      <c r="K118" s="537"/>
      <c r="L118" s="537"/>
      <c r="M118" s="537"/>
      <c r="N118" s="537"/>
      <c r="O118" s="179"/>
      <c r="P118" s="180"/>
      <c r="Q118" s="179"/>
      <c r="R118" s="166"/>
      <c r="S118" s="166"/>
      <c r="T118" s="181"/>
      <c r="U118" s="671"/>
      <c r="V118" s="179"/>
      <c r="W118" s="179"/>
      <c r="X118" s="179"/>
      <c r="Y118" s="179"/>
      <c r="Z118" s="179"/>
      <c r="AA118" s="179"/>
      <c r="AF118" s="179"/>
      <c r="AG118" s="179"/>
      <c r="AH118" s="179"/>
      <c r="AI118" s="179"/>
      <c r="AJ118" s="179"/>
      <c r="AK118" s="179"/>
      <c r="AL118" s="179"/>
      <c r="AM118" s="179"/>
      <c r="AN118" s="179"/>
      <c r="AO118" s="179"/>
      <c r="AP118" s="179"/>
      <c r="AQ118" s="179"/>
    </row>
    <row r="119" spans="1:43" ht="6" customHeight="1" x14ac:dyDescent="0.2">
      <c r="O119" s="171"/>
    </row>
    <row r="121" spans="1:43" x14ac:dyDescent="0.2">
      <c r="A121" s="605" t="str">
        <f ca="1">CELL("FILENAME")</f>
        <v>C:\Users\Felienne\Enron\EnronSpreadsheets\[tracy_geaccone__40367__EMNNG02PL.xls]IncomeState</v>
      </c>
      <c r="C121" s="166"/>
      <c r="D121" s="166"/>
      <c r="E121" s="166"/>
      <c r="F121" s="646" t="s">
        <v>357</v>
      </c>
      <c r="G121" s="510"/>
      <c r="H121" s="509"/>
      <c r="I121" s="509"/>
      <c r="J121" s="509"/>
      <c r="K121" s="512"/>
      <c r="L121" s="166"/>
      <c r="M121" s="166"/>
      <c r="N121" s="166"/>
      <c r="O121" s="166"/>
      <c r="P121" s="166"/>
      <c r="Q121" s="166"/>
      <c r="R121" s="166"/>
      <c r="S121" s="167"/>
      <c r="T121" s="424" t="str">
        <f ca="1">A121</f>
        <v>C:\Users\Felienne\Enron\EnronSpreadsheets\[tracy_geaccone__40367__EMNNG02PL.xls]IncomeState</v>
      </c>
      <c r="V121" s="511" t="str">
        <f>F121</f>
        <v>NORTHERN NATURAL GAS COMPANY (Co. 179 &amp; 53K ONLY)</v>
      </c>
      <c r="W121" s="509"/>
      <c r="X121" s="509"/>
      <c r="Y121" s="509"/>
      <c r="Z121" s="509"/>
      <c r="AA121" s="167"/>
      <c r="AB121" s="167"/>
      <c r="AC121" s="166"/>
      <c r="AD121" s="424" t="str">
        <f ca="1">A121</f>
        <v>C:\Users\Felienne\Enron\EnronSpreadsheets\[tracy_geaccone__40367__EMNNG02PL.xls]IncomeState</v>
      </c>
      <c r="AH121" s="509" t="str">
        <f>F121</f>
        <v>NORTHERN NATURAL GAS COMPANY (Co. 179 &amp; 53K ONLY)</v>
      </c>
      <c r="AI121" s="510"/>
      <c r="AJ121" s="509"/>
      <c r="AK121" s="509"/>
      <c r="AL121" s="514"/>
      <c r="AM121" s="510"/>
    </row>
    <row r="122" spans="1:43" x14ac:dyDescent="0.2">
      <c r="A122" s="636" t="s">
        <v>1166</v>
      </c>
      <c r="C122" s="169"/>
      <c r="D122" s="170"/>
      <c r="E122" s="169"/>
      <c r="F122" s="167"/>
      <c r="G122" s="509" t="str">
        <f>G2</f>
        <v>2002 OPERATING PLAN</v>
      </c>
      <c r="H122" s="509"/>
      <c r="I122" s="509"/>
      <c r="J122" s="509"/>
      <c r="K122" s="169"/>
      <c r="L122" s="169"/>
      <c r="M122" s="169"/>
      <c r="N122" s="169"/>
      <c r="O122" s="166"/>
      <c r="P122" s="166"/>
      <c r="Q122" s="166"/>
      <c r="R122" s="166"/>
      <c r="S122" s="167"/>
      <c r="T122" s="665" t="s">
        <v>1170</v>
      </c>
      <c r="U122" s="671"/>
      <c r="V122" s="511" t="str">
        <f>G122</f>
        <v>2002 OPERATING PLAN</v>
      </c>
      <c r="W122" s="509"/>
      <c r="X122" s="509"/>
      <c r="Y122" s="509"/>
      <c r="Z122" s="167"/>
      <c r="AA122" s="167"/>
      <c r="AB122" s="166"/>
      <c r="AC122" s="166"/>
      <c r="AD122" s="670" t="s">
        <v>1171</v>
      </c>
      <c r="AF122" s="171"/>
      <c r="AG122" s="171"/>
      <c r="AH122" s="171"/>
      <c r="AI122" s="509" t="str">
        <f>AI2</f>
        <v>2002 OPERATING PLAN</v>
      </c>
      <c r="AJ122" s="509"/>
      <c r="AK122" s="509"/>
      <c r="AL122" s="514"/>
      <c r="AN122" s="171"/>
      <c r="AO122" s="171"/>
      <c r="AP122" s="171"/>
      <c r="AQ122" s="171"/>
    </row>
    <row r="123" spans="1:43" x14ac:dyDescent="0.2">
      <c r="A123" s="666" t="str">
        <f>A184</f>
        <v>2002 OPERATING PLAN</v>
      </c>
      <c r="C123" s="169"/>
      <c r="D123" s="169"/>
      <c r="E123" s="169"/>
      <c r="F123" s="169"/>
      <c r="G123" s="509" t="str">
        <f>G3</f>
        <v xml:space="preserve">RESULTS OF OPERATIONS </v>
      </c>
      <c r="H123" s="509"/>
      <c r="I123" s="509"/>
      <c r="J123" s="425"/>
      <c r="K123" s="169"/>
      <c r="L123" s="169"/>
      <c r="M123" s="169"/>
      <c r="N123" s="169"/>
      <c r="O123" s="166"/>
      <c r="P123" s="166"/>
      <c r="Q123" s="166"/>
      <c r="R123" s="166"/>
      <c r="S123" s="167"/>
      <c r="T123" s="428" t="str">
        <f>A123</f>
        <v>2002 OPERATING PLAN</v>
      </c>
      <c r="U123" s="671"/>
      <c r="V123" s="511" t="str">
        <f>G123</f>
        <v xml:space="preserve">RESULTS OF OPERATIONS </v>
      </c>
      <c r="W123" s="509"/>
      <c r="X123" s="509"/>
      <c r="Y123" s="509"/>
      <c r="Z123" s="167"/>
      <c r="AA123" s="167"/>
      <c r="AB123" s="166"/>
      <c r="AC123" s="166"/>
      <c r="AD123" s="424" t="str">
        <f>A123</f>
        <v>2002 OPERATING PLAN</v>
      </c>
      <c r="AF123" s="171"/>
      <c r="AG123" s="171"/>
      <c r="AH123" s="171"/>
      <c r="AI123" s="509" t="str">
        <f>AI3</f>
        <v>CUMMULATIVE RESULTS OF OPERATION</v>
      </c>
      <c r="AJ123" s="509"/>
      <c r="AK123" s="509"/>
      <c r="AL123" s="514"/>
      <c r="AN123" s="171"/>
      <c r="AO123" s="171"/>
      <c r="AP123" s="171"/>
      <c r="AQ123" s="171"/>
    </row>
    <row r="124" spans="1:43" x14ac:dyDescent="0.2">
      <c r="A124" s="409"/>
      <c r="B124" s="687">
        <f ca="1">NOW()</f>
        <v>41887.551126967592</v>
      </c>
      <c r="C124" s="169"/>
      <c r="D124" s="169"/>
      <c r="E124" s="169"/>
      <c r="F124" s="169"/>
      <c r="G124" s="509" t="str">
        <f>G4</f>
        <v>(Thousands of Dollars)</v>
      </c>
      <c r="H124" s="509"/>
      <c r="I124" s="509"/>
      <c r="J124" s="425"/>
      <c r="K124" s="169"/>
      <c r="L124" s="169"/>
      <c r="M124" s="169"/>
      <c r="N124" s="169"/>
      <c r="O124" s="166"/>
      <c r="P124" s="166"/>
      <c r="Q124" s="166"/>
      <c r="R124" s="166"/>
      <c r="S124" s="167"/>
      <c r="U124" s="687">
        <f ca="1">NOW()</f>
        <v>41887.551126967592</v>
      </c>
      <c r="V124" s="511" t="str">
        <f>G124</f>
        <v>(Thousands of Dollars)</v>
      </c>
      <c r="W124" s="509"/>
      <c r="X124" s="509"/>
      <c r="Y124" s="509"/>
      <c r="Z124" s="167"/>
      <c r="AA124" s="167"/>
      <c r="AB124" s="166"/>
      <c r="AC124" s="166"/>
      <c r="AD124" s="166"/>
      <c r="AE124" s="687">
        <f ca="1">NOW()</f>
        <v>41887.551126967592</v>
      </c>
      <c r="AF124" s="171"/>
      <c r="AG124" s="171"/>
      <c r="AH124" s="171"/>
      <c r="AI124" s="509" t="str">
        <f>AI4</f>
        <v>(Thousands of Dollars)</v>
      </c>
      <c r="AJ124" s="509"/>
      <c r="AK124" s="509"/>
      <c r="AL124" s="515"/>
      <c r="AN124" s="171"/>
      <c r="AO124" s="171"/>
      <c r="AP124" s="171"/>
      <c r="AQ124" s="171"/>
    </row>
    <row r="125" spans="1:43" x14ac:dyDescent="0.2">
      <c r="A125" s="420" t="s">
        <v>358</v>
      </c>
      <c r="B125" s="688">
        <f ca="1">NOW()</f>
        <v>41887.551126967592</v>
      </c>
      <c r="C125" s="169"/>
      <c r="D125" s="505"/>
      <c r="E125" s="169"/>
      <c r="F125" s="169"/>
      <c r="G125" s="417"/>
      <c r="H125" s="169"/>
      <c r="I125" s="172"/>
      <c r="J125" s="169"/>
      <c r="K125" s="169"/>
      <c r="L125" s="169"/>
      <c r="M125" s="169"/>
      <c r="N125" s="169"/>
      <c r="O125" s="166"/>
      <c r="P125" s="166"/>
      <c r="Q125" s="166"/>
      <c r="R125" s="166"/>
      <c r="S125" s="166"/>
      <c r="T125" s="420" t="s">
        <v>308</v>
      </c>
      <c r="U125" s="688">
        <f ca="1">NOW()</f>
        <v>41887.551126967592</v>
      </c>
      <c r="V125" s="167"/>
      <c r="W125" s="166"/>
      <c r="X125" s="166"/>
      <c r="Y125" s="166"/>
      <c r="Z125" s="166"/>
      <c r="AA125" s="166"/>
      <c r="AB125" s="166"/>
      <c r="AC125" s="166"/>
      <c r="AD125" s="420" t="s">
        <v>309</v>
      </c>
      <c r="AE125" s="688">
        <f ca="1">NOW()</f>
        <v>41887.551126967592</v>
      </c>
      <c r="AF125" s="171"/>
      <c r="AG125" s="171"/>
      <c r="AH125" s="171"/>
      <c r="AI125" s="171"/>
      <c r="AJ125" s="171"/>
      <c r="AK125" s="171"/>
      <c r="AL125" s="171"/>
      <c r="AM125" s="171"/>
      <c r="AN125" s="171"/>
      <c r="AO125" s="171"/>
      <c r="AP125" s="171"/>
      <c r="AQ125" s="171"/>
    </row>
    <row r="126" spans="1:43" x14ac:dyDescent="0.2">
      <c r="A126" s="171"/>
      <c r="C126" s="425" t="str">
        <f>DataBase!C2</f>
        <v>PLAN</v>
      </c>
      <c r="D126" s="425" t="str">
        <f>DataBase!D2</f>
        <v>PLAN</v>
      </c>
      <c r="E126" s="425" t="str">
        <f>DataBase!E2</f>
        <v>PLAN</v>
      </c>
      <c r="F126" s="425" t="str">
        <f>DataBase!F2</f>
        <v>PLAN</v>
      </c>
      <c r="G126" s="425" t="str">
        <f>DataBase!G2</f>
        <v>PLAN</v>
      </c>
      <c r="H126" s="425" t="str">
        <f>DataBase!H2</f>
        <v>PLAN</v>
      </c>
      <c r="I126" s="425" t="str">
        <f>DataBase!I2</f>
        <v>PLAN</v>
      </c>
      <c r="J126" s="425" t="str">
        <f>DataBase!J2</f>
        <v>PLAN</v>
      </c>
      <c r="K126" s="425" t="str">
        <f>DataBase!K2</f>
        <v>PLAN</v>
      </c>
      <c r="L126" s="425" t="str">
        <f>DataBase!L2</f>
        <v>PLAN</v>
      </c>
      <c r="M126" s="425" t="str">
        <f>DataBase!M2</f>
        <v>PLAN</v>
      </c>
      <c r="N126" s="425" t="str">
        <f>DataBase!N2</f>
        <v>PLAN</v>
      </c>
      <c r="O126" s="425" t="str">
        <f>DataBase!O2</f>
        <v>TOTAL</v>
      </c>
      <c r="P126" s="425" t="str">
        <f>P6</f>
        <v>FEB.</v>
      </c>
      <c r="Q126" s="425" t="str">
        <f>Q6</f>
        <v>ESTIMATE</v>
      </c>
      <c r="R126" s="166"/>
      <c r="S126" s="167"/>
      <c r="T126" s="167"/>
      <c r="U126" s="671"/>
      <c r="V126" s="671" t="str">
        <f>V6</f>
        <v>1st</v>
      </c>
      <c r="W126" s="671" t="str">
        <f>W6</f>
        <v>2nd</v>
      </c>
      <c r="X126" s="671" t="str">
        <f>X6</f>
        <v>3rd</v>
      </c>
      <c r="Y126" s="671" t="str">
        <f>Y6</f>
        <v>4th</v>
      </c>
      <c r="Z126" s="166"/>
      <c r="AA126" s="173" t="str">
        <f>O126</f>
        <v>TOTAL</v>
      </c>
      <c r="AB126" s="166"/>
      <c r="AC126" s="166"/>
      <c r="AD126" s="171"/>
      <c r="AF126" s="172" t="str">
        <f t="shared" ref="AF126:AQ127" si="116">C126</f>
        <v>PLAN</v>
      </c>
      <c r="AG126" s="172" t="str">
        <f t="shared" si="116"/>
        <v>PLAN</v>
      </c>
      <c r="AH126" s="172" t="str">
        <f t="shared" si="116"/>
        <v>PLAN</v>
      </c>
      <c r="AI126" s="172" t="str">
        <f t="shared" si="116"/>
        <v>PLAN</v>
      </c>
      <c r="AJ126" s="172" t="str">
        <f t="shared" si="116"/>
        <v>PLAN</v>
      </c>
      <c r="AK126" s="172" t="str">
        <f t="shared" si="116"/>
        <v>PLAN</v>
      </c>
      <c r="AL126" s="172" t="str">
        <f t="shared" si="116"/>
        <v>PLAN</v>
      </c>
      <c r="AM126" s="172" t="str">
        <f t="shared" si="116"/>
        <v>PLAN</v>
      </c>
      <c r="AN126" s="172" t="str">
        <f t="shared" si="116"/>
        <v>PLAN</v>
      </c>
      <c r="AO126" s="172" t="str">
        <f t="shared" si="116"/>
        <v>PLAN</v>
      </c>
      <c r="AP126" s="172" t="str">
        <f t="shared" si="116"/>
        <v>PLAN</v>
      </c>
      <c r="AQ126" s="172" t="str">
        <f t="shared" si="116"/>
        <v>PLAN</v>
      </c>
    </row>
    <row r="127" spans="1:43" x14ac:dyDescent="0.2">
      <c r="A127" s="171"/>
      <c r="C127" s="174" t="str">
        <f>C7</f>
        <v>JAN</v>
      </c>
      <c r="D127" s="174" t="str">
        <f t="shared" ref="D127:Q127" si="117">D7</f>
        <v>FEB</v>
      </c>
      <c r="E127" s="174" t="str">
        <f t="shared" si="117"/>
        <v>MAR</v>
      </c>
      <c r="F127" s="174" t="str">
        <f t="shared" si="117"/>
        <v>APR</v>
      </c>
      <c r="G127" s="174" t="str">
        <f t="shared" si="117"/>
        <v>MAY</v>
      </c>
      <c r="H127" s="174" t="str">
        <f t="shared" si="117"/>
        <v>JUN</v>
      </c>
      <c r="I127" s="174" t="str">
        <f t="shared" si="117"/>
        <v>JUL</v>
      </c>
      <c r="J127" s="174" t="str">
        <f t="shared" si="117"/>
        <v>AUG</v>
      </c>
      <c r="K127" s="174" t="str">
        <f t="shared" si="117"/>
        <v>SEP</v>
      </c>
      <c r="L127" s="174" t="str">
        <f t="shared" si="117"/>
        <v>OCT</v>
      </c>
      <c r="M127" s="174" t="str">
        <f t="shared" si="117"/>
        <v>NOV</v>
      </c>
      <c r="N127" s="174" t="str">
        <f t="shared" si="117"/>
        <v>DEC</v>
      </c>
      <c r="O127" s="174" t="str">
        <f t="shared" si="117"/>
        <v>2002</v>
      </c>
      <c r="P127" s="174" t="str">
        <f t="shared" si="117"/>
        <v>Y-T-D</v>
      </c>
      <c r="Q127" s="174" t="str">
        <f t="shared" si="117"/>
        <v>R.M.</v>
      </c>
      <c r="R127" s="169"/>
      <c r="S127" s="167"/>
      <c r="T127" s="167"/>
      <c r="U127" s="671"/>
      <c r="V127" s="174" t="str">
        <f>V7</f>
        <v>Quarter</v>
      </c>
      <c r="W127" s="429" t="str">
        <f>V$7</f>
        <v>Quarter</v>
      </c>
      <c r="X127" s="429" t="str">
        <f>W$7</f>
        <v>Quarter</v>
      </c>
      <c r="Y127" s="429" t="str">
        <f>X$7</f>
        <v>Quarter</v>
      </c>
      <c r="Z127" s="176"/>
      <c r="AA127" s="175" t="str">
        <f>O127</f>
        <v>2002</v>
      </c>
      <c r="AB127" s="166"/>
      <c r="AC127" s="166"/>
      <c r="AD127" s="171"/>
      <c r="AF127" s="174" t="str">
        <f t="shared" si="116"/>
        <v>JAN</v>
      </c>
      <c r="AG127" s="174" t="str">
        <f t="shared" si="116"/>
        <v>FEB</v>
      </c>
      <c r="AH127" s="174" t="str">
        <f t="shared" si="116"/>
        <v>MAR</v>
      </c>
      <c r="AI127" s="174" t="str">
        <f t="shared" si="116"/>
        <v>APR</v>
      </c>
      <c r="AJ127" s="174" t="str">
        <f t="shared" si="116"/>
        <v>MAY</v>
      </c>
      <c r="AK127" s="174" t="str">
        <f t="shared" si="116"/>
        <v>JUN</v>
      </c>
      <c r="AL127" s="174" t="str">
        <f t="shared" si="116"/>
        <v>JUL</v>
      </c>
      <c r="AM127" s="174" t="str">
        <f t="shared" si="116"/>
        <v>AUG</v>
      </c>
      <c r="AN127" s="174" t="str">
        <f t="shared" si="116"/>
        <v>SEP</v>
      </c>
      <c r="AO127" s="174" t="str">
        <f t="shared" si="116"/>
        <v>OCT</v>
      </c>
      <c r="AP127" s="174" t="str">
        <f t="shared" si="116"/>
        <v>NOV</v>
      </c>
      <c r="AQ127" s="174" t="str">
        <f t="shared" si="116"/>
        <v>DEC</v>
      </c>
    </row>
    <row r="128" spans="1:43" x14ac:dyDescent="0.2">
      <c r="A128" s="418" t="s">
        <v>815</v>
      </c>
      <c r="T128" s="177" t="str">
        <f>A128</f>
        <v>OPERATING REVENUES</v>
      </c>
      <c r="AD128" s="166" t="str">
        <f>A128</f>
        <v>OPERATING REVENUES</v>
      </c>
    </row>
    <row r="129" spans="1:43" x14ac:dyDescent="0.2">
      <c r="A129" s="419" t="s">
        <v>816</v>
      </c>
      <c r="C129" s="179">
        <f t="shared" ref="C129:N129" si="118">C9-C69</f>
        <v>0</v>
      </c>
      <c r="D129" s="179">
        <f t="shared" si="118"/>
        <v>0</v>
      </c>
      <c r="E129" s="179">
        <f t="shared" si="118"/>
        <v>0</v>
      </c>
      <c r="F129" s="179">
        <f t="shared" si="118"/>
        <v>0</v>
      </c>
      <c r="G129" s="179">
        <f t="shared" si="118"/>
        <v>0</v>
      </c>
      <c r="H129" s="179">
        <f t="shared" si="118"/>
        <v>0</v>
      </c>
      <c r="I129" s="179">
        <f t="shared" si="118"/>
        <v>0</v>
      </c>
      <c r="J129" s="179">
        <f t="shared" si="118"/>
        <v>0</v>
      </c>
      <c r="K129" s="179">
        <f t="shared" si="118"/>
        <v>0</v>
      </c>
      <c r="L129" s="179">
        <f t="shared" si="118"/>
        <v>0</v>
      </c>
      <c r="M129" s="179">
        <f t="shared" si="118"/>
        <v>0</v>
      </c>
      <c r="N129" s="179">
        <f t="shared" si="118"/>
        <v>0</v>
      </c>
      <c r="O129" s="179">
        <f>SUM(C129:N129)</f>
        <v>0</v>
      </c>
      <c r="P129" s="180">
        <f>SUM(C129:D129)</f>
        <v>0</v>
      </c>
      <c r="Q129" s="179">
        <f>O129-P129</f>
        <v>0</v>
      </c>
      <c r="R129" s="617"/>
      <c r="S129" s="171"/>
      <c r="T129" s="181" t="str">
        <f>A129</f>
        <v xml:space="preserve">   Gas Sales &amp; Liquids Revenue</v>
      </c>
      <c r="V129" s="179">
        <f>C129+D129+E129</f>
        <v>0</v>
      </c>
      <c r="W129" s="179">
        <f>F129+G129+H129</f>
        <v>0</v>
      </c>
      <c r="X129" s="179">
        <f>I129+J129+K129</f>
        <v>0</v>
      </c>
      <c r="Y129" s="179">
        <f>L129+M129+N129</f>
        <v>0</v>
      </c>
      <c r="Z129" s="179"/>
      <c r="AA129" s="179">
        <f>SUM(V129:Y129)</f>
        <v>0</v>
      </c>
      <c r="AB129" s="171"/>
      <c r="AC129" s="171"/>
      <c r="AD129" s="165" t="str">
        <f>A129</f>
        <v xml:space="preserve">   Gas Sales &amp; Liquids Revenue</v>
      </c>
      <c r="AF129" s="179">
        <f>C129</f>
        <v>0</v>
      </c>
      <c r="AG129" s="179">
        <f t="shared" ref="AG129:AQ130" si="119">D129+AF129</f>
        <v>0</v>
      </c>
      <c r="AH129" s="179">
        <f t="shared" si="119"/>
        <v>0</v>
      </c>
      <c r="AI129" s="179">
        <f t="shared" si="119"/>
        <v>0</v>
      </c>
      <c r="AJ129" s="179">
        <f t="shared" si="119"/>
        <v>0</v>
      </c>
      <c r="AK129" s="179">
        <f t="shared" si="119"/>
        <v>0</v>
      </c>
      <c r="AL129" s="179">
        <f t="shared" si="119"/>
        <v>0</v>
      </c>
      <c r="AM129" s="179">
        <f t="shared" si="119"/>
        <v>0</v>
      </c>
      <c r="AN129" s="179">
        <f t="shared" si="119"/>
        <v>0</v>
      </c>
      <c r="AO129" s="179">
        <f t="shared" si="119"/>
        <v>0</v>
      </c>
      <c r="AP129" s="179">
        <f t="shared" si="119"/>
        <v>0</v>
      </c>
      <c r="AQ129" s="179">
        <f t="shared" si="119"/>
        <v>0</v>
      </c>
    </row>
    <row r="130" spans="1:43" x14ac:dyDescent="0.2">
      <c r="A130" s="419" t="s">
        <v>817</v>
      </c>
      <c r="C130" s="182">
        <f t="shared" ref="C130:N130" si="120">C10-C70</f>
        <v>0</v>
      </c>
      <c r="D130" s="182">
        <f t="shared" si="120"/>
        <v>0</v>
      </c>
      <c r="E130" s="182">
        <f t="shared" si="120"/>
        <v>0</v>
      </c>
      <c r="F130" s="182">
        <f t="shared" si="120"/>
        <v>0</v>
      </c>
      <c r="G130" s="182">
        <f t="shared" si="120"/>
        <v>0</v>
      </c>
      <c r="H130" s="182">
        <f t="shared" si="120"/>
        <v>0</v>
      </c>
      <c r="I130" s="182">
        <f t="shared" si="120"/>
        <v>0</v>
      </c>
      <c r="J130" s="182">
        <f t="shared" si="120"/>
        <v>0</v>
      </c>
      <c r="K130" s="182">
        <f t="shared" si="120"/>
        <v>0</v>
      </c>
      <c r="L130" s="182">
        <f t="shared" si="120"/>
        <v>0</v>
      </c>
      <c r="M130" s="182">
        <f t="shared" si="120"/>
        <v>0</v>
      </c>
      <c r="N130" s="182">
        <f t="shared" si="120"/>
        <v>0</v>
      </c>
      <c r="O130" s="182">
        <f>SUM(C130:N130)</f>
        <v>0</v>
      </c>
      <c r="P130" s="273">
        <f>SUM(C130:D130)</f>
        <v>0</v>
      </c>
      <c r="Q130" s="182">
        <f>O130-P130</f>
        <v>0</v>
      </c>
      <c r="R130" s="618"/>
      <c r="S130" s="171"/>
      <c r="T130" s="181" t="str">
        <f>A130</f>
        <v xml:space="preserve">     Less:  Cost of Sales</v>
      </c>
      <c r="V130" s="182">
        <f>C130+D130+E130</f>
        <v>0</v>
      </c>
      <c r="W130" s="182">
        <f>F130+G130+H130</f>
        <v>0</v>
      </c>
      <c r="X130" s="182">
        <f>I130+J130+K130</f>
        <v>0</v>
      </c>
      <c r="Y130" s="182">
        <f>L130+M130+N130</f>
        <v>0</v>
      </c>
      <c r="Z130" s="182"/>
      <c r="AA130" s="182">
        <f>SUM(V130:Y130)</f>
        <v>0</v>
      </c>
      <c r="AB130" s="171"/>
      <c r="AC130" s="171"/>
      <c r="AD130" s="165" t="str">
        <f>A130</f>
        <v xml:space="preserve">     Less:  Cost of Sales</v>
      </c>
      <c r="AF130" s="182">
        <f>C130</f>
        <v>0</v>
      </c>
      <c r="AG130" s="182">
        <f t="shared" si="119"/>
        <v>0</v>
      </c>
      <c r="AH130" s="182">
        <f t="shared" si="119"/>
        <v>0</v>
      </c>
      <c r="AI130" s="182">
        <f t="shared" si="119"/>
        <v>0</v>
      </c>
      <c r="AJ130" s="182">
        <f t="shared" si="119"/>
        <v>0</v>
      </c>
      <c r="AK130" s="182">
        <f t="shared" si="119"/>
        <v>0</v>
      </c>
      <c r="AL130" s="182">
        <f t="shared" si="119"/>
        <v>0</v>
      </c>
      <c r="AM130" s="182">
        <f t="shared" si="119"/>
        <v>0</v>
      </c>
      <c r="AN130" s="182">
        <f t="shared" si="119"/>
        <v>0</v>
      </c>
      <c r="AO130" s="182">
        <f t="shared" si="119"/>
        <v>0</v>
      </c>
      <c r="AP130" s="182">
        <f t="shared" si="119"/>
        <v>0</v>
      </c>
      <c r="AQ130" s="182">
        <f t="shared" si="119"/>
        <v>0</v>
      </c>
    </row>
    <row r="131" spans="1:43" ht="6" customHeight="1" x14ac:dyDescent="0.2">
      <c r="A131" s="409"/>
      <c r="C131" s="179"/>
      <c r="D131" s="179"/>
      <c r="E131" s="179"/>
      <c r="F131" s="179"/>
      <c r="G131" s="179"/>
      <c r="H131" s="179"/>
      <c r="I131" s="179"/>
      <c r="J131" s="179"/>
      <c r="K131" s="179"/>
      <c r="L131" s="179"/>
      <c r="M131" s="179"/>
      <c r="N131" s="179"/>
      <c r="O131" s="179"/>
      <c r="P131" s="179"/>
      <c r="Q131" s="179"/>
      <c r="R131" s="180"/>
      <c r="S131" s="171"/>
      <c r="V131" s="179"/>
      <c r="W131" s="179"/>
      <c r="X131" s="179"/>
      <c r="Y131" s="179"/>
      <c r="Z131" s="179"/>
      <c r="AA131" s="179"/>
      <c r="AB131" s="171"/>
      <c r="AC131" s="171"/>
      <c r="AD131" s="171"/>
      <c r="AF131" s="179"/>
      <c r="AG131" s="179"/>
      <c r="AH131" s="179"/>
      <c r="AI131" s="179"/>
      <c r="AJ131" s="179"/>
      <c r="AK131" s="179"/>
      <c r="AL131" s="179"/>
      <c r="AM131" s="179"/>
      <c r="AN131" s="179"/>
      <c r="AO131" s="179"/>
      <c r="AP131" s="179"/>
      <c r="AQ131" s="179"/>
    </row>
    <row r="132" spans="1:43" x14ac:dyDescent="0.2">
      <c r="A132" s="420" t="s">
        <v>818</v>
      </c>
      <c r="B132" s="671"/>
      <c r="C132" s="183">
        <f t="shared" ref="C132:Q132" si="121">C129-C130</f>
        <v>0</v>
      </c>
      <c r="D132" s="183">
        <f t="shared" si="121"/>
        <v>0</v>
      </c>
      <c r="E132" s="183">
        <f t="shared" si="121"/>
        <v>0</v>
      </c>
      <c r="F132" s="183">
        <f t="shared" si="121"/>
        <v>0</v>
      </c>
      <c r="G132" s="183">
        <f t="shared" si="121"/>
        <v>0</v>
      </c>
      <c r="H132" s="183">
        <f t="shared" si="121"/>
        <v>0</v>
      </c>
      <c r="I132" s="183">
        <f t="shared" si="121"/>
        <v>0</v>
      </c>
      <c r="J132" s="183">
        <f t="shared" si="121"/>
        <v>0</v>
      </c>
      <c r="K132" s="183">
        <f t="shared" si="121"/>
        <v>0</v>
      </c>
      <c r="L132" s="183">
        <f t="shared" si="121"/>
        <v>0</v>
      </c>
      <c r="M132" s="183">
        <f t="shared" si="121"/>
        <v>0</v>
      </c>
      <c r="N132" s="183">
        <f t="shared" si="121"/>
        <v>0</v>
      </c>
      <c r="O132" s="183">
        <f t="shared" si="121"/>
        <v>0</v>
      </c>
      <c r="P132" s="183">
        <f t="shared" si="121"/>
        <v>0</v>
      </c>
      <c r="Q132" s="183">
        <f t="shared" si="121"/>
        <v>0</v>
      </c>
      <c r="R132" s="426"/>
      <c r="S132" s="169"/>
      <c r="T132" s="177" t="str">
        <f>A132</f>
        <v xml:space="preserve">      Sales Margin</v>
      </c>
      <c r="U132" s="671"/>
      <c r="V132" s="184">
        <f>V129-V130</f>
        <v>0</v>
      </c>
      <c r="W132" s="184">
        <f>W129-W130</f>
        <v>0</v>
      </c>
      <c r="X132" s="184">
        <f>X129-X130</f>
        <v>0</v>
      </c>
      <c r="Y132" s="184">
        <f>Y129-Y130</f>
        <v>0</v>
      </c>
      <c r="Z132" s="184"/>
      <c r="AA132" s="184">
        <f>AA129-AA130</f>
        <v>0</v>
      </c>
      <c r="AB132" s="169"/>
      <c r="AC132" s="169"/>
      <c r="AD132" s="166" t="str">
        <f>A132</f>
        <v xml:space="preserve">      Sales Margin</v>
      </c>
      <c r="AF132" s="184">
        <f>C132</f>
        <v>0</v>
      </c>
      <c r="AG132" s="184">
        <f t="shared" ref="AG132:AQ132" si="122">D132+AF132</f>
        <v>0</v>
      </c>
      <c r="AH132" s="184">
        <f t="shared" si="122"/>
        <v>0</v>
      </c>
      <c r="AI132" s="184">
        <f t="shared" si="122"/>
        <v>0</v>
      </c>
      <c r="AJ132" s="184">
        <f t="shared" si="122"/>
        <v>0</v>
      </c>
      <c r="AK132" s="184">
        <f t="shared" si="122"/>
        <v>0</v>
      </c>
      <c r="AL132" s="184">
        <f t="shared" si="122"/>
        <v>0</v>
      </c>
      <c r="AM132" s="184">
        <f t="shared" si="122"/>
        <v>0</v>
      </c>
      <c r="AN132" s="184">
        <f t="shared" si="122"/>
        <v>0</v>
      </c>
      <c r="AO132" s="184">
        <f t="shared" si="122"/>
        <v>0</v>
      </c>
      <c r="AP132" s="184">
        <f t="shared" si="122"/>
        <v>0</v>
      </c>
      <c r="AQ132" s="184">
        <f t="shared" si="122"/>
        <v>0</v>
      </c>
    </row>
    <row r="133" spans="1:43" ht="6" customHeight="1" x14ac:dyDescent="0.2">
      <c r="A133" s="409"/>
      <c r="C133" s="179"/>
      <c r="D133" s="179"/>
      <c r="E133" s="179"/>
      <c r="F133" s="179"/>
      <c r="G133" s="179"/>
      <c r="H133" s="179"/>
      <c r="I133" s="179"/>
      <c r="J133" s="179"/>
      <c r="K133" s="179"/>
      <c r="L133" s="179"/>
      <c r="M133" s="179"/>
      <c r="N133" s="179"/>
      <c r="O133" s="179"/>
      <c r="P133" s="179"/>
      <c r="Q133" s="179"/>
      <c r="R133" s="180"/>
      <c r="S133" s="171"/>
      <c r="V133" s="179"/>
      <c r="W133" s="179"/>
      <c r="X133" s="179"/>
      <c r="Y133" s="179"/>
      <c r="Z133" s="179"/>
      <c r="AA133" s="179"/>
      <c r="AB133" s="171"/>
      <c r="AC133" s="171"/>
      <c r="AD133" s="185"/>
      <c r="AF133" s="179"/>
      <c r="AG133" s="179"/>
      <c r="AH133" s="179"/>
      <c r="AI133" s="179"/>
      <c r="AJ133" s="179"/>
      <c r="AK133" s="179"/>
      <c r="AL133" s="179"/>
      <c r="AM133" s="179"/>
      <c r="AN133" s="179"/>
      <c r="AO133" s="179"/>
      <c r="AP133" s="179"/>
      <c r="AQ133" s="179"/>
    </row>
    <row r="134" spans="1:43" x14ac:dyDescent="0.2">
      <c r="A134" s="419" t="s">
        <v>819</v>
      </c>
      <c r="C134" s="179">
        <f t="shared" ref="C134:N134" si="123">C14-C74</f>
        <v>55287</v>
      </c>
      <c r="D134" s="179">
        <f t="shared" si="123"/>
        <v>54297</v>
      </c>
      <c r="E134" s="179">
        <f t="shared" si="123"/>
        <v>57788</v>
      </c>
      <c r="F134" s="179">
        <f t="shared" si="123"/>
        <v>23074</v>
      </c>
      <c r="G134" s="179">
        <f t="shared" si="123"/>
        <v>22070</v>
      </c>
      <c r="H134" s="179">
        <f t="shared" si="123"/>
        <v>25185</v>
      </c>
      <c r="I134" s="179">
        <f t="shared" si="123"/>
        <v>25128</v>
      </c>
      <c r="J134" s="179">
        <f t="shared" si="123"/>
        <v>24715</v>
      </c>
      <c r="K134" s="179">
        <f t="shared" si="123"/>
        <v>24496</v>
      </c>
      <c r="L134" s="179">
        <f t="shared" si="123"/>
        <v>24301</v>
      </c>
      <c r="M134" s="179">
        <f t="shared" si="123"/>
        <v>52563</v>
      </c>
      <c r="N134" s="179">
        <f t="shared" si="123"/>
        <v>53454</v>
      </c>
      <c r="O134" s="179">
        <f>SUM(C134:N134)</f>
        <v>442358</v>
      </c>
      <c r="P134" s="180">
        <f>SUM(C134:D134)</f>
        <v>109584</v>
      </c>
      <c r="Q134" s="179">
        <f>O134-P134</f>
        <v>332774</v>
      </c>
      <c r="R134" s="617"/>
      <c r="S134" s="171"/>
      <c r="T134" s="181" t="str">
        <f>A134</f>
        <v xml:space="preserve">   Transportation &amp; Storage Revenue</v>
      </c>
      <c r="V134" s="179">
        <f>C134+D134+E134</f>
        <v>167372</v>
      </c>
      <c r="W134" s="179">
        <f>F134+G134+H134</f>
        <v>70329</v>
      </c>
      <c r="X134" s="179">
        <f>I134+J134+K134</f>
        <v>74339</v>
      </c>
      <c r="Y134" s="179">
        <f>L134+M134+N134</f>
        <v>130318</v>
      </c>
      <c r="Z134" s="179"/>
      <c r="AA134" s="179">
        <f>SUM(V134:Y134)</f>
        <v>442358</v>
      </c>
      <c r="AB134" s="171"/>
      <c r="AC134" s="171"/>
      <c r="AD134" s="165" t="str">
        <f>A134</f>
        <v xml:space="preserve">   Transportation &amp; Storage Revenue</v>
      </c>
      <c r="AF134" s="179">
        <f>C134</f>
        <v>55287</v>
      </c>
      <c r="AG134" s="179">
        <f t="shared" ref="AG134:AQ135" si="124">D134+AF134</f>
        <v>109584</v>
      </c>
      <c r="AH134" s="179">
        <f t="shared" si="124"/>
        <v>167372</v>
      </c>
      <c r="AI134" s="179">
        <f t="shared" si="124"/>
        <v>190446</v>
      </c>
      <c r="AJ134" s="179">
        <f t="shared" si="124"/>
        <v>212516</v>
      </c>
      <c r="AK134" s="179">
        <f t="shared" si="124"/>
        <v>237701</v>
      </c>
      <c r="AL134" s="179">
        <f t="shared" si="124"/>
        <v>262829</v>
      </c>
      <c r="AM134" s="179">
        <f t="shared" si="124"/>
        <v>287544</v>
      </c>
      <c r="AN134" s="179">
        <f t="shared" si="124"/>
        <v>312040</v>
      </c>
      <c r="AO134" s="179">
        <f t="shared" si="124"/>
        <v>336341</v>
      </c>
      <c r="AP134" s="179">
        <f t="shared" si="124"/>
        <v>388904</v>
      </c>
      <c r="AQ134" s="179">
        <f t="shared" si="124"/>
        <v>442358</v>
      </c>
    </row>
    <row r="135" spans="1:43" x14ac:dyDescent="0.2">
      <c r="A135" s="419" t="s">
        <v>820</v>
      </c>
      <c r="C135" s="182">
        <f t="shared" ref="C135:N135" si="125">C15-C75</f>
        <v>842</v>
      </c>
      <c r="D135" s="182">
        <f t="shared" si="125"/>
        <v>793</v>
      </c>
      <c r="E135" s="182">
        <f t="shared" si="125"/>
        <v>1169</v>
      </c>
      <c r="F135" s="182">
        <f t="shared" si="125"/>
        <v>692</v>
      </c>
      <c r="G135" s="182">
        <f t="shared" si="125"/>
        <v>693</v>
      </c>
      <c r="H135" s="182">
        <f t="shared" si="125"/>
        <v>3094</v>
      </c>
      <c r="I135" s="182">
        <f t="shared" si="125"/>
        <v>692</v>
      </c>
      <c r="J135" s="182">
        <f t="shared" si="125"/>
        <v>693</v>
      </c>
      <c r="K135" s="182">
        <f t="shared" si="125"/>
        <v>1095</v>
      </c>
      <c r="L135" s="182">
        <f t="shared" si="125"/>
        <v>693</v>
      </c>
      <c r="M135" s="182">
        <f t="shared" si="125"/>
        <v>1284</v>
      </c>
      <c r="N135" s="182">
        <f t="shared" si="125"/>
        <v>1710</v>
      </c>
      <c r="O135" s="182">
        <f>SUM(C135:N135)</f>
        <v>13450</v>
      </c>
      <c r="P135" s="273">
        <f>SUM(C135:D135)</f>
        <v>1635</v>
      </c>
      <c r="Q135" s="182">
        <f>O135-P135</f>
        <v>11815</v>
      </c>
      <c r="R135" s="618"/>
      <c r="S135" s="171"/>
      <c r="T135" s="181" t="str">
        <f>A135</f>
        <v xml:space="preserve">   Other Revenue</v>
      </c>
      <c r="V135" s="182">
        <f>C135+D135+E135</f>
        <v>2804</v>
      </c>
      <c r="W135" s="182">
        <f>F135+G135+H135</f>
        <v>4479</v>
      </c>
      <c r="X135" s="182">
        <f>I135+J135+K135</f>
        <v>2480</v>
      </c>
      <c r="Y135" s="182">
        <f>L135+M135+N135</f>
        <v>3687</v>
      </c>
      <c r="Z135" s="182"/>
      <c r="AA135" s="182">
        <f>SUM(V135:Y135)</f>
        <v>13450</v>
      </c>
      <c r="AB135" s="171"/>
      <c r="AC135" s="171"/>
      <c r="AD135" s="165" t="str">
        <f>A135</f>
        <v xml:space="preserve">   Other Revenue</v>
      </c>
      <c r="AF135" s="182">
        <f>C135</f>
        <v>842</v>
      </c>
      <c r="AG135" s="182">
        <f t="shared" si="124"/>
        <v>1635</v>
      </c>
      <c r="AH135" s="182">
        <f t="shared" si="124"/>
        <v>2804</v>
      </c>
      <c r="AI135" s="182">
        <f t="shared" si="124"/>
        <v>3496</v>
      </c>
      <c r="AJ135" s="182">
        <f t="shared" si="124"/>
        <v>4189</v>
      </c>
      <c r="AK135" s="182">
        <f t="shared" si="124"/>
        <v>7283</v>
      </c>
      <c r="AL135" s="182">
        <f t="shared" si="124"/>
        <v>7975</v>
      </c>
      <c r="AM135" s="182">
        <f t="shared" si="124"/>
        <v>8668</v>
      </c>
      <c r="AN135" s="182">
        <f t="shared" si="124"/>
        <v>9763</v>
      </c>
      <c r="AO135" s="182">
        <f t="shared" si="124"/>
        <v>10456</v>
      </c>
      <c r="AP135" s="182">
        <f t="shared" si="124"/>
        <v>11740</v>
      </c>
      <c r="AQ135" s="182">
        <f t="shared" si="124"/>
        <v>13450</v>
      </c>
    </row>
    <row r="136" spans="1:43" ht="3.95" customHeight="1" x14ac:dyDescent="0.2">
      <c r="A136" s="171"/>
      <c r="C136" s="179"/>
      <c r="D136" s="179"/>
      <c r="E136" s="179"/>
      <c r="F136" s="179"/>
      <c r="G136" s="179"/>
      <c r="H136" s="179"/>
      <c r="I136" s="179"/>
      <c r="J136" s="179"/>
      <c r="K136" s="179"/>
      <c r="L136" s="179"/>
      <c r="M136" s="179"/>
      <c r="N136" s="179"/>
      <c r="O136" s="179"/>
      <c r="P136" s="179"/>
      <c r="Q136" s="179"/>
      <c r="R136" s="180"/>
      <c r="S136" s="171"/>
      <c r="T136" s="181"/>
      <c r="V136" s="179"/>
      <c r="W136" s="179"/>
      <c r="X136" s="179"/>
      <c r="Y136" s="179"/>
      <c r="Z136" s="179"/>
      <c r="AA136" s="179"/>
      <c r="AB136" s="171"/>
      <c r="AC136" s="171"/>
      <c r="AD136" s="171"/>
      <c r="AF136" s="179"/>
      <c r="AG136" s="179"/>
      <c r="AH136" s="179"/>
      <c r="AI136" s="179"/>
      <c r="AJ136" s="179"/>
      <c r="AK136" s="179"/>
      <c r="AL136" s="179"/>
      <c r="AM136" s="179"/>
      <c r="AN136" s="179"/>
      <c r="AO136" s="179"/>
      <c r="AP136" s="179"/>
      <c r="AQ136" s="179"/>
    </row>
    <row r="137" spans="1:43" x14ac:dyDescent="0.2">
      <c r="A137" s="418" t="s">
        <v>821</v>
      </c>
      <c r="B137" s="694"/>
      <c r="C137" s="183">
        <f>C132+C134+C135</f>
        <v>56129</v>
      </c>
      <c r="D137" s="183">
        <f t="shared" ref="D137:Q137" si="126">D132+D134+D135</f>
        <v>55090</v>
      </c>
      <c r="E137" s="183">
        <f t="shared" si="126"/>
        <v>58957</v>
      </c>
      <c r="F137" s="183">
        <f t="shared" si="126"/>
        <v>23766</v>
      </c>
      <c r="G137" s="183">
        <f t="shared" si="126"/>
        <v>22763</v>
      </c>
      <c r="H137" s="183">
        <f t="shared" si="126"/>
        <v>28279</v>
      </c>
      <c r="I137" s="183">
        <f t="shared" si="126"/>
        <v>25820</v>
      </c>
      <c r="J137" s="183">
        <f t="shared" si="126"/>
        <v>25408</v>
      </c>
      <c r="K137" s="183">
        <f t="shared" si="126"/>
        <v>25591</v>
      </c>
      <c r="L137" s="183">
        <f t="shared" si="126"/>
        <v>24994</v>
      </c>
      <c r="M137" s="183">
        <f t="shared" si="126"/>
        <v>53847</v>
      </c>
      <c r="N137" s="183">
        <f t="shared" si="126"/>
        <v>55164</v>
      </c>
      <c r="O137" s="183">
        <f t="shared" si="126"/>
        <v>455808</v>
      </c>
      <c r="P137" s="183">
        <f t="shared" si="126"/>
        <v>111219</v>
      </c>
      <c r="Q137" s="183">
        <f t="shared" si="126"/>
        <v>344589</v>
      </c>
      <c r="R137" s="427"/>
      <c r="S137" s="169"/>
      <c r="T137" s="177" t="str">
        <f>A137</f>
        <v xml:space="preserve">      Net Operating Income</v>
      </c>
      <c r="U137" s="671"/>
      <c r="V137" s="183">
        <f>SUM(V132:V135)</f>
        <v>170176</v>
      </c>
      <c r="W137" s="183">
        <f>SUM(W132:W135)</f>
        <v>74808</v>
      </c>
      <c r="X137" s="183">
        <f>SUM(X132:X135)</f>
        <v>76819</v>
      </c>
      <c r="Y137" s="183">
        <f>SUM(Y132:Y135)</f>
        <v>134005</v>
      </c>
      <c r="Z137" s="183"/>
      <c r="AA137" s="183">
        <f>SUM(AA132:AA135)</f>
        <v>455808</v>
      </c>
      <c r="AB137" s="169"/>
      <c r="AC137" s="169"/>
      <c r="AD137" s="166" t="str">
        <f>A137</f>
        <v xml:space="preserve">      Net Operating Income</v>
      </c>
      <c r="AF137" s="183">
        <f>C137</f>
        <v>56129</v>
      </c>
      <c r="AG137" s="183">
        <f t="shared" ref="AG137:AQ137" si="127">D137+AF137</f>
        <v>111219</v>
      </c>
      <c r="AH137" s="183">
        <f t="shared" si="127"/>
        <v>170176</v>
      </c>
      <c r="AI137" s="183">
        <f t="shared" si="127"/>
        <v>193942</v>
      </c>
      <c r="AJ137" s="183">
        <f t="shared" si="127"/>
        <v>216705</v>
      </c>
      <c r="AK137" s="183">
        <f t="shared" si="127"/>
        <v>244984</v>
      </c>
      <c r="AL137" s="183">
        <f t="shared" si="127"/>
        <v>270804</v>
      </c>
      <c r="AM137" s="183">
        <f t="shared" si="127"/>
        <v>296212</v>
      </c>
      <c r="AN137" s="183">
        <f t="shared" si="127"/>
        <v>321803</v>
      </c>
      <c r="AO137" s="183">
        <f t="shared" si="127"/>
        <v>346797</v>
      </c>
      <c r="AP137" s="183">
        <f t="shared" si="127"/>
        <v>400644</v>
      </c>
      <c r="AQ137" s="183">
        <f t="shared" si="127"/>
        <v>455808</v>
      </c>
    </row>
    <row r="138" spans="1:43" x14ac:dyDescent="0.2">
      <c r="A138" s="171"/>
      <c r="C138" s="179"/>
      <c r="D138" s="179"/>
      <c r="E138" s="179"/>
      <c r="F138" s="186"/>
      <c r="G138" s="179"/>
      <c r="H138" s="179"/>
      <c r="I138" s="179"/>
      <c r="J138" s="179"/>
      <c r="K138" s="179"/>
      <c r="L138" s="179"/>
      <c r="M138" s="179"/>
      <c r="N138" s="179"/>
      <c r="O138" s="179"/>
      <c r="P138" s="179"/>
      <c r="Q138" s="179"/>
      <c r="R138" s="180"/>
      <c r="S138" s="171"/>
      <c r="T138" s="181"/>
      <c r="V138" s="179"/>
      <c r="W138" s="179"/>
      <c r="X138" s="179"/>
      <c r="Y138" s="179"/>
      <c r="Z138" s="179"/>
      <c r="AA138" s="179"/>
      <c r="AB138" s="171"/>
      <c r="AC138" s="171"/>
      <c r="AD138" s="171"/>
      <c r="AF138" s="179"/>
      <c r="AG138" s="179"/>
      <c r="AH138" s="179"/>
      <c r="AI138" s="179"/>
      <c r="AJ138" s="179"/>
      <c r="AK138" s="179"/>
      <c r="AL138" s="179"/>
      <c r="AM138" s="179"/>
      <c r="AN138" s="179"/>
      <c r="AO138" s="179"/>
      <c r="AP138" s="179"/>
      <c r="AQ138" s="179"/>
    </row>
    <row r="139" spans="1:43" x14ac:dyDescent="0.2">
      <c r="A139" s="418" t="s">
        <v>822</v>
      </c>
      <c r="C139" s="180"/>
      <c r="D139" s="180"/>
      <c r="E139" s="180"/>
      <c r="F139" s="180"/>
      <c r="G139" s="180"/>
      <c r="H139" s="180"/>
      <c r="I139" s="180"/>
      <c r="J139" s="180"/>
      <c r="K139" s="180"/>
      <c r="L139" s="180"/>
      <c r="M139" s="180"/>
      <c r="N139" s="180"/>
      <c r="O139" s="180"/>
      <c r="P139" s="180"/>
      <c r="Q139" s="179"/>
      <c r="R139" s="180"/>
      <c r="S139" s="171"/>
      <c r="T139" s="177" t="str">
        <f t="shared" ref="T139:T145" si="128">A139</f>
        <v>OPERATING EXPENSES</v>
      </c>
      <c r="V139" s="179"/>
      <c r="W139" s="179"/>
      <c r="X139" s="179"/>
      <c r="Y139" s="179"/>
      <c r="Z139" s="179"/>
      <c r="AA139" s="179"/>
      <c r="AB139" s="171"/>
      <c r="AC139" s="171"/>
      <c r="AD139" s="166" t="str">
        <f t="shared" ref="AD139:AD145" si="129">A139</f>
        <v>OPERATING EXPENSES</v>
      </c>
      <c r="AF139" s="179"/>
      <c r="AG139" s="179"/>
      <c r="AH139" s="179"/>
      <c r="AI139" s="179"/>
      <c r="AJ139" s="179"/>
      <c r="AK139" s="179"/>
      <c r="AL139" s="179"/>
      <c r="AM139" s="179"/>
      <c r="AN139" s="179"/>
      <c r="AO139" s="179"/>
      <c r="AP139" s="179"/>
      <c r="AQ139" s="179"/>
    </row>
    <row r="140" spans="1:43" x14ac:dyDescent="0.2">
      <c r="A140" s="419" t="s">
        <v>823</v>
      </c>
      <c r="C140" s="179">
        <f t="shared" ref="C140:N140" si="130">C20-C80</f>
        <v>13530</v>
      </c>
      <c r="D140" s="179">
        <f t="shared" si="130"/>
        <v>13563</v>
      </c>
      <c r="E140" s="179">
        <f t="shared" si="130"/>
        <v>13451</v>
      </c>
      <c r="F140" s="179">
        <f t="shared" si="130"/>
        <v>13926</v>
      </c>
      <c r="G140" s="179">
        <f t="shared" si="130"/>
        <v>13494</v>
      </c>
      <c r="H140" s="179">
        <f t="shared" si="130"/>
        <v>13717</v>
      </c>
      <c r="I140" s="179">
        <f t="shared" si="130"/>
        <v>16156</v>
      </c>
      <c r="J140" s="179">
        <f t="shared" si="130"/>
        <v>14756</v>
      </c>
      <c r="K140" s="179">
        <f t="shared" si="130"/>
        <v>15077</v>
      </c>
      <c r="L140" s="179">
        <f t="shared" si="130"/>
        <v>15610</v>
      </c>
      <c r="M140" s="179">
        <f t="shared" si="130"/>
        <v>14291</v>
      </c>
      <c r="N140" s="179">
        <f t="shared" si="130"/>
        <v>14679</v>
      </c>
      <c r="O140" s="179">
        <f t="shared" ref="O140:O145" si="131">SUM(C140:N140)</f>
        <v>172250</v>
      </c>
      <c r="P140" s="180">
        <f t="shared" ref="P140:P145" si="132">SUM(C140:D140)</f>
        <v>27093</v>
      </c>
      <c r="Q140" s="179">
        <f t="shared" ref="Q140:Q145" si="133">O140-P140</f>
        <v>145157</v>
      </c>
      <c r="R140" s="617"/>
      <c r="S140" s="171"/>
      <c r="T140" s="181" t="str">
        <f t="shared" si="128"/>
        <v xml:space="preserve">   Operations and Maintenance</v>
      </c>
      <c r="V140" s="179">
        <f t="shared" ref="V140:V145" si="134">C140+D140+E140</f>
        <v>40544</v>
      </c>
      <c r="W140" s="179">
        <f t="shared" ref="W140:W145" si="135">F140+G140+H140</f>
        <v>41137</v>
      </c>
      <c r="X140" s="179">
        <f t="shared" ref="X140:X145" si="136">I140+J140+K140</f>
        <v>45989</v>
      </c>
      <c r="Y140" s="179">
        <f t="shared" ref="Y140:Y145" si="137">L140+M140+N140</f>
        <v>44580</v>
      </c>
      <c r="Z140" s="179"/>
      <c r="AA140" s="179">
        <f t="shared" ref="AA140:AA145" si="138">SUM(V140:Y140)</f>
        <v>172250</v>
      </c>
      <c r="AB140" s="171"/>
      <c r="AD140" s="165" t="str">
        <f t="shared" si="129"/>
        <v xml:space="preserve">   Operations and Maintenance</v>
      </c>
      <c r="AF140" s="179">
        <f t="shared" ref="AF140:AF145" si="139">C140</f>
        <v>13530</v>
      </c>
      <c r="AG140" s="179">
        <f t="shared" ref="AG140:AG145" si="140">D140+AF140</f>
        <v>27093</v>
      </c>
      <c r="AH140" s="179">
        <f t="shared" ref="AH140:AH145" si="141">E140+AG140</f>
        <v>40544</v>
      </c>
      <c r="AI140" s="179">
        <f t="shared" ref="AI140:AI145" si="142">F140+AH140</f>
        <v>54470</v>
      </c>
      <c r="AJ140" s="179">
        <f t="shared" ref="AJ140:AJ145" si="143">G140+AI140</f>
        <v>67964</v>
      </c>
      <c r="AK140" s="179">
        <f t="shared" ref="AK140:AK145" si="144">H140+AJ140</f>
        <v>81681</v>
      </c>
      <c r="AL140" s="179">
        <f t="shared" ref="AL140:AL145" si="145">I140+AK140</f>
        <v>97837</v>
      </c>
      <c r="AM140" s="179">
        <f t="shared" ref="AM140:AM145" si="146">J140+AL140</f>
        <v>112593</v>
      </c>
      <c r="AN140" s="179">
        <f t="shared" ref="AN140:AN145" si="147">K140+AM140</f>
        <v>127670</v>
      </c>
      <c r="AO140" s="179">
        <f t="shared" ref="AO140:AO145" si="148">L140+AN140</f>
        <v>143280</v>
      </c>
      <c r="AP140" s="179">
        <f t="shared" ref="AP140:AP145" si="149">M140+AO140</f>
        <v>157571</v>
      </c>
      <c r="AQ140" s="179">
        <f t="shared" ref="AQ140:AQ145" si="150">N140+AP140</f>
        <v>172250</v>
      </c>
    </row>
    <row r="141" spans="1:43" x14ac:dyDescent="0.2">
      <c r="A141" s="419" t="s">
        <v>824</v>
      </c>
      <c r="C141" s="179">
        <f t="shared" ref="C141:N141" si="151">C21-C81</f>
        <v>1648</v>
      </c>
      <c r="D141" s="179">
        <f t="shared" si="151"/>
        <v>1575</v>
      </c>
      <c r="E141" s="179">
        <f t="shared" si="151"/>
        <v>1514</v>
      </c>
      <c r="F141" s="179">
        <f t="shared" si="151"/>
        <v>1408</v>
      </c>
      <c r="G141" s="179">
        <f t="shared" si="151"/>
        <v>1335</v>
      </c>
      <c r="H141" s="179">
        <f t="shared" si="151"/>
        <v>1347</v>
      </c>
      <c r="I141" s="179">
        <f t="shared" si="151"/>
        <v>1344</v>
      </c>
      <c r="J141" s="179">
        <f t="shared" si="151"/>
        <v>1352</v>
      </c>
      <c r="K141" s="179">
        <f t="shared" si="151"/>
        <v>1356</v>
      </c>
      <c r="L141" s="179">
        <f t="shared" si="151"/>
        <v>1428</v>
      </c>
      <c r="M141" s="179">
        <f t="shared" si="151"/>
        <v>1511</v>
      </c>
      <c r="N141" s="179">
        <f t="shared" si="151"/>
        <v>1676</v>
      </c>
      <c r="O141" s="179">
        <f t="shared" si="131"/>
        <v>17494</v>
      </c>
      <c r="P141" s="180">
        <f t="shared" si="132"/>
        <v>3223</v>
      </c>
      <c r="Q141" s="179">
        <f t="shared" si="133"/>
        <v>14271</v>
      </c>
      <c r="R141" s="617"/>
      <c r="S141" s="171"/>
      <c r="T141" s="181" t="str">
        <f t="shared" si="128"/>
        <v xml:space="preserve">   Regulatory Amortization</v>
      </c>
      <c r="V141" s="179">
        <f t="shared" si="134"/>
        <v>4737</v>
      </c>
      <c r="W141" s="179">
        <f t="shared" si="135"/>
        <v>4090</v>
      </c>
      <c r="X141" s="179">
        <f t="shared" si="136"/>
        <v>4052</v>
      </c>
      <c r="Y141" s="179">
        <f t="shared" si="137"/>
        <v>4615</v>
      </c>
      <c r="Z141" s="179"/>
      <c r="AA141" s="179">
        <f t="shared" si="138"/>
        <v>17494</v>
      </c>
      <c r="AB141" s="171"/>
      <c r="AC141" s="171"/>
      <c r="AD141" s="165" t="str">
        <f t="shared" si="129"/>
        <v xml:space="preserve">   Regulatory Amortization</v>
      </c>
      <c r="AF141" s="179">
        <f t="shared" si="139"/>
        <v>1648</v>
      </c>
      <c r="AG141" s="179">
        <f t="shared" si="140"/>
        <v>3223</v>
      </c>
      <c r="AH141" s="179">
        <f t="shared" si="141"/>
        <v>4737</v>
      </c>
      <c r="AI141" s="179">
        <f t="shared" si="142"/>
        <v>6145</v>
      </c>
      <c r="AJ141" s="179">
        <f t="shared" si="143"/>
        <v>7480</v>
      </c>
      <c r="AK141" s="179">
        <f t="shared" si="144"/>
        <v>8827</v>
      </c>
      <c r="AL141" s="179">
        <f t="shared" si="145"/>
        <v>10171</v>
      </c>
      <c r="AM141" s="179">
        <f t="shared" si="146"/>
        <v>11523</v>
      </c>
      <c r="AN141" s="179">
        <f t="shared" si="147"/>
        <v>12879</v>
      </c>
      <c r="AO141" s="179">
        <f t="shared" si="148"/>
        <v>14307</v>
      </c>
      <c r="AP141" s="179">
        <f t="shared" si="149"/>
        <v>15818</v>
      </c>
      <c r="AQ141" s="179">
        <f t="shared" si="150"/>
        <v>17494</v>
      </c>
    </row>
    <row r="142" spans="1:43" x14ac:dyDescent="0.2">
      <c r="A142" s="421" t="s">
        <v>825</v>
      </c>
      <c r="C142" s="179">
        <f t="shared" ref="C142:N142" si="152">C22-C82</f>
        <v>0</v>
      </c>
      <c r="D142" s="179">
        <f t="shared" si="152"/>
        <v>0</v>
      </c>
      <c r="E142" s="179">
        <f t="shared" si="152"/>
        <v>0</v>
      </c>
      <c r="F142" s="179">
        <f t="shared" si="152"/>
        <v>0</v>
      </c>
      <c r="G142" s="179">
        <f t="shared" si="152"/>
        <v>0</v>
      </c>
      <c r="H142" s="179">
        <f t="shared" si="152"/>
        <v>0</v>
      </c>
      <c r="I142" s="179">
        <f t="shared" si="152"/>
        <v>0</v>
      </c>
      <c r="J142" s="179">
        <f t="shared" si="152"/>
        <v>0</v>
      </c>
      <c r="K142" s="179">
        <f t="shared" si="152"/>
        <v>0</v>
      </c>
      <c r="L142" s="179">
        <f t="shared" si="152"/>
        <v>0</v>
      </c>
      <c r="M142" s="179">
        <f t="shared" si="152"/>
        <v>0</v>
      </c>
      <c r="N142" s="179">
        <f t="shared" si="152"/>
        <v>0</v>
      </c>
      <c r="O142" s="179">
        <f t="shared" si="131"/>
        <v>0</v>
      </c>
      <c r="P142" s="180">
        <f t="shared" si="132"/>
        <v>0</v>
      </c>
      <c r="Q142" s="179">
        <f t="shared" si="133"/>
        <v>0</v>
      </c>
      <c r="R142" s="617"/>
      <c r="S142" s="171"/>
      <c r="T142" s="181" t="str">
        <f t="shared" si="128"/>
        <v xml:space="preserve">   Fuel Used in Operations</v>
      </c>
      <c r="V142" s="179">
        <f t="shared" si="134"/>
        <v>0</v>
      </c>
      <c r="W142" s="179">
        <f t="shared" si="135"/>
        <v>0</v>
      </c>
      <c r="X142" s="179">
        <f t="shared" si="136"/>
        <v>0</v>
      </c>
      <c r="Y142" s="179">
        <f t="shared" si="137"/>
        <v>0</v>
      </c>
      <c r="Z142" s="179"/>
      <c r="AA142" s="179">
        <f t="shared" si="138"/>
        <v>0</v>
      </c>
      <c r="AB142" s="171"/>
      <c r="AC142" s="171"/>
      <c r="AD142" s="165" t="str">
        <f t="shared" si="129"/>
        <v xml:space="preserve">   Fuel Used in Operations</v>
      </c>
      <c r="AF142" s="179">
        <f t="shared" si="139"/>
        <v>0</v>
      </c>
      <c r="AG142" s="179">
        <f t="shared" si="140"/>
        <v>0</v>
      </c>
      <c r="AH142" s="179">
        <f t="shared" si="141"/>
        <v>0</v>
      </c>
      <c r="AI142" s="179">
        <f t="shared" si="142"/>
        <v>0</v>
      </c>
      <c r="AJ142" s="179">
        <f t="shared" si="143"/>
        <v>0</v>
      </c>
      <c r="AK142" s="179">
        <f t="shared" si="144"/>
        <v>0</v>
      </c>
      <c r="AL142" s="179">
        <f t="shared" si="145"/>
        <v>0</v>
      </c>
      <c r="AM142" s="179">
        <f t="shared" si="146"/>
        <v>0</v>
      </c>
      <c r="AN142" s="179">
        <f t="shared" si="147"/>
        <v>0</v>
      </c>
      <c r="AO142" s="179">
        <f t="shared" si="148"/>
        <v>0</v>
      </c>
      <c r="AP142" s="179">
        <f t="shared" si="149"/>
        <v>0</v>
      </c>
      <c r="AQ142" s="179">
        <f t="shared" si="150"/>
        <v>0</v>
      </c>
    </row>
    <row r="143" spans="1:43" x14ac:dyDescent="0.2">
      <c r="A143" s="422" t="s">
        <v>826</v>
      </c>
      <c r="B143" s="689"/>
      <c r="C143" s="179">
        <f t="shared" ref="C143:N143" si="153">C23-C83</f>
        <v>2093</v>
      </c>
      <c r="D143" s="179">
        <f t="shared" si="153"/>
        <v>1989</v>
      </c>
      <c r="E143" s="179">
        <f t="shared" si="153"/>
        <v>2047</v>
      </c>
      <c r="F143" s="179">
        <f t="shared" si="153"/>
        <v>1831</v>
      </c>
      <c r="G143" s="179">
        <f t="shared" si="153"/>
        <v>1732</v>
      </c>
      <c r="H143" s="179">
        <f t="shared" si="153"/>
        <v>1525</v>
      </c>
      <c r="I143" s="179">
        <f t="shared" si="153"/>
        <v>1236</v>
      </c>
      <c r="J143" s="179">
        <f t="shared" si="153"/>
        <v>1280</v>
      </c>
      <c r="K143" s="179">
        <f t="shared" si="153"/>
        <v>1324</v>
      </c>
      <c r="L143" s="179">
        <f t="shared" si="153"/>
        <v>1383</v>
      </c>
      <c r="M143" s="179">
        <f t="shared" si="153"/>
        <v>1590</v>
      </c>
      <c r="N143" s="179">
        <f t="shared" si="153"/>
        <v>1675</v>
      </c>
      <c r="O143" s="179">
        <f t="shared" si="131"/>
        <v>19705</v>
      </c>
      <c r="P143" s="180">
        <f t="shared" si="132"/>
        <v>4082</v>
      </c>
      <c r="Q143" s="179">
        <f t="shared" si="133"/>
        <v>15623</v>
      </c>
      <c r="R143" s="617"/>
      <c r="S143" s="171"/>
      <c r="T143" s="181" t="str">
        <f t="shared" si="128"/>
        <v xml:space="preserve">   Transmission, Compression &amp; Storage</v>
      </c>
      <c r="U143" s="689"/>
      <c r="V143" s="179">
        <f t="shared" si="134"/>
        <v>6129</v>
      </c>
      <c r="W143" s="179">
        <f t="shared" si="135"/>
        <v>5088</v>
      </c>
      <c r="X143" s="179">
        <f t="shared" si="136"/>
        <v>3840</v>
      </c>
      <c r="Y143" s="179">
        <f t="shared" si="137"/>
        <v>4648</v>
      </c>
      <c r="Z143" s="179"/>
      <c r="AA143" s="179">
        <f t="shared" si="138"/>
        <v>19705</v>
      </c>
      <c r="AB143" s="171"/>
      <c r="AC143" s="171"/>
      <c r="AD143" s="165" t="str">
        <f t="shared" si="129"/>
        <v xml:space="preserve">   Transmission, Compression &amp; Storage</v>
      </c>
      <c r="AF143" s="179">
        <f t="shared" si="139"/>
        <v>2093</v>
      </c>
      <c r="AG143" s="179">
        <f t="shared" si="140"/>
        <v>4082</v>
      </c>
      <c r="AH143" s="179">
        <f t="shared" si="141"/>
        <v>6129</v>
      </c>
      <c r="AI143" s="179">
        <f t="shared" si="142"/>
        <v>7960</v>
      </c>
      <c r="AJ143" s="179">
        <f t="shared" si="143"/>
        <v>9692</v>
      </c>
      <c r="AK143" s="179">
        <f t="shared" si="144"/>
        <v>11217</v>
      </c>
      <c r="AL143" s="179">
        <f t="shared" si="145"/>
        <v>12453</v>
      </c>
      <c r="AM143" s="179">
        <f t="shared" si="146"/>
        <v>13733</v>
      </c>
      <c r="AN143" s="179">
        <f t="shared" si="147"/>
        <v>15057</v>
      </c>
      <c r="AO143" s="179">
        <f t="shared" si="148"/>
        <v>16440</v>
      </c>
      <c r="AP143" s="179">
        <f t="shared" si="149"/>
        <v>18030</v>
      </c>
      <c r="AQ143" s="179">
        <f t="shared" si="150"/>
        <v>19705</v>
      </c>
    </row>
    <row r="144" spans="1:43" x14ac:dyDescent="0.2">
      <c r="A144" s="419" t="s">
        <v>827</v>
      </c>
      <c r="C144" s="179">
        <f t="shared" ref="C144:N144" si="154">C24-C84</f>
        <v>4028</v>
      </c>
      <c r="D144" s="179">
        <f t="shared" si="154"/>
        <v>4028</v>
      </c>
      <c r="E144" s="179">
        <f t="shared" si="154"/>
        <v>4034</v>
      </c>
      <c r="F144" s="179">
        <f t="shared" si="154"/>
        <v>4081</v>
      </c>
      <c r="G144" s="179">
        <f t="shared" si="154"/>
        <v>4081</v>
      </c>
      <c r="H144" s="179">
        <f t="shared" si="154"/>
        <v>4084</v>
      </c>
      <c r="I144" s="179">
        <f t="shared" si="154"/>
        <v>4086</v>
      </c>
      <c r="J144" s="179">
        <f t="shared" si="154"/>
        <v>4105</v>
      </c>
      <c r="K144" s="179">
        <f t="shared" si="154"/>
        <v>4117</v>
      </c>
      <c r="L144" s="179">
        <f t="shared" si="154"/>
        <v>4212</v>
      </c>
      <c r="M144" s="179">
        <f t="shared" si="154"/>
        <v>4212</v>
      </c>
      <c r="N144" s="179">
        <f t="shared" si="154"/>
        <v>4211</v>
      </c>
      <c r="O144" s="179">
        <f t="shared" si="131"/>
        <v>49279</v>
      </c>
      <c r="P144" s="180">
        <f t="shared" si="132"/>
        <v>8056</v>
      </c>
      <c r="Q144" s="179">
        <f t="shared" si="133"/>
        <v>41223</v>
      </c>
      <c r="R144" s="617"/>
      <c r="S144" s="171"/>
      <c r="T144" s="181" t="str">
        <f t="shared" si="128"/>
        <v xml:space="preserve">   Depreciation &amp; Amortization</v>
      </c>
      <c r="V144" s="179">
        <f t="shared" si="134"/>
        <v>12090</v>
      </c>
      <c r="W144" s="179">
        <f t="shared" si="135"/>
        <v>12246</v>
      </c>
      <c r="X144" s="179">
        <f t="shared" si="136"/>
        <v>12308</v>
      </c>
      <c r="Y144" s="179">
        <f t="shared" si="137"/>
        <v>12635</v>
      </c>
      <c r="Z144" s="179"/>
      <c r="AA144" s="179">
        <f t="shared" si="138"/>
        <v>49279</v>
      </c>
      <c r="AB144" s="171"/>
      <c r="AC144" s="171"/>
      <c r="AD144" s="165" t="str">
        <f t="shared" si="129"/>
        <v xml:space="preserve">   Depreciation &amp; Amortization</v>
      </c>
      <c r="AE144" s="689"/>
      <c r="AF144" s="179">
        <f t="shared" si="139"/>
        <v>4028</v>
      </c>
      <c r="AG144" s="179">
        <f t="shared" si="140"/>
        <v>8056</v>
      </c>
      <c r="AH144" s="179">
        <f t="shared" si="141"/>
        <v>12090</v>
      </c>
      <c r="AI144" s="179">
        <f t="shared" si="142"/>
        <v>16171</v>
      </c>
      <c r="AJ144" s="179">
        <f t="shared" si="143"/>
        <v>20252</v>
      </c>
      <c r="AK144" s="179">
        <f t="shared" si="144"/>
        <v>24336</v>
      </c>
      <c r="AL144" s="179">
        <f t="shared" si="145"/>
        <v>28422</v>
      </c>
      <c r="AM144" s="179">
        <f t="shared" si="146"/>
        <v>32527</v>
      </c>
      <c r="AN144" s="179">
        <f t="shared" si="147"/>
        <v>36644</v>
      </c>
      <c r="AO144" s="179">
        <f t="shared" si="148"/>
        <v>40856</v>
      </c>
      <c r="AP144" s="179">
        <f t="shared" si="149"/>
        <v>45068</v>
      </c>
      <c r="AQ144" s="179">
        <f t="shared" si="150"/>
        <v>49279</v>
      </c>
    </row>
    <row r="145" spans="1:43" x14ac:dyDescent="0.2">
      <c r="A145" s="419" t="s">
        <v>828</v>
      </c>
      <c r="C145" s="182">
        <f t="shared" ref="C145:N145" si="155">C25-C85</f>
        <v>2763</v>
      </c>
      <c r="D145" s="182">
        <f t="shared" si="155"/>
        <v>3070</v>
      </c>
      <c r="E145" s="182">
        <f t="shared" si="155"/>
        <v>2763</v>
      </c>
      <c r="F145" s="182">
        <f t="shared" si="155"/>
        <v>2763</v>
      </c>
      <c r="G145" s="182">
        <f t="shared" si="155"/>
        <v>2738</v>
      </c>
      <c r="H145" s="182">
        <f t="shared" si="155"/>
        <v>2738</v>
      </c>
      <c r="I145" s="182">
        <f t="shared" si="155"/>
        <v>2738</v>
      </c>
      <c r="J145" s="182">
        <f t="shared" si="155"/>
        <v>2737</v>
      </c>
      <c r="K145" s="182">
        <f t="shared" si="155"/>
        <v>2736</v>
      </c>
      <c r="L145" s="182">
        <f t="shared" si="155"/>
        <v>2736</v>
      </c>
      <c r="M145" s="182">
        <f t="shared" si="155"/>
        <v>2738</v>
      </c>
      <c r="N145" s="182">
        <f t="shared" si="155"/>
        <v>2738</v>
      </c>
      <c r="O145" s="182">
        <f t="shared" si="131"/>
        <v>33258</v>
      </c>
      <c r="P145" s="273">
        <f t="shared" si="132"/>
        <v>5833</v>
      </c>
      <c r="Q145" s="182">
        <f t="shared" si="133"/>
        <v>27425</v>
      </c>
      <c r="R145" s="618"/>
      <c r="S145" s="171"/>
      <c r="T145" s="181" t="str">
        <f t="shared" si="128"/>
        <v xml:space="preserve">   Taxes Other Than Income</v>
      </c>
      <c r="V145" s="182">
        <f t="shared" si="134"/>
        <v>8596</v>
      </c>
      <c r="W145" s="182">
        <f t="shared" si="135"/>
        <v>8239</v>
      </c>
      <c r="X145" s="182">
        <f t="shared" si="136"/>
        <v>8211</v>
      </c>
      <c r="Y145" s="182">
        <f t="shared" si="137"/>
        <v>8212</v>
      </c>
      <c r="Z145" s="182"/>
      <c r="AA145" s="182">
        <f t="shared" si="138"/>
        <v>33258</v>
      </c>
      <c r="AB145" s="171"/>
      <c r="AC145" s="171"/>
      <c r="AD145" s="165" t="str">
        <f t="shared" si="129"/>
        <v xml:space="preserve">   Taxes Other Than Income</v>
      </c>
      <c r="AF145" s="182">
        <f t="shared" si="139"/>
        <v>2763</v>
      </c>
      <c r="AG145" s="182">
        <f t="shared" si="140"/>
        <v>5833</v>
      </c>
      <c r="AH145" s="182">
        <f t="shared" si="141"/>
        <v>8596</v>
      </c>
      <c r="AI145" s="182">
        <f t="shared" si="142"/>
        <v>11359</v>
      </c>
      <c r="AJ145" s="182">
        <f t="shared" si="143"/>
        <v>14097</v>
      </c>
      <c r="AK145" s="182">
        <f t="shared" si="144"/>
        <v>16835</v>
      </c>
      <c r="AL145" s="182">
        <f t="shared" si="145"/>
        <v>19573</v>
      </c>
      <c r="AM145" s="182">
        <f t="shared" si="146"/>
        <v>22310</v>
      </c>
      <c r="AN145" s="182">
        <f t="shared" si="147"/>
        <v>25046</v>
      </c>
      <c r="AO145" s="182">
        <f t="shared" si="148"/>
        <v>27782</v>
      </c>
      <c r="AP145" s="182">
        <f t="shared" si="149"/>
        <v>30520</v>
      </c>
      <c r="AQ145" s="182">
        <f t="shared" si="150"/>
        <v>33258</v>
      </c>
    </row>
    <row r="146" spans="1:43" ht="3.95" customHeight="1" x14ac:dyDescent="0.2">
      <c r="A146" s="171"/>
      <c r="C146" s="179"/>
      <c r="D146" s="179"/>
      <c r="E146" s="179"/>
      <c r="F146" s="179"/>
      <c r="G146" s="179"/>
      <c r="H146" s="179"/>
      <c r="I146" s="179"/>
      <c r="J146" s="179"/>
      <c r="K146" s="179"/>
      <c r="L146" s="179"/>
      <c r="M146" s="179"/>
      <c r="N146" s="179"/>
      <c r="O146" s="179"/>
      <c r="P146" s="179"/>
      <c r="Q146" s="179"/>
      <c r="R146" s="180"/>
      <c r="S146" s="171"/>
      <c r="T146" s="181"/>
      <c r="V146" s="179"/>
      <c r="W146" s="179"/>
      <c r="X146" s="179"/>
      <c r="Y146" s="179"/>
      <c r="Z146" s="179"/>
      <c r="AA146" s="179"/>
      <c r="AB146" s="171"/>
      <c r="AC146" s="171"/>
      <c r="AD146" s="171"/>
      <c r="AF146" s="179"/>
      <c r="AG146" s="179"/>
      <c r="AH146" s="179"/>
      <c r="AI146" s="179"/>
      <c r="AJ146" s="179"/>
      <c r="AK146" s="179"/>
      <c r="AL146" s="179"/>
      <c r="AM146" s="179"/>
      <c r="AN146" s="179"/>
      <c r="AO146" s="179"/>
      <c r="AP146" s="179"/>
      <c r="AQ146" s="179"/>
    </row>
    <row r="147" spans="1:43" x14ac:dyDescent="0.2">
      <c r="A147" s="418" t="s">
        <v>829</v>
      </c>
      <c r="B147" s="694"/>
      <c r="C147" s="183">
        <f t="shared" ref="C147:Q147" si="156">SUM(C140:C145)</f>
        <v>24062</v>
      </c>
      <c r="D147" s="183">
        <f t="shared" si="156"/>
        <v>24225</v>
      </c>
      <c r="E147" s="183">
        <f t="shared" si="156"/>
        <v>23809</v>
      </c>
      <c r="F147" s="183">
        <f t="shared" si="156"/>
        <v>24009</v>
      </c>
      <c r="G147" s="183">
        <f t="shared" si="156"/>
        <v>23380</v>
      </c>
      <c r="H147" s="183">
        <f t="shared" si="156"/>
        <v>23411</v>
      </c>
      <c r="I147" s="183">
        <f t="shared" si="156"/>
        <v>25560</v>
      </c>
      <c r="J147" s="183">
        <f t="shared" si="156"/>
        <v>24230</v>
      </c>
      <c r="K147" s="183">
        <f t="shared" si="156"/>
        <v>24610</v>
      </c>
      <c r="L147" s="183">
        <f t="shared" si="156"/>
        <v>25369</v>
      </c>
      <c r="M147" s="183">
        <f t="shared" si="156"/>
        <v>24342</v>
      </c>
      <c r="N147" s="183">
        <f t="shared" si="156"/>
        <v>24979</v>
      </c>
      <c r="O147" s="183">
        <f t="shared" si="156"/>
        <v>291986</v>
      </c>
      <c r="P147" s="183">
        <f t="shared" si="156"/>
        <v>48287</v>
      </c>
      <c r="Q147" s="183">
        <f t="shared" si="156"/>
        <v>243699</v>
      </c>
      <c r="R147" s="426"/>
      <c r="S147" s="169"/>
      <c r="T147" s="177" t="str">
        <f>A147</f>
        <v xml:space="preserve">     Total Operating Expenses</v>
      </c>
      <c r="U147" s="671"/>
      <c r="V147" s="183">
        <f>SUM(V140:V145)</f>
        <v>72096</v>
      </c>
      <c r="W147" s="183">
        <f>SUM(W140:W145)</f>
        <v>70800</v>
      </c>
      <c r="X147" s="183">
        <f>SUM(X140:X145)</f>
        <v>74400</v>
      </c>
      <c r="Y147" s="183">
        <f>SUM(Y140:Y145)</f>
        <v>74690</v>
      </c>
      <c r="Z147" s="183"/>
      <c r="AA147" s="183">
        <f>SUM(AA140:AA145)</f>
        <v>291986</v>
      </c>
      <c r="AB147" s="169"/>
      <c r="AC147" s="169"/>
      <c r="AD147" s="166" t="str">
        <f>A147</f>
        <v xml:space="preserve">     Total Operating Expenses</v>
      </c>
      <c r="AF147" s="183">
        <f>C147</f>
        <v>24062</v>
      </c>
      <c r="AG147" s="183">
        <f t="shared" ref="AG147:AQ147" si="157">D147+AF147</f>
        <v>48287</v>
      </c>
      <c r="AH147" s="183">
        <f t="shared" si="157"/>
        <v>72096</v>
      </c>
      <c r="AI147" s="183">
        <f t="shared" si="157"/>
        <v>96105</v>
      </c>
      <c r="AJ147" s="183">
        <f t="shared" si="157"/>
        <v>119485</v>
      </c>
      <c r="AK147" s="183">
        <f t="shared" si="157"/>
        <v>142896</v>
      </c>
      <c r="AL147" s="183">
        <f t="shared" si="157"/>
        <v>168456</v>
      </c>
      <c r="AM147" s="183">
        <f t="shared" si="157"/>
        <v>192686</v>
      </c>
      <c r="AN147" s="183">
        <f t="shared" si="157"/>
        <v>217296</v>
      </c>
      <c r="AO147" s="183">
        <f t="shared" si="157"/>
        <v>242665</v>
      </c>
      <c r="AP147" s="183">
        <f t="shared" si="157"/>
        <v>267007</v>
      </c>
      <c r="AQ147" s="183">
        <f t="shared" si="157"/>
        <v>291986</v>
      </c>
    </row>
    <row r="148" spans="1:43" x14ac:dyDescent="0.2">
      <c r="A148" s="171"/>
      <c r="C148" s="179"/>
      <c r="D148" s="179"/>
      <c r="E148" s="179"/>
      <c r="F148" s="179"/>
      <c r="G148" s="179"/>
      <c r="H148" s="179"/>
      <c r="I148" s="179"/>
      <c r="J148" s="179"/>
      <c r="K148" s="179"/>
      <c r="L148" s="179"/>
      <c r="M148" s="179"/>
      <c r="N148" s="179"/>
      <c r="O148" s="179"/>
      <c r="P148" s="179"/>
      <c r="Q148" s="179"/>
      <c r="R148" s="180"/>
      <c r="S148" s="171"/>
      <c r="T148" s="171"/>
      <c r="V148" s="179"/>
      <c r="W148" s="179"/>
      <c r="X148" s="179"/>
      <c r="Y148" s="179"/>
      <c r="Z148" s="179"/>
      <c r="AA148" s="179"/>
      <c r="AB148" s="171"/>
      <c r="AC148" s="171"/>
      <c r="AD148" s="171"/>
      <c r="AF148" s="179"/>
      <c r="AG148" s="179"/>
      <c r="AH148" s="179"/>
      <c r="AI148" s="179"/>
      <c r="AJ148" s="179"/>
      <c r="AK148" s="179"/>
      <c r="AL148" s="179"/>
      <c r="AM148" s="179"/>
      <c r="AN148" s="179"/>
      <c r="AO148" s="179"/>
      <c r="AP148" s="179"/>
      <c r="AQ148" s="179"/>
    </row>
    <row r="149" spans="1:43" x14ac:dyDescent="0.2">
      <c r="A149" s="418" t="s">
        <v>830</v>
      </c>
      <c r="B149" s="671"/>
      <c r="C149" s="183">
        <f t="shared" ref="C149:Q149" si="158">C137-C147</f>
        <v>32067</v>
      </c>
      <c r="D149" s="183">
        <f t="shared" si="158"/>
        <v>30865</v>
      </c>
      <c r="E149" s="183">
        <f t="shared" si="158"/>
        <v>35148</v>
      </c>
      <c r="F149" s="183">
        <f t="shared" si="158"/>
        <v>-243</v>
      </c>
      <c r="G149" s="183">
        <f t="shared" si="158"/>
        <v>-617</v>
      </c>
      <c r="H149" s="183">
        <f t="shared" si="158"/>
        <v>4868</v>
      </c>
      <c r="I149" s="183">
        <f t="shared" si="158"/>
        <v>260</v>
      </c>
      <c r="J149" s="183">
        <f t="shared" si="158"/>
        <v>1178</v>
      </c>
      <c r="K149" s="183">
        <f t="shared" si="158"/>
        <v>981</v>
      </c>
      <c r="L149" s="183">
        <f t="shared" si="158"/>
        <v>-375</v>
      </c>
      <c r="M149" s="183">
        <f t="shared" si="158"/>
        <v>29505</v>
      </c>
      <c r="N149" s="183">
        <f t="shared" si="158"/>
        <v>30185</v>
      </c>
      <c r="O149" s="183">
        <f t="shared" si="158"/>
        <v>163822</v>
      </c>
      <c r="P149" s="183">
        <f t="shared" si="158"/>
        <v>62932</v>
      </c>
      <c r="Q149" s="183">
        <f t="shared" si="158"/>
        <v>100890</v>
      </c>
      <c r="R149" s="426"/>
      <c r="S149" s="169"/>
      <c r="T149" s="177" t="str">
        <f>A149</f>
        <v>OPERATING INCOME</v>
      </c>
      <c r="U149" s="671"/>
      <c r="V149" s="183">
        <f>V137-V147</f>
        <v>98080</v>
      </c>
      <c r="W149" s="183">
        <f>W137-W147</f>
        <v>4008</v>
      </c>
      <c r="X149" s="183">
        <f>X137-X147</f>
        <v>2419</v>
      </c>
      <c r="Y149" s="183">
        <f>Y137-Y147</f>
        <v>59315</v>
      </c>
      <c r="Z149" s="183"/>
      <c r="AA149" s="183">
        <f>AA137-AA147</f>
        <v>163822</v>
      </c>
      <c r="AB149" s="169"/>
      <c r="AC149" s="169"/>
      <c r="AD149" s="166" t="str">
        <f>A149</f>
        <v>OPERATING INCOME</v>
      </c>
      <c r="AF149" s="183">
        <f>C149</f>
        <v>32067</v>
      </c>
      <c r="AG149" s="183">
        <f t="shared" ref="AG149:AQ149" si="159">D149+AF149</f>
        <v>62932</v>
      </c>
      <c r="AH149" s="183">
        <f t="shared" si="159"/>
        <v>98080</v>
      </c>
      <c r="AI149" s="183">
        <f t="shared" si="159"/>
        <v>97837</v>
      </c>
      <c r="AJ149" s="183">
        <f t="shared" si="159"/>
        <v>97220</v>
      </c>
      <c r="AK149" s="183">
        <f t="shared" si="159"/>
        <v>102088</v>
      </c>
      <c r="AL149" s="183">
        <f t="shared" si="159"/>
        <v>102348</v>
      </c>
      <c r="AM149" s="183">
        <f t="shared" si="159"/>
        <v>103526</v>
      </c>
      <c r="AN149" s="183">
        <f t="shared" si="159"/>
        <v>104507</v>
      </c>
      <c r="AO149" s="183">
        <f t="shared" si="159"/>
        <v>104132</v>
      </c>
      <c r="AP149" s="183">
        <f t="shared" si="159"/>
        <v>133637</v>
      </c>
      <c r="AQ149" s="183">
        <f t="shared" si="159"/>
        <v>163822</v>
      </c>
    </row>
    <row r="150" spans="1:43" x14ac:dyDescent="0.2">
      <c r="A150" s="171"/>
      <c r="C150" s="179"/>
      <c r="D150" s="179"/>
      <c r="E150" s="179"/>
      <c r="F150" s="179"/>
      <c r="G150" s="179"/>
      <c r="H150" s="179"/>
      <c r="I150" s="179"/>
      <c r="J150" s="179"/>
      <c r="K150" s="179"/>
      <c r="L150" s="179"/>
      <c r="M150" s="179"/>
      <c r="N150" s="179"/>
      <c r="O150" s="179"/>
      <c r="P150" s="179"/>
      <c r="Q150" s="179"/>
      <c r="R150" s="180"/>
      <c r="S150" s="171"/>
      <c r="T150" s="171"/>
      <c r="V150" s="179"/>
      <c r="W150" s="179"/>
      <c r="X150" s="179"/>
      <c r="Y150" s="179"/>
      <c r="Z150" s="179"/>
      <c r="AA150" s="179"/>
      <c r="AB150" s="171"/>
      <c r="AC150" s="171"/>
      <c r="AD150" s="171"/>
      <c r="AF150" s="179"/>
      <c r="AG150" s="179"/>
      <c r="AH150" s="179"/>
      <c r="AI150" s="179"/>
      <c r="AJ150" s="179"/>
      <c r="AK150" s="179"/>
      <c r="AL150" s="179"/>
      <c r="AM150" s="179"/>
      <c r="AN150" s="179"/>
      <c r="AO150" s="179"/>
      <c r="AP150" s="179"/>
      <c r="AQ150" s="179"/>
    </row>
    <row r="151" spans="1:43" x14ac:dyDescent="0.2">
      <c r="A151" s="407" t="s">
        <v>831</v>
      </c>
      <c r="C151" s="179"/>
      <c r="D151" s="179"/>
      <c r="E151" s="179"/>
      <c r="F151" s="179"/>
      <c r="G151" s="179"/>
      <c r="H151" s="179"/>
      <c r="I151" s="179"/>
      <c r="J151" s="179"/>
      <c r="K151" s="179"/>
      <c r="L151" s="179"/>
      <c r="M151" s="179"/>
      <c r="N151" s="179"/>
      <c r="O151" s="180"/>
      <c r="P151" s="180"/>
      <c r="Q151" s="179"/>
      <c r="R151" s="180"/>
      <c r="S151" s="171"/>
      <c r="T151" s="177" t="str">
        <f>A151</f>
        <v>OTHER INCOME</v>
      </c>
      <c r="V151" s="179"/>
      <c r="W151" s="179"/>
      <c r="X151" s="179"/>
      <c r="Y151" s="179"/>
      <c r="Z151" s="179"/>
      <c r="AA151" s="179"/>
      <c r="AB151" s="171"/>
      <c r="AC151" s="171"/>
      <c r="AD151" s="166" t="str">
        <f>A151</f>
        <v>OTHER INCOME</v>
      </c>
      <c r="AF151" s="179"/>
      <c r="AG151" s="179"/>
      <c r="AH151" s="179"/>
      <c r="AI151" s="179"/>
      <c r="AJ151" s="179"/>
      <c r="AK151" s="179"/>
      <c r="AL151" s="179"/>
      <c r="AM151" s="179"/>
      <c r="AN151" s="179"/>
      <c r="AO151" s="179"/>
      <c r="AP151" s="179"/>
      <c r="AQ151" s="179"/>
    </row>
    <row r="152" spans="1:43" x14ac:dyDescent="0.2">
      <c r="A152" s="421" t="s">
        <v>832</v>
      </c>
      <c r="C152" s="179">
        <f t="shared" ref="C152:N152" si="160">C32-C92</f>
        <v>0</v>
      </c>
      <c r="D152" s="179">
        <f t="shared" si="160"/>
        <v>0</v>
      </c>
      <c r="E152" s="179">
        <f t="shared" si="160"/>
        <v>0</v>
      </c>
      <c r="F152" s="179">
        <f t="shared" si="160"/>
        <v>0</v>
      </c>
      <c r="G152" s="179">
        <f t="shared" si="160"/>
        <v>0</v>
      </c>
      <c r="H152" s="179">
        <f t="shared" si="160"/>
        <v>0</v>
      </c>
      <c r="I152" s="179">
        <f t="shared" si="160"/>
        <v>0</v>
      </c>
      <c r="J152" s="179">
        <f t="shared" si="160"/>
        <v>0</v>
      </c>
      <c r="K152" s="179">
        <f t="shared" si="160"/>
        <v>0</v>
      </c>
      <c r="L152" s="179">
        <f t="shared" si="160"/>
        <v>0</v>
      </c>
      <c r="M152" s="179">
        <f t="shared" si="160"/>
        <v>0</v>
      </c>
      <c r="N152" s="179">
        <f t="shared" si="160"/>
        <v>0</v>
      </c>
      <c r="O152" s="179">
        <f>SUM(C152:N152)</f>
        <v>0</v>
      </c>
      <c r="P152" s="180">
        <f>SUM(C152:D152)</f>
        <v>0</v>
      </c>
      <c r="Q152" s="179">
        <f>O152-P152</f>
        <v>0</v>
      </c>
      <c r="R152" s="617"/>
      <c r="S152" s="171"/>
      <c r="T152" s="181" t="str">
        <f>A152</f>
        <v xml:space="preserve">   Partnership Income</v>
      </c>
      <c r="V152" s="179">
        <f>C152+D152+E152</f>
        <v>0</v>
      </c>
      <c r="W152" s="179">
        <f>F152+G152+H152</f>
        <v>0</v>
      </c>
      <c r="X152" s="179">
        <f>I152+J152+K152</f>
        <v>0</v>
      </c>
      <c r="Y152" s="179">
        <f>L152+M152+N152</f>
        <v>0</v>
      </c>
      <c r="Z152" s="179"/>
      <c r="AA152" s="179">
        <f>SUM(V152:Y152)</f>
        <v>0</v>
      </c>
      <c r="AB152" s="171"/>
      <c r="AC152" s="171"/>
      <c r="AD152" s="165" t="str">
        <f>A152</f>
        <v xml:space="preserve">   Partnership Income</v>
      </c>
      <c r="AF152" s="179">
        <f>C152</f>
        <v>0</v>
      </c>
      <c r="AG152" s="179">
        <f t="shared" ref="AG152:AQ154" si="161">D152+AF152</f>
        <v>0</v>
      </c>
      <c r="AH152" s="179">
        <f t="shared" si="161"/>
        <v>0</v>
      </c>
      <c r="AI152" s="179">
        <f t="shared" si="161"/>
        <v>0</v>
      </c>
      <c r="AJ152" s="179">
        <f t="shared" si="161"/>
        <v>0</v>
      </c>
      <c r="AK152" s="179">
        <f t="shared" si="161"/>
        <v>0</v>
      </c>
      <c r="AL152" s="179">
        <f t="shared" si="161"/>
        <v>0</v>
      </c>
      <c r="AM152" s="179">
        <f t="shared" si="161"/>
        <v>0</v>
      </c>
      <c r="AN152" s="179">
        <f t="shared" si="161"/>
        <v>0</v>
      </c>
      <c r="AO152" s="179">
        <f t="shared" si="161"/>
        <v>0</v>
      </c>
      <c r="AP152" s="179">
        <f t="shared" si="161"/>
        <v>0</v>
      </c>
      <c r="AQ152" s="179">
        <f t="shared" si="161"/>
        <v>0</v>
      </c>
    </row>
    <row r="153" spans="1:43" x14ac:dyDescent="0.2">
      <c r="A153" s="421" t="s">
        <v>833</v>
      </c>
      <c r="C153" s="179">
        <f t="shared" ref="C153:N153" si="162">C33-C93</f>
        <v>36</v>
      </c>
      <c r="D153" s="179">
        <f t="shared" si="162"/>
        <v>29</v>
      </c>
      <c r="E153" s="179">
        <f t="shared" si="162"/>
        <v>31</v>
      </c>
      <c r="F153" s="179">
        <f t="shared" si="162"/>
        <v>36</v>
      </c>
      <c r="G153" s="179">
        <f t="shared" si="162"/>
        <v>31</v>
      </c>
      <c r="H153" s="179">
        <f t="shared" si="162"/>
        <v>31</v>
      </c>
      <c r="I153" s="179">
        <f t="shared" si="162"/>
        <v>36</v>
      </c>
      <c r="J153" s="179">
        <f t="shared" si="162"/>
        <v>32</v>
      </c>
      <c r="K153" s="179">
        <f t="shared" si="162"/>
        <v>31</v>
      </c>
      <c r="L153" s="179">
        <f t="shared" si="162"/>
        <v>36</v>
      </c>
      <c r="M153" s="179">
        <f t="shared" si="162"/>
        <v>32</v>
      </c>
      <c r="N153" s="179">
        <f t="shared" si="162"/>
        <v>32</v>
      </c>
      <c r="O153" s="179">
        <f>SUM(C153:N153)</f>
        <v>393</v>
      </c>
      <c r="P153" s="180">
        <f>SUM(C153:D153)</f>
        <v>65</v>
      </c>
      <c r="Q153" s="179">
        <f>O153-P153</f>
        <v>328</v>
      </c>
      <c r="R153" s="617"/>
      <c r="T153" s="181" t="str">
        <f>A153</f>
        <v xml:space="preserve">   Interest Income</v>
      </c>
      <c r="V153" s="179">
        <f>C153+D153+E153</f>
        <v>96</v>
      </c>
      <c r="W153" s="179">
        <f>F153+G153+H153</f>
        <v>98</v>
      </c>
      <c r="X153" s="179">
        <f>I153+J153+K153</f>
        <v>99</v>
      </c>
      <c r="Y153" s="179">
        <f>L153+M153+N153</f>
        <v>100</v>
      </c>
      <c r="Z153" s="179"/>
      <c r="AA153" s="179">
        <f>SUM(V153:Y153)</f>
        <v>393</v>
      </c>
      <c r="AD153" s="165" t="str">
        <f>A153</f>
        <v xml:space="preserve">   Interest Income</v>
      </c>
      <c r="AF153" s="179">
        <f>C153</f>
        <v>36</v>
      </c>
      <c r="AG153" s="179">
        <f t="shared" si="161"/>
        <v>65</v>
      </c>
      <c r="AH153" s="179">
        <f t="shared" si="161"/>
        <v>96</v>
      </c>
      <c r="AI153" s="179">
        <f t="shared" si="161"/>
        <v>132</v>
      </c>
      <c r="AJ153" s="179">
        <f t="shared" si="161"/>
        <v>163</v>
      </c>
      <c r="AK153" s="179">
        <f t="shared" si="161"/>
        <v>194</v>
      </c>
      <c r="AL153" s="179">
        <f t="shared" si="161"/>
        <v>230</v>
      </c>
      <c r="AM153" s="179">
        <f t="shared" si="161"/>
        <v>262</v>
      </c>
      <c r="AN153" s="179">
        <f t="shared" si="161"/>
        <v>293</v>
      </c>
      <c r="AO153" s="179">
        <f t="shared" si="161"/>
        <v>329</v>
      </c>
      <c r="AP153" s="179">
        <f t="shared" si="161"/>
        <v>361</v>
      </c>
      <c r="AQ153" s="179">
        <f t="shared" si="161"/>
        <v>393</v>
      </c>
    </row>
    <row r="154" spans="1:43" x14ac:dyDescent="0.2">
      <c r="A154" s="421" t="s">
        <v>834</v>
      </c>
      <c r="C154" s="182">
        <f t="shared" ref="C154:N154" si="163">C34-C94</f>
        <v>135</v>
      </c>
      <c r="D154" s="182">
        <f t="shared" si="163"/>
        <v>162</v>
      </c>
      <c r="E154" s="182">
        <f t="shared" si="163"/>
        <v>181</v>
      </c>
      <c r="F154" s="182">
        <f t="shared" si="163"/>
        <v>237</v>
      </c>
      <c r="G154" s="182">
        <f t="shared" si="163"/>
        <v>474</v>
      </c>
      <c r="H154" s="182">
        <f t="shared" si="163"/>
        <v>9094</v>
      </c>
      <c r="I154" s="182">
        <f t="shared" si="163"/>
        <v>139</v>
      </c>
      <c r="J154" s="182">
        <f t="shared" si="163"/>
        <v>289</v>
      </c>
      <c r="K154" s="182">
        <f t="shared" si="163"/>
        <v>452</v>
      </c>
      <c r="L154" s="182">
        <f t="shared" si="163"/>
        <v>526</v>
      </c>
      <c r="M154" s="182">
        <f t="shared" si="163"/>
        <v>530</v>
      </c>
      <c r="N154" s="182">
        <f t="shared" si="163"/>
        <v>6413</v>
      </c>
      <c r="O154" s="182">
        <f>SUM(C154:N154)</f>
        <v>18632</v>
      </c>
      <c r="P154" s="273">
        <f>SUM(C154:D154)</f>
        <v>297</v>
      </c>
      <c r="Q154" s="182">
        <f>O154-P154</f>
        <v>18335</v>
      </c>
      <c r="R154" s="618"/>
      <c r="S154" s="171"/>
      <c r="T154" s="181" t="str">
        <f>A154</f>
        <v xml:space="preserve">   Other Income / (Deductions)</v>
      </c>
      <c r="V154" s="182">
        <f>C154+D154+E154</f>
        <v>478</v>
      </c>
      <c r="W154" s="182">
        <f>F154+G154+H154</f>
        <v>9805</v>
      </c>
      <c r="X154" s="182">
        <f>I154+J154+K154</f>
        <v>880</v>
      </c>
      <c r="Y154" s="182">
        <f>L154+M154+N154</f>
        <v>7469</v>
      </c>
      <c r="Z154" s="182"/>
      <c r="AA154" s="182">
        <f>SUM(V154:Y154)</f>
        <v>18632</v>
      </c>
      <c r="AB154" s="171"/>
      <c r="AC154" s="171"/>
      <c r="AD154" s="165" t="str">
        <f>A154</f>
        <v xml:space="preserve">   Other Income / (Deductions)</v>
      </c>
      <c r="AF154" s="182">
        <f>C154</f>
        <v>135</v>
      </c>
      <c r="AG154" s="182">
        <f t="shared" si="161"/>
        <v>297</v>
      </c>
      <c r="AH154" s="182">
        <f t="shared" si="161"/>
        <v>478</v>
      </c>
      <c r="AI154" s="182">
        <f t="shared" si="161"/>
        <v>715</v>
      </c>
      <c r="AJ154" s="182">
        <f t="shared" si="161"/>
        <v>1189</v>
      </c>
      <c r="AK154" s="182">
        <f t="shared" si="161"/>
        <v>10283</v>
      </c>
      <c r="AL154" s="182">
        <f t="shared" si="161"/>
        <v>10422</v>
      </c>
      <c r="AM154" s="182">
        <f t="shared" si="161"/>
        <v>10711</v>
      </c>
      <c r="AN154" s="182">
        <f t="shared" si="161"/>
        <v>11163</v>
      </c>
      <c r="AO154" s="182">
        <f t="shared" si="161"/>
        <v>11689</v>
      </c>
      <c r="AP154" s="182">
        <f t="shared" si="161"/>
        <v>12219</v>
      </c>
      <c r="AQ154" s="182">
        <f t="shared" si="161"/>
        <v>18632</v>
      </c>
    </row>
    <row r="155" spans="1:43" ht="3.95" customHeight="1" x14ac:dyDescent="0.2">
      <c r="A155" s="409"/>
      <c r="C155" s="179"/>
      <c r="D155" s="179"/>
      <c r="E155" s="179"/>
      <c r="F155" s="179"/>
      <c r="G155" s="179"/>
      <c r="H155" s="179"/>
      <c r="I155" s="179"/>
      <c r="J155" s="179"/>
      <c r="K155" s="179"/>
      <c r="L155" s="179"/>
      <c r="M155" s="179"/>
      <c r="N155" s="179"/>
      <c r="O155" s="179"/>
      <c r="P155" s="179"/>
      <c r="Q155" s="179"/>
      <c r="R155" s="180"/>
      <c r="S155" s="171"/>
      <c r="V155" s="179"/>
      <c r="W155" s="179"/>
      <c r="X155" s="179"/>
      <c r="Y155" s="179"/>
      <c r="Z155" s="179"/>
      <c r="AA155" s="179"/>
      <c r="AB155" s="171"/>
      <c r="AC155" s="171"/>
      <c r="AD155" s="185"/>
      <c r="AF155" s="179"/>
      <c r="AG155" s="179"/>
      <c r="AH155" s="179"/>
      <c r="AI155" s="179"/>
      <c r="AJ155" s="179"/>
      <c r="AK155" s="179"/>
      <c r="AL155" s="179"/>
      <c r="AM155" s="179"/>
      <c r="AN155" s="179"/>
      <c r="AO155" s="179"/>
      <c r="AP155" s="179"/>
      <c r="AQ155" s="179"/>
    </row>
    <row r="156" spans="1:43" x14ac:dyDescent="0.2">
      <c r="A156" s="418" t="s">
        <v>835</v>
      </c>
      <c r="B156" s="671"/>
      <c r="C156" s="183">
        <f t="shared" ref="C156:Q156" si="164">SUM(C152:C154)</f>
        <v>171</v>
      </c>
      <c r="D156" s="183">
        <f t="shared" si="164"/>
        <v>191</v>
      </c>
      <c r="E156" s="183">
        <f t="shared" si="164"/>
        <v>212</v>
      </c>
      <c r="F156" s="183">
        <f t="shared" si="164"/>
        <v>273</v>
      </c>
      <c r="G156" s="183">
        <f t="shared" si="164"/>
        <v>505</v>
      </c>
      <c r="H156" s="183">
        <f t="shared" si="164"/>
        <v>9125</v>
      </c>
      <c r="I156" s="183">
        <f t="shared" si="164"/>
        <v>175</v>
      </c>
      <c r="J156" s="183">
        <f t="shared" si="164"/>
        <v>321</v>
      </c>
      <c r="K156" s="183">
        <f t="shared" si="164"/>
        <v>483</v>
      </c>
      <c r="L156" s="183">
        <f t="shared" si="164"/>
        <v>562</v>
      </c>
      <c r="M156" s="183">
        <f t="shared" si="164"/>
        <v>562</v>
      </c>
      <c r="N156" s="183">
        <f t="shared" si="164"/>
        <v>6445</v>
      </c>
      <c r="O156" s="183">
        <f t="shared" si="164"/>
        <v>19025</v>
      </c>
      <c r="P156" s="183">
        <f t="shared" si="164"/>
        <v>362</v>
      </c>
      <c r="Q156" s="183">
        <f t="shared" si="164"/>
        <v>18663</v>
      </c>
      <c r="R156" s="426"/>
      <c r="S156" s="169"/>
      <c r="T156" s="177" t="str">
        <f>A156</f>
        <v xml:space="preserve">     Total Other Income &amp; Other Deductions</v>
      </c>
      <c r="U156" s="671"/>
      <c r="V156" s="183">
        <f>V152+V153+V154</f>
        <v>574</v>
      </c>
      <c r="W156" s="183">
        <f>W152+W153+W154</f>
        <v>9903</v>
      </c>
      <c r="X156" s="183">
        <f>X152+X153+X154</f>
        <v>979</v>
      </c>
      <c r="Y156" s="183">
        <f>Y152+Y153+Y154</f>
        <v>7569</v>
      </c>
      <c r="Z156" s="183"/>
      <c r="AA156" s="183">
        <f>AA152+AA153+AA154</f>
        <v>19025</v>
      </c>
      <c r="AB156" s="169"/>
      <c r="AC156" s="169"/>
      <c r="AD156" s="166" t="str">
        <f>A156</f>
        <v xml:space="preserve">     Total Other Income &amp; Other Deductions</v>
      </c>
      <c r="AF156" s="183">
        <f>C156</f>
        <v>171</v>
      </c>
      <c r="AG156" s="183">
        <f t="shared" ref="AG156:AQ156" si="165">D156+AF156</f>
        <v>362</v>
      </c>
      <c r="AH156" s="183">
        <f t="shared" si="165"/>
        <v>574</v>
      </c>
      <c r="AI156" s="183">
        <f t="shared" si="165"/>
        <v>847</v>
      </c>
      <c r="AJ156" s="183">
        <f t="shared" si="165"/>
        <v>1352</v>
      </c>
      <c r="AK156" s="183">
        <f t="shared" si="165"/>
        <v>10477</v>
      </c>
      <c r="AL156" s="183">
        <f t="shared" si="165"/>
        <v>10652</v>
      </c>
      <c r="AM156" s="183">
        <f t="shared" si="165"/>
        <v>10973</v>
      </c>
      <c r="AN156" s="183">
        <f t="shared" si="165"/>
        <v>11456</v>
      </c>
      <c r="AO156" s="183">
        <f t="shared" si="165"/>
        <v>12018</v>
      </c>
      <c r="AP156" s="183">
        <f t="shared" si="165"/>
        <v>12580</v>
      </c>
      <c r="AQ156" s="183">
        <f t="shared" si="165"/>
        <v>19025</v>
      </c>
    </row>
    <row r="157" spans="1:43" x14ac:dyDescent="0.2">
      <c r="A157" s="171"/>
      <c r="C157" s="179"/>
      <c r="D157" s="179"/>
      <c r="E157" s="179"/>
      <c r="F157" s="179"/>
      <c r="G157" s="179"/>
      <c r="H157" s="179"/>
      <c r="I157" s="179"/>
      <c r="J157" s="179"/>
      <c r="K157" s="179"/>
      <c r="L157" s="179"/>
      <c r="M157" s="179"/>
      <c r="N157" s="179"/>
      <c r="O157" s="179"/>
      <c r="P157" s="179"/>
      <c r="Q157" s="179"/>
      <c r="R157" s="180"/>
      <c r="S157" s="171"/>
      <c r="T157" s="171"/>
      <c r="V157" s="179"/>
      <c r="W157" s="179"/>
      <c r="X157" s="179"/>
      <c r="Y157" s="179"/>
      <c r="Z157" s="179"/>
      <c r="AA157" s="179"/>
      <c r="AB157" s="171"/>
      <c r="AC157" s="171"/>
      <c r="AD157" s="171"/>
      <c r="AF157" s="179"/>
      <c r="AG157" s="179"/>
      <c r="AH157" s="179"/>
      <c r="AI157" s="179"/>
      <c r="AJ157" s="179"/>
      <c r="AK157" s="179"/>
      <c r="AL157" s="179"/>
      <c r="AM157" s="179"/>
      <c r="AN157" s="179"/>
      <c r="AO157" s="179"/>
      <c r="AP157" s="179"/>
      <c r="AQ157" s="179"/>
    </row>
    <row r="158" spans="1:43" x14ac:dyDescent="0.2">
      <c r="A158" s="418" t="s">
        <v>391</v>
      </c>
      <c r="B158" s="692"/>
      <c r="C158" s="183">
        <f t="shared" ref="C158:Q158" si="166">C149+C156</f>
        <v>32238</v>
      </c>
      <c r="D158" s="183">
        <f t="shared" si="166"/>
        <v>31056</v>
      </c>
      <c r="E158" s="183">
        <f t="shared" si="166"/>
        <v>35360</v>
      </c>
      <c r="F158" s="183">
        <f t="shared" si="166"/>
        <v>30</v>
      </c>
      <c r="G158" s="183">
        <f t="shared" si="166"/>
        <v>-112</v>
      </c>
      <c r="H158" s="183">
        <f t="shared" si="166"/>
        <v>13993</v>
      </c>
      <c r="I158" s="183">
        <f t="shared" si="166"/>
        <v>435</v>
      </c>
      <c r="J158" s="183">
        <f t="shared" si="166"/>
        <v>1499</v>
      </c>
      <c r="K158" s="183">
        <f t="shared" si="166"/>
        <v>1464</v>
      </c>
      <c r="L158" s="183">
        <f t="shared" si="166"/>
        <v>187</v>
      </c>
      <c r="M158" s="183">
        <f t="shared" si="166"/>
        <v>30067</v>
      </c>
      <c r="N158" s="183">
        <f t="shared" si="166"/>
        <v>36630</v>
      </c>
      <c r="O158" s="183">
        <f t="shared" si="166"/>
        <v>182847</v>
      </c>
      <c r="P158" s="183">
        <f t="shared" si="166"/>
        <v>63294</v>
      </c>
      <c r="Q158" s="183">
        <f t="shared" si="166"/>
        <v>119553</v>
      </c>
      <c r="R158" s="426"/>
      <c r="S158" s="169"/>
      <c r="T158" s="177" t="str">
        <f>A158</f>
        <v>INCOME BEFORE INTEREST &amp; TAXES</v>
      </c>
      <c r="U158" s="692"/>
      <c r="V158" s="540">
        <f>C158+D158+E158</f>
        <v>98654</v>
      </c>
      <c r="W158" s="540">
        <f>F158+G158+H158</f>
        <v>13911</v>
      </c>
      <c r="X158" s="540">
        <f>I158+J158+K158</f>
        <v>3398</v>
      </c>
      <c r="Y158" s="540">
        <f>L158+M158+N158</f>
        <v>66884</v>
      </c>
      <c r="Z158" s="540"/>
      <c r="AA158" s="540">
        <f>SUM(V158:Y158)</f>
        <v>182847</v>
      </c>
      <c r="AB158" s="169"/>
      <c r="AC158" s="169"/>
      <c r="AD158" s="166" t="str">
        <f>A158</f>
        <v>INCOME BEFORE INTEREST &amp; TAXES</v>
      </c>
      <c r="AF158" s="183">
        <f>C158</f>
        <v>32238</v>
      </c>
      <c r="AG158" s="183">
        <f t="shared" ref="AG158:AQ158" si="167">D158+AF158</f>
        <v>63294</v>
      </c>
      <c r="AH158" s="183">
        <f t="shared" si="167"/>
        <v>98654</v>
      </c>
      <c r="AI158" s="183">
        <f t="shared" si="167"/>
        <v>98684</v>
      </c>
      <c r="AJ158" s="183">
        <f t="shared" si="167"/>
        <v>98572</v>
      </c>
      <c r="AK158" s="183">
        <f t="shared" si="167"/>
        <v>112565</v>
      </c>
      <c r="AL158" s="183">
        <f t="shared" si="167"/>
        <v>113000</v>
      </c>
      <c r="AM158" s="183">
        <f t="shared" si="167"/>
        <v>114499</v>
      </c>
      <c r="AN158" s="183">
        <f t="shared" si="167"/>
        <v>115963</v>
      </c>
      <c r="AO158" s="183">
        <f t="shared" si="167"/>
        <v>116150</v>
      </c>
      <c r="AP158" s="183">
        <f t="shared" si="167"/>
        <v>146217</v>
      </c>
      <c r="AQ158" s="183">
        <f t="shared" si="167"/>
        <v>182847</v>
      </c>
    </row>
    <row r="159" spans="1:43" x14ac:dyDescent="0.2">
      <c r="A159" s="171"/>
      <c r="C159" s="179"/>
      <c r="D159" s="179"/>
      <c r="E159" s="179"/>
      <c r="F159" s="179"/>
      <c r="G159" s="179"/>
      <c r="H159" s="179"/>
      <c r="I159" s="179"/>
      <c r="J159" s="179"/>
      <c r="K159" s="179"/>
      <c r="L159" s="179"/>
      <c r="M159" s="179"/>
      <c r="N159" s="179"/>
      <c r="O159" s="179"/>
      <c r="P159" s="179"/>
      <c r="Q159" s="179"/>
      <c r="R159" s="180"/>
      <c r="S159" s="171"/>
      <c r="T159" s="171"/>
      <c r="V159" s="179"/>
      <c r="W159" s="179"/>
      <c r="X159" s="179"/>
      <c r="Y159" s="179"/>
      <c r="Z159" s="179"/>
      <c r="AA159" s="179"/>
      <c r="AB159" s="171"/>
      <c r="AC159" s="171"/>
      <c r="AD159" s="171"/>
      <c r="AF159" s="179"/>
      <c r="AG159" s="179"/>
      <c r="AH159" s="179"/>
      <c r="AI159" s="179"/>
      <c r="AJ159" s="179"/>
      <c r="AK159" s="179"/>
      <c r="AL159" s="179"/>
      <c r="AM159" s="179"/>
      <c r="AN159" s="179"/>
      <c r="AO159" s="179"/>
      <c r="AP159" s="179"/>
      <c r="AQ159" s="179"/>
    </row>
    <row r="160" spans="1:43" x14ac:dyDescent="0.2">
      <c r="A160" s="418" t="s">
        <v>392</v>
      </c>
      <c r="C160" s="180"/>
      <c r="D160" s="180"/>
      <c r="E160" s="180"/>
      <c r="F160" s="180"/>
      <c r="G160" s="180"/>
      <c r="H160" s="180"/>
      <c r="I160" s="180"/>
      <c r="J160" s="180"/>
      <c r="K160" s="180"/>
      <c r="L160" s="180"/>
      <c r="M160" s="180"/>
      <c r="N160" s="180"/>
      <c r="O160" s="180"/>
      <c r="P160" s="180"/>
      <c r="Q160" s="179"/>
      <c r="R160" s="180"/>
      <c r="S160" s="171"/>
      <c r="T160" s="177" t="str">
        <f t="shared" ref="T160:T166" si="168">A160</f>
        <v>INTEREST AND OTHER</v>
      </c>
      <c r="V160" s="179"/>
      <c r="W160" s="186"/>
      <c r="X160" s="179"/>
      <c r="Y160" s="179"/>
      <c r="Z160" s="179"/>
      <c r="AA160" s="179"/>
      <c r="AB160" s="171"/>
      <c r="AC160" s="171"/>
      <c r="AD160" s="166" t="str">
        <f t="shared" ref="AD160:AD166" si="169">A160</f>
        <v>INTEREST AND OTHER</v>
      </c>
      <c r="AF160" s="179"/>
      <c r="AG160" s="179"/>
      <c r="AH160" s="179"/>
      <c r="AI160" s="179"/>
      <c r="AJ160" s="179"/>
      <c r="AK160" s="179"/>
      <c r="AL160" s="179"/>
      <c r="AM160" s="179"/>
      <c r="AN160" s="179"/>
      <c r="AO160" s="179"/>
      <c r="AP160" s="179"/>
      <c r="AQ160" s="179"/>
    </row>
    <row r="161" spans="1:43" x14ac:dyDescent="0.2">
      <c r="A161" s="419" t="s">
        <v>836</v>
      </c>
      <c r="C161" s="179">
        <f t="shared" ref="C161:N161" si="170">C41-C101</f>
        <v>21</v>
      </c>
      <c r="D161" s="179">
        <f t="shared" si="170"/>
        <v>21</v>
      </c>
      <c r="E161" s="179">
        <f t="shared" si="170"/>
        <v>26</v>
      </c>
      <c r="F161" s="179">
        <f t="shared" si="170"/>
        <v>27</v>
      </c>
      <c r="G161" s="179">
        <f t="shared" si="170"/>
        <v>24</v>
      </c>
      <c r="H161" s="179">
        <f t="shared" si="170"/>
        <v>13</v>
      </c>
      <c r="I161" s="179">
        <f t="shared" si="170"/>
        <v>12</v>
      </c>
      <c r="J161" s="179">
        <f t="shared" si="170"/>
        <v>13</v>
      </c>
      <c r="K161" s="179">
        <f t="shared" si="170"/>
        <v>12</v>
      </c>
      <c r="L161" s="179">
        <f t="shared" si="170"/>
        <v>7</v>
      </c>
      <c r="M161" s="179">
        <f t="shared" si="170"/>
        <v>6</v>
      </c>
      <c r="N161" s="179">
        <f t="shared" si="170"/>
        <v>9</v>
      </c>
      <c r="O161" s="179">
        <f t="shared" ref="O161:O166" si="171">SUM(C161:N161)</f>
        <v>191</v>
      </c>
      <c r="P161" s="180">
        <f t="shared" ref="P161:P166" si="172">SUM(C161:D161)</f>
        <v>42</v>
      </c>
      <c r="Q161" s="179">
        <f t="shared" ref="Q161:Q166" si="173">O161-P161</f>
        <v>149</v>
      </c>
      <c r="R161" s="617"/>
      <c r="S161" s="171"/>
      <c r="T161" s="181" t="str">
        <f t="shared" si="168"/>
        <v xml:space="preserve">   Direct Interest</v>
      </c>
      <c r="V161" s="179">
        <f t="shared" ref="V161:V166" si="174">C161+D161+E161</f>
        <v>68</v>
      </c>
      <c r="W161" s="179">
        <f t="shared" ref="W161:W166" si="175">F161+G161+H161</f>
        <v>64</v>
      </c>
      <c r="X161" s="179">
        <f t="shared" ref="X161:X166" si="176">I161+J161+K161</f>
        <v>37</v>
      </c>
      <c r="Y161" s="179">
        <f t="shared" ref="Y161:Y166" si="177">L161+M161+N161</f>
        <v>22</v>
      </c>
      <c r="Z161" s="179"/>
      <c r="AA161" s="179">
        <f t="shared" ref="AA161:AA166" si="178">SUM(V161:Y161)</f>
        <v>191</v>
      </c>
      <c r="AB161" s="171"/>
      <c r="AC161" s="171"/>
      <c r="AD161" s="165" t="str">
        <f t="shared" si="169"/>
        <v xml:space="preserve">   Direct Interest</v>
      </c>
      <c r="AF161" s="179">
        <f t="shared" ref="AF161:AF166" si="179">C161</f>
        <v>21</v>
      </c>
      <c r="AG161" s="179">
        <f t="shared" ref="AG161:AQ166" si="180">D161+AF161</f>
        <v>42</v>
      </c>
      <c r="AH161" s="179">
        <f t="shared" si="180"/>
        <v>68</v>
      </c>
      <c r="AI161" s="179">
        <f t="shared" si="180"/>
        <v>95</v>
      </c>
      <c r="AJ161" s="179">
        <f t="shared" si="180"/>
        <v>119</v>
      </c>
      <c r="AK161" s="179">
        <f t="shared" si="180"/>
        <v>132</v>
      </c>
      <c r="AL161" s="179">
        <f t="shared" si="180"/>
        <v>144</v>
      </c>
      <c r="AM161" s="179">
        <f t="shared" si="180"/>
        <v>157</v>
      </c>
      <c r="AN161" s="179">
        <f t="shared" si="180"/>
        <v>169</v>
      </c>
      <c r="AO161" s="179">
        <f t="shared" si="180"/>
        <v>176</v>
      </c>
      <c r="AP161" s="179">
        <f t="shared" si="180"/>
        <v>182</v>
      </c>
      <c r="AQ161" s="179">
        <f t="shared" si="180"/>
        <v>191</v>
      </c>
    </row>
    <row r="162" spans="1:43" x14ac:dyDescent="0.2">
      <c r="A162" s="419" t="s">
        <v>385</v>
      </c>
      <c r="C162" s="179">
        <f t="shared" ref="C162:N162" si="181">C42-C102</f>
        <v>2058</v>
      </c>
      <c r="D162" s="179">
        <f t="shared" si="181"/>
        <v>2058</v>
      </c>
      <c r="E162" s="179">
        <f t="shared" si="181"/>
        <v>2058</v>
      </c>
      <c r="F162" s="179">
        <f t="shared" si="181"/>
        <v>2058</v>
      </c>
      <c r="G162" s="179">
        <f t="shared" si="181"/>
        <v>2058</v>
      </c>
      <c r="H162" s="179">
        <f t="shared" si="181"/>
        <v>2058</v>
      </c>
      <c r="I162" s="179">
        <f t="shared" si="181"/>
        <v>2058</v>
      </c>
      <c r="J162" s="179">
        <f t="shared" si="181"/>
        <v>2058</v>
      </c>
      <c r="K162" s="179">
        <f t="shared" si="181"/>
        <v>2058</v>
      </c>
      <c r="L162" s="179">
        <f t="shared" si="181"/>
        <v>2058</v>
      </c>
      <c r="M162" s="179">
        <f t="shared" si="181"/>
        <v>2058</v>
      </c>
      <c r="N162" s="179">
        <f t="shared" si="181"/>
        <v>2059</v>
      </c>
      <c r="O162" s="179">
        <f t="shared" si="171"/>
        <v>24697</v>
      </c>
      <c r="P162" s="180">
        <f t="shared" si="172"/>
        <v>4116</v>
      </c>
      <c r="Q162" s="179">
        <f t="shared" si="173"/>
        <v>20581</v>
      </c>
      <c r="R162" s="617"/>
      <c r="S162" s="171"/>
      <c r="T162" s="181" t="str">
        <f>A162</f>
        <v xml:space="preserve">   Interest on New Long Term Debt (Pre 1/1/98)</v>
      </c>
      <c r="V162" s="179">
        <f t="shared" si="174"/>
        <v>6174</v>
      </c>
      <c r="W162" s="179">
        <f t="shared" si="175"/>
        <v>6174</v>
      </c>
      <c r="X162" s="179">
        <f t="shared" si="176"/>
        <v>6174</v>
      </c>
      <c r="Y162" s="179">
        <f t="shared" si="177"/>
        <v>6175</v>
      </c>
      <c r="Z162" s="179"/>
      <c r="AA162" s="179">
        <f t="shared" si="178"/>
        <v>24697</v>
      </c>
      <c r="AB162" s="171"/>
      <c r="AC162" s="171"/>
      <c r="AD162" s="165" t="str">
        <f>A162</f>
        <v xml:space="preserve">   Interest on New Long Term Debt (Pre 1/1/98)</v>
      </c>
      <c r="AF162" s="179">
        <f t="shared" si="179"/>
        <v>2058</v>
      </c>
      <c r="AG162" s="179">
        <f t="shared" ref="AG162:AQ162" si="182">D162+AF162</f>
        <v>4116</v>
      </c>
      <c r="AH162" s="179">
        <f t="shared" si="182"/>
        <v>6174</v>
      </c>
      <c r="AI162" s="179">
        <f t="shared" si="182"/>
        <v>8232</v>
      </c>
      <c r="AJ162" s="179">
        <f t="shared" si="182"/>
        <v>10290</v>
      </c>
      <c r="AK162" s="179">
        <f t="shared" si="182"/>
        <v>12348</v>
      </c>
      <c r="AL162" s="179">
        <f t="shared" si="182"/>
        <v>14406</v>
      </c>
      <c r="AM162" s="179">
        <f t="shared" si="182"/>
        <v>16464</v>
      </c>
      <c r="AN162" s="179">
        <f t="shared" si="182"/>
        <v>18522</v>
      </c>
      <c r="AO162" s="179">
        <f t="shared" si="182"/>
        <v>20580</v>
      </c>
      <c r="AP162" s="179">
        <f t="shared" si="182"/>
        <v>22638</v>
      </c>
      <c r="AQ162" s="179">
        <f t="shared" si="182"/>
        <v>24697</v>
      </c>
    </row>
    <row r="163" spans="1:43" x14ac:dyDescent="0.2">
      <c r="A163" s="419" t="s">
        <v>837</v>
      </c>
      <c r="C163" s="179">
        <f t="shared" ref="C163:N163" si="183">C43-C103</f>
        <v>855</v>
      </c>
      <c r="D163" s="179">
        <f t="shared" si="183"/>
        <v>855</v>
      </c>
      <c r="E163" s="179">
        <f t="shared" si="183"/>
        <v>855</v>
      </c>
      <c r="F163" s="179">
        <f t="shared" si="183"/>
        <v>854</v>
      </c>
      <c r="G163" s="179">
        <f t="shared" si="183"/>
        <v>855</v>
      </c>
      <c r="H163" s="179">
        <f t="shared" si="183"/>
        <v>855</v>
      </c>
      <c r="I163" s="179">
        <f t="shared" si="183"/>
        <v>855</v>
      </c>
      <c r="J163" s="179">
        <f t="shared" si="183"/>
        <v>854</v>
      </c>
      <c r="K163" s="179">
        <f t="shared" si="183"/>
        <v>855</v>
      </c>
      <c r="L163" s="179">
        <f t="shared" si="183"/>
        <v>854</v>
      </c>
      <c r="M163" s="179">
        <f t="shared" si="183"/>
        <v>855</v>
      </c>
      <c r="N163" s="179">
        <f t="shared" si="183"/>
        <v>854</v>
      </c>
      <c r="O163" s="179">
        <f t="shared" si="171"/>
        <v>10256</v>
      </c>
      <c r="P163" s="180">
        <f t="shared" si="172"/>
        <v>1710</v>
      </c>
      <c r="Q163" s="179">
        <f t="shared" si="173"/>
        <v>8546</v>
      </c>
      <c r="R163" s="617"/>
      <c r="S163" s="171"/>
      <c r="T163" s="181" t="str">
        <f t="shared" si="168"/>
        <v xml:space="preserve">   Interest on New Long Term Debt (Post 1/1/98)</v>
      </c>
      <c r="V163" s="179">
        <f t="shared" si="174"/>
        <v>2565</v>
      </c>
      <c r="W163" s="179">
        <f t="shared" si="175"/>
        <v>2564</v>
      </c>
      <c r="X163" s="179">
        <f t="shared" si="176"/>
        <v>2564</v>
      </c>
      <c r="Y163" s="179">
        <f t="shared" si="177"/>
        <v>2563</v>
      </c>
      <c r="Z163" s="179"/>
      <c r="AA163" s="179">
        <f t="shared" si="178"/>
        <v>10256</v>
      </c>
      <c r="AB163" s="171"/>
      <c r="AC163" s="171"/>
      <c r="AD163" s="165" t="str">
        <f t="shared" si="169"/>
        <v xml:space="preserve">   Interest on New Long Term Debt (Post 1/1/98)</v>
      </c>
      <c r="AF163" s="179">
        <f t="shared" si="179"/>
        <v>855</v>
      </c>
      <c r="AG163" s="179">
        <f t="shared" si="180"/>
        <v>1710</v>
      </c>
      <c r="AH163" s="179">
        <f t="shared" si="180"/>
        <v>2565</v>
      </c>
      <c r="AI163" s="179">
        <f t="shared" si="180"/>
        <v>3419</v>
      </c>
      <c r="AJ163" s="179">
        <f t="shared" si="180"/>
        <v>4274</v>
      </c>
      <c r="AK163" s="179">
        <f t="shared" si="180"/>
        <v>5129</v>
      </c>
      <c r="AL163" s="179">
        <f t="shared" si="180"/>
        <v>5984</v>
      </c>
      <c r="AM163" s="179">
        <f t="shared" si="180"/>
        <v>6838</v>
      </c>
      <c r="AN163" s="179">
        <f t="shared" si="180"/>
        <v>7693</v>
      </c>
      <c r="AO163" s="179">
        <f t="shared" si="180"/>
        <v>8547</v>
      </c>
      <c r="AP163" s="179">
        <f t="shared" si="180"/>
        <v>9402</v>
      </c>
      <c r="AQ163" s="179">
        <f t="shared" si="180"/>
        <v>10256</v>
      </c>
    </row>
    <row r="164" spans="1:43" x14ac:dyDescent="0.2">
      <c r="A164" s="419" t="s">
        <v>838</v>
      </c>
      <c r="C164" s="179">
        <f t="shared" ref="C164:N164" si="184">C44-C104</f>
        <v>0</v>
      </c>
      <c r="D164" s="179">
        <f t="shared" si="184"/>
        <v>0</v>
      </c>
      <c r="E164" s="179">
        <f t="shared" si="184"/>
        <v>0</v>
      </c>
      <c r="F164" s="179">
        <f t="shared" si="184"/>
        <v>0</v>
      </c>
      <c r="G164" s="179">
        <f t="shared" si="184"/>
        <v>0</v>
      </c>
      <c r="H164" s="179">
        <f t="shared" si="184"/>
        <v>0</v>
      </c>
      <c r="I164" s="179">
        <f t="shared" si="184"/>
        <v>0</v>
      </c>
      <c r="J164" s="179">
        <f t="shared" si="184"/>
        <v>0</v>
      </c>
      <c r="K164" s="179">
        <f t="shared" si="184"/>
        <v>0</v>
      </c>
      <c r="L164" s="179">
        <f t="shared" si="184"/>
        <v>0</v>
      </c>
      <c r="M164" s="179">
        <f t="shared" si="184"/>
        <v>0</v>
      </c>
      <c r="N164" s="179">
        <f t="shared" si="184"/>
        <v>0</v>
      </c>
      <c r="O164" s="179">
        <f t="shared" si="171"/>
        <v>0</v>
      </c>
      <c r="P164" s="180">
        <f t="shared" si="172"/>
        <v>0</v>
      </c>
      <c r="Q164" s="179">
        <f t="shared" si="173"/>
        <v>0</v>
      </c>
      <c r="R164" s="617"/>
      <c r="S164" s="171"/>
      <c r="T164" s="181" t="str">
        <f t="shared" si="168"/>
        <v xml:space="preserve">   Intercompany Interest Differential</v>
      </c>
      <c r="V164" s="179">
        <f t="shared" si="174"/>
        <v>0</v>
      </c>
      <c r="W164" s="179">
        <f t="shared" si="175"/>
        <v>0</v>
      </c>
      <c r="X164" s="179">
        <f t="shared" si="176"/>
        <v>0</v>
      </c>
      <c r="Y164" s="179">
        <f t="shared" si="177"/>
        <v>0</v>
      </c>
      <c r="Z164" s="179"/>
      <c r="AA164" s="179">
        <f t="shared" si="178"/>
        <v>0</v>
      </c>
      <c r="AB164" s="171"/>
      <c r="AC164" s="171"/>
      <c r="AD164" s="165" t="str">
        <f t="shared" si="169"/>
        <v xml:space="preserve">   Intercompany Interest Differential</v>
      </c>
      <c r="AF164" s="179">
        <f t="shared" si="179"/>
        <v>0</v>
      </c>
      <c r="AG164" s="179">
        <f t="shared" si="180"/>
        <v>0</v>
      </c>
      <c r="AH164" s="179">
        <f t="shared" si="180"/>
        <v>0</v>
      </c>
      <c r="AI164" s="179">
        <f t="shared" si="180"/>
        <v>0</v>
      </c>
      <c r="AJ164" s="179">
        <f t="shared" si="180"/>
        <v>0</v>
      </c>
      <c r="AK164" s="179">
        <f t="shared" si="180"/>
        <v>0</v>
      </c>
      <c r="AL164" s="179">
        <f t="shared" si="180"/>
        <v>0</v>
      </c>
      <c r="AM164" s="179">
        <f t="shared" si="180"/>
        <v>0</v>
      </c>
      <c r="AN164" s="179">
        <f t="shared" si="180"/>
        <v>0</v>
      </c>
      <c r="AO164" s="179">
        <f t="shared" si="180"/>
        <v>0</v>
      </c>
      <c r="AP164" s="179">
        <f t="shared" si="180"/>
        <v>0</v>
      </c>
      <c r="AQ164" s="179">
        <f t="shared" si="180"/>
        <v>0</v>
      </c>
    </row>
    <row r="165" spans="1:43" x14ac:dyDescent="0.2">
      <c r="A165" s="419" t="s">
        <v>839</v>
      </c>
      <c r="C165" s="179">
        <f t="shared" ref="C165:N165" si="185">C45-C105</f>
        <v>-1000</v>
      </c>
      <c r="D165" s="179">
        <f t="shared" si="185"/>
        <v>-1000</v>
      </c>
      <c r="E165" s="179">
        <f t="shared" si="185"/>
        <v>-1100</v>
      </c>
      <c r="F165" s="179">
        <f t="shared" si="185"/>
        <v>-1100</v>
      </c>
      <c r="G165" s="179">
        <f t="shared" si="185"/>
        <v>-1200</v>
      </c>
      <c r="H165" s="179">
        <f t="shared" si="185"/>
        <v>-1100</v>
      </c>
      <c r="I165" s="179">
        <f t="shared" si="185"/>
        <v>-1100</v>
      </c>
      <c r="J165" s="179">
        <f t="shared" si="185"/>
        <v>-1100</v>
      </c>
      <c r="K165" s="179">
        <f t="shared" si="185"/>
        <v>-1000</v>
      </c>
      <c r="L165" s="179">
        <f t="shared" si="185"/>
        <v>-1000</v>
      </c>
      <c r="M165" s="179">
        <f t="shared" si="185"/>
        <v>-900</v>
      </c>
      <c r="N165" s="179">
        <f t="shared" si="185"/>
        <v>-900</v>
      </c>
      <c r="O165" s="179">
        <f t="shared" si="171"/>
        <v>-12500</v>
      </c>
      <c r="P165" s="180">
        <f t="shared" si="172"/>
        <v>-2000</v>
      </c>
      <c r="Q165" s="179">
        <f t="shared" si="173"/>
        <v>-10500</v>
      </c>
      <c r="R165" s="617"/>
      <c r="S165" s="171"/>
      <c r="T165" s="181" t="str">
        <f t="shared" si="168"/>
        <v xml:space="preserve">   Intercompany Interest Expense / (Income)</v>
      </c>
      <c r="V165" s="179">
        <f t="shared" si="174"/>
        <v>-3100</v>
      </c>
      <c r="W165" s="179">
        <f t="shared" si="175"/>
        <v>-3400</v>
      </c>
      <c r="X165" s="179">
        <f t="shared" si="176"/>
        <v>-3200</v>
      </c>
      <c r="Y165" s="179">
        <f t="shared" si="177"/>
        <v>-2800</v>
      </c>
      <c r="Z165" s="179"/>
      <c r="AA165" s="179">
        <f t="shared" si="178"/>
        <v>-12500</v>
      </c>
      <c r="AB165" s="171"/>
      <c r="AC165" s="171"/>
      <c r="AD165" s="165" t="str">
        <f t="shared" si="169"/>
        <v xml:space="preserve">   Intercompany Interest Expense / (Income)</v>
      </c>
      <c r="AF165" s="179">
        <f t="shared" si="179"/>
        <v>-1000</v>
      </c>
      <c r="AG165" s="179">
        <f t="shared" si="180"/>
        <v>-2000</v>
      </c>
      <c r="AH165" s="179">
        <f t="shared" si="180"/>
        <v>-3100</v>
      </c>
      <c r="AI165" s="179">
        <f t="shared" si="180"/>
        <v>-4200</v>
      </c>
      <c r="AJ165" s="179">
        <f t="shared" si="180"/>
        <v>-5400</v>
      </c>
      <c r="AK165" s="179">
        <f t="shared" si="180"/>
        <v>-6500</v>
      </c>
      <c r="AL165" s="179">
        <f t="shared" si="180"/>
        <v>-7600</v>
      </c>
      <c r="AM165" s="179">
        <f t="shared" si="180"/>
        <v>-8700</v>
      </c>
      <c r="AN165" s="179">
        <f t="shared" si="180"/>
        <v>-9700</v>
      </c>
      <c r="AO165" s="179">
        <f t="shared" si="180"/>
        <v>-10700</v>
      </c>
      <c r="AP165" s="179">
        <f t="shared" si="180"/>
        <v>-11600</v>
      </c>
      <c r="AQ165" s="179">
        <f t="shared" si="180"/>
        <v>-12500</v>
      </c>
    </row>
    <row r="166" spans="1:43" x14ac:dyDescent="0.2">
      <c r="A166" s="178" t="s">
        <v>840</v>
      </c>
      <c r="C166" s="182">
        <f t="shared" ref="C166:N166" si="186">C46-C106</f>
        <v>-10</v>
      </c>
      <c r="D166" s="182">
        <f t="shared" si="186"/>
        <v>-4</v>
      </c>
      <c r="E166" s="182">
        <f t="shared" si="186"/>
        <v>-12</v>
      </c>
      <c r="F166" s="182">
        <f t="shared" si="186"/>
        <v>-28</v>
      </c>
      <c r="G166" s="182">
        <f t="shared" si="186"/>
        <v>-50</v>
      </c>
      <c r="H166" s="182">
        <f t="shared" si="186"/>
        <v>-68</v>
      </c>
      <c r="I166" s="182">
        <f t="shared" si="186"/>
        <v>-2</v>
      </c>
      <c r="J166" s="182">
        <f t="shared" si="186"/>
        <v>-26</v>
      </c>
      <c r="K166" s="182">
        <f t="shared" si="186"/>
        <v>-48</v>
      </c>
      <c r="L166" s="182">
        <f t="shared" si="186"/>
        <v>-69</v>
      </c>
      <c r="M166" s="182">
        <f t="shared" si="186"/>
        <v>-53</v>
      </c>
      <c r="N166" s="182">
        <f t="shared" si="186"/>
        <v>-51</v>
      </c>
      <c r="O166" s="182">
        <f t="shared" si="171"/>
        <v>-421</v>
      </c>
      <c r="P166" s="273">
        <f t="shared" si="172"/>
        <v>-14</v>
      </c>
      <c r="Q166" s="182">
        <f t="shared" si="173"/>
        <v>-407</v>
      </c>
      <c r="R166" s="618"/>
      <c r="S166" s="171"/>
      <c r="T166" s="181" t="str">
        <f t="shared" si="168"/>
        <v xml:space="preserve">   AFUDC</v>
      </c>
      <c r="V166" s="182">
        <f t="shared" si="174"/>
        <v>-26</v>
      </c>
      <c r="W166" s="182">
        <f t="shared" si="175"/>
        <v>-146</v>
      </c>
      <c r="X166" s="182">
        <f t="shared" si="176"/>
        <v>-76</v>
      </c>
      <c r="Y166" s="182">
        <f t="shared" si="177"/>
        <v>-173</v>
      </c>
      <c r="Z166" s="182"/>
      <c r="AA166" s="182">
        <f t="shared" si="178"/>
        <v>-421</v>
      </c>
      <c r="AB166" s="171"/>
      <c r="AC166" s="171"/>
      <c r="AD166" s="165" t="str">
        <f t="shared" si="169"/>
        <v xml:space="preserve">   AFUDC</v>
      </c>
      <c r="AF166" s="182">
        <f t="shared" si="179"/>
        <v>-10</v>
      </c>
      <c r="AG166" s="182">
        <f t="shared" si="180"/>
        <v>-14</v>
      </c>
      <c r="AH166" s="182">
        <f t="shared" si="180"/>
        <v>-26</v>
      </c>
      <c r="AI166" s="182">
        <f t="shared" si="180"/>
        <v>-54</v>
      </c>
      <c r="AJ166" s="182">
        <f t="shared" si="180"/>
        <v>-104</v>
      </c>
      <c r="AK166" s="182">
        <f t="shared" si="180"/>
        <v>-172</v>
      </c>
      <c r="AL166" s="182">
        <f t="shared" si="180"/>
        <v>-174</v>
      </c>
      <c r="AM166" s="182">
        <f t="shared" si="180"/>
        <v>-200</v>
      </c>
      <c r="AN166" s="182">
        <f t="shared" si="180"/>
        <v>-248</v>
      </c>
      <c r="AO166" s="182">
        <f t="shared" si="180"/>
        <v>-317</v>
      </c>
      <c r="AP166" s="182">
        <f t="shared" si="180"/>
        <v>-370</v>
      </c>
      <c r="AQ166" s="182">
        <f t="shared" si="180"/>
        <v>-421</v>
      </c>
    </row>
    <row r="167" spans="1:43" ht="3.95" customHeight="1" x14ac:dyDescent="0.2">
      <c r="A167" s="171"/>
      <c r="C167" s="179"/>
      <c r="D167" s="179"/>
      <c r="E167" s="179"/>
      <c r="F167" s="179"/>
      <c r="G167" s="179"/>
      <c r="H167" s="179"/>
      <c r="I167" s="179"/>
      <c r="J167" s="179"/>
      <c r="K167" s="179"/>
      <c r="L167" s="179"/>
      <c r="M167" s="179"/>
      <c r="N167" s="179"/>
      <c r="O167" s="179"/>
      <c r="P167" s="179"/>
      <c r="Q167" s="179"/>
      <c r="R167" s="180"/>
      <c r="S167" s="171"/>
      <c r="T167" s="171"/>
      <c r="V167" s="179"/>
      <c r="W167" s="179"/>
      <c r="X167" s="179"/>
      <c r="Y167" s="179"/>
      <c r="Z167" s="179"/>
      <c r="AA167" s="179"/>
      <c r="AB167" s="171"/>
      <c r="AC167" s="171"/>
      <c r="AD167" s="171"/>
      <c r="AF167" s="179"/>
      <c r="AG167" s="179"/>
      <c r="AH167" s="179"/>
      <c r="AI167" s="179"/>
      <c r="AJ167" s="179"/>
      <c r="AK167" s="179"/>
      <c r="AL167" s="179"/>
      <c r="AM167" s="179"/>
      <c r="AN167" s="179"/>
      <c r="AO167" s="179"/>
      <c r="AP167" s="179"/>
      <c r="AQ167" s="179"/>
    </row>
    <row r="168" spans="1:43" x14ac:dyDescent="0.2">
      <c r="A168" s="423" t="s">
        <v>393</v>
      </c>
      <c r="B168" s="692"/>
      <c r="C168" s="183">
        <f t="shared" ref="C168:Q168" si="187">SUM(C161:C166)</f>
        <v>1924</v>
      </c>
      <c r="D168" s="183">
        <f t="shared" si="187"/>
        <v>1930</v>
      </c>
      <c r="E168" s="183">
        <f t="shared" si="187"/>
        <v>1827</v>
      </c>
      <c r="F168" s="183">
        <f t="shared" si="187"/>
        <v>1811</v>
      </c>
      <c r="G168" s="183">
        <f t="shared" si="187"/>
        <v>1687</v>
      </c>
      <c r="H168" s="183">
        <f t="shared" si="187"/>
        <v>1758</v>
      </c>
      <c r="I168" s="183">
        <f t="shared" si="187"/>
        <v>1823</v>
      </c>
      <c r="J168" s="183">
        <f t="shared" si="187"/>
        <v>1799</v>
      </c>
      <c r="K168" s="183">
        <f t="shared" si="187"/>
        <v>1877</v>
      </c>
      <c r="L168" s="183">
        <f t="shared" si="187"/>
        <v>1850</v>
      </c>
      <c r="M168" s="183">
        <f t="shared" si="187"/>
        <v>1966</v>
      </c>
      <c r="N168" s="183">
        <f t="shared" si="187"/>
        <v>1971</v>
      </c>
      <c r="O168" s="183">
        <f t="shared" si="187"/>
        <v>22223</v>
      </c>
      <c r="P168" s="183">
        <f t="shared" si="187"/>
        <v>3854</v>
      </c>
      <c r="Q168" s="183">
        <f t="shared" si="187"/>
        <v>18369</v>
      </c>
      <c r="R168" s="426"/>
      <c r="S168" s="169"/>
      <c r="T168" s="177" t="str">
        <f>A168</f>
        <v xml:space="preserve">     Total Interest and Other</v>
      </c>
      <c r="U168" s="692"/>
      <c r="V168" s="183">
        <f>SUM(V161:V166)</f>
        <v>5681</v>
      </c>
      <c r="W168" s="183">
        <f>SUM(W161:W166)</f>
        <v>5256</v>
      </c>
      <c r="X168" s="183">
        <f>SUM(X161:X166)</f>
        <v>5499</v>
      </c>
      <c r="Y168" s="183">
        <f>SUM(Y161:Y166)</f>
        <v>5787</v>
      </c>
      <c r="Z168" s="183"/>
      <c r="AA168" s="183">
        <f>SUM(AA161:AA166)</f>
        <v>22223</v>
      </c>
      <c r="AB168" s="169"/>
      <c r="AC168" s="169"/>
      <c r="AD168" s="166" t="str">
        <f>A168</f>
        <v xml:space="preserve">     Total Interest and Other</v>
      </c>
      <c r="AF168" s="183">
        <f>C168</f>
        <v>1924</v>
      </c>
      <c r="AG168" s="183">
        <f t="shared" ref="AG168:AQ168" si="188">D168+AF168</f>
        <v>3854</v>
      </c>
      <c r="AH168" s="183">
        <f t="shared" si="188"/>
        <v>5681</v>
      </c>
      <c r="AI168" s="183">
        <f t="shared" si="188"/>
        <v>7492</v>
      </c>
      <c r="AJ168" s="183">
        <f t="shared" si="188"/>
        <v>9179</v>
      </c>
      <c r="AK168" s="183">
        <f t="shared" si="188"/>
        <v>10937</v>
      </c>
      <c r="AL168" s="183">
        <f t="shared" si="188"/>
        <v>12760</v>
      </c>
      <c r="AM168" s="183">
        <f t="shared" si="188"/>
        <v>14559</v>
      </c>
      <c r="AN168" s="183">
        <f t="shared" si="188"/>
        <v>16436</v>
      </c>
      <c r="AO168" s="183">
        <f t="shared" si="188"/>
        <v>18286</v>
      </c>
      <c r="AP168" s="183">
        <f t="shared" si="188"/>
        <v>20252</v>
      </c>
      <c r="AQ168" s="183">
        <f t="shared" si="188"/>
        <v>22223</v>
      </c>
    </row>
    <row r="169" spans="1:43" x14ac:dyDescent="0.2">
      <c r="A169" s="409"/>
      <c r="C169" s="179"/>
      <c r="D169" s="179"/>
      <c r="E169" s="179"/>
      <c r="F169" s="179"/>
      <c r="G169" s="179"/>
      <c r="H169" s="186"/>
      <c r="I169" s="179"/>
      <c r="J169" s="179"/>
      <c r="K169" s="179"/>
      <c r="L169" s="179"/>
      <c r="M169" s="179"/>
      <c r="N169" s="179"/>
      <c r="O169" s="179"/>
      <c r="P169" s="179"/>
      <c r="Q169" s="179"/>
      <c r="R169" s="180"/>
      <c r="V169" s="179"/>
      <c r="W169" s="179"/>
      <c r="X169" s="179"/>
      <c r="Y169" s="179"/>
      <c r="Z169" s="179"/>
      <c r="AA169" s="179"/>
      <c r="AD169" s="168"/>
      <c r="AE169" s="689"/>
    </row>
    <row r="170" spans="1:43" x14ac:dyDescent="0.2">
      <c r="A170" s="408" t="s">
        <v>841</v>
      </c>
      <c r="B170" s="671"/>
      <c r="C170" s="183">
        <f t="shared" ref="C170:Q170" si="189">C149+C156-C168</f>
        <v>30314</v>
      </c>
      <c r="D170" s="183">
        <f t="shared" si="189"/>
        <v>29126</v>
      </c>
      <c r="E170" s="183">
        <f t="shared" si="189"/>
        <v>33533</v>
      </c>
      <c r="F170" s="183">
        <f t="shared" si="189"/>
        <v>-1781</v>
      </c>
      <c r="G170" s="183">
        <f t="shared" si="189"/>
        <v>-1799</v>
      </c>
      <c r="H170" s="183">
        <f t="shared" si="189"/>
        <v>12235</v>
      </c>
      <c r="I170" s="183">
        <f t="shared" si="189"/>
        <v>-1388</v>
      </c>
      <c r="J170" s="183">
        <f t="shared" si="189"/>
        <v>-300</v>
      </c>
      <c r="K170" s="183">
        <f t="shared" si="189"/>
        <v>-413</v>
      </c>
      <c r="L170" s="183">
        <f t="shared" si="189"/>
        <v>-1663</v>
      </c>
      <c r="M170" s="183">
        <f t="shared" si="189"/>
        <v>28101</v>
      </c>
      <c r="N170" s="183">
        <f t="shared" si="189"/>
        <v>34659</v>
      </c>
      <c r="O170" s="183">
        <f t="shared" si="189"/>
        <v>160624</v>
      </c>
      <c r="P170" s="183">
        <f t="shared" si="189"/>
        <v>59440</v>
      </c>
      <c r="Q170" s="183">
        <f t="shared" si="189"/>
        <v>101184</v>
      </c>
      <c r="R170" s="426"/>
      <c r="S170" s="169"/>
      <c r="T170" s="177" t="str">
        <f>A170</f>
        <v>INCOME BEFORE INCOME TAXES</v>
      </c>
      <c r="U170" s="671"/>
      <c r="V170" s="183">
        <f>V149+V156-V168</f>
        <v>92973</v>
      </c>
      <c r="W170" s="183">
        <f>W149+W156-W168</f>
        <v>8655</v>
      </c>
      <c r="X170" s="183">
        <f>X149+X156-X168</f>
        <v>-2101</v>
      </c>
      <c r="Y170" s="183">
        <f>Y149+Y156-Y168</f>
        <v>61097</v>
      </c>
      <c r="Z170" s="183"/>
      <c r="AA170" s="183">
        <f>AA149+AA156-AA168</f>
        <v>160624</v>
      </c>
      <c r="AB170" s="169"/>
      <c r="AC170" s="171"/>
      <c r="AD170" s="166" t="str">
        <f>A170</f>
        <v>INCOME BEFORE INCOME TAXES</v>
      </c>
      <c r="AF170" s="183">
        <f>C170</f>
        <v>30314</v>
      </c>
      <c r="AG170" s="183">
        <f t="shared" ref="AG170:AQ170" si="190">D170+AF170</f>
        <v>59440</v>
      </c>
      <c r="AH170" s="183">
        <f t="shared" si="190"/>
        <v>92973</v>
      </c>
      <c r="AI170" s="183">
        <f t="shared" si="190"/>
        <v>91192</v>
      </c>
      <c r="AJ170" s="183">
        <f t="shared" si="190"/>
        <v>89393</v>
      </c>
      <c r="AK170" s="183">
        <f t="shared" si="190"/>
        <v>101628</v>
      </c>
      <c r="AL170" s="183">
        <f t="shared" si="190"/>
        <v>100240</v>
      </c>
      <c r="AM170" s="183">
        <f t="shared" si="190"/>
        <v>99940</v>
      </c>
      <c r="AN170" s="183">
        <f t="shared" si="190"/>
        <v>99527</v>
      </c>
      <c r="AO170" s="183">
        <f t="shared" si="190"/>
        <v>97864</v>
      </c>
      <c r="AP170" s="183">
        <f t="shared" si="190"/>
        <v>125965</v>
      </c>
      <c r="AQ170" s="183">
        <f t="shared" si="190"/>
        <v>160624</v>
      </c>
    </row>
    <row r="171" spans="1:43" x14ac:dyDescent="0.2">
      <c r="A171" s="171"/>
      <c r="C171" s="179"/>
      <c r="D171" s="179"/>
      <c r="E171" s="179"/>
      <c r="F171" s="179"/>
      <c r="G171" s="179"/>
      <c r="H171" s="179"/>
      <c r="I171" s="179"/>
      <c r="J171" s="179"/>
      <c r="K171" s="179"/>
      <c r="L171" s="179"/>
      <c r="M171" s="179"/>
      <c r="N171" s="179"/>
      <c r="O171" s="179"/>
      <c r="P171" s="179"/>
      <c r="Q171" s="179"/>
      <c r="R171" s="180"/>
      <c r="S171" s="171"/>
      <c r="T171" s="171"/>
      <c r="V171" s="179"/>
      <c r="W171" s="179"/>
      <c r="X171" s="179"/>
      <c r="Y171" s="179"/>
      <c r="Z171" s="179"/>
      <c r="AA171" s="179"/>
      <c r="AB171" s="171"/>
      <c r="AC171" s="171"/>
      <c r="AF171" s="179"/>
      <c r="AG171" s="179"/>
      <c r="AH171" s="179"/>
      <c r="AI171" s="179"/>
      <c r="AJ171" s="179"/>
      <c r="AK171" s="179"/>
      <c r="AL171" s="179"/>
      <c r="AM171" s="179"/>
      <c r="AN171" s="179"/>
      <c r="AO171" s="179"/>
      <c r="AP171" s="179"/>
      <c r="AQ171" s="179"/>
    </row>
    <row r="172" spans="1:43" x14ac:dyDescent="0.2">
      <c r="A172" s="419" t="s">
        <v>327</v>
      </c>
      <c r="C172" s="179">
        <f>C175-C173</f>
        <v>11245</v>
      </c>
      <c r="D172" s="179">
        <f t="shared" ref="D172:N172" si="191">D175-D173</f>
        <v>10748</v>
      </c>
      <c r="E172" s="179">
        <f t="shared" si="191"/>
        <v>12468</v>
      </c>
      <c r="F172" s="179">
        <f t="shared" si="191"/>
        <v>-1268</v>
      </c>
      <c r="G172" s="179">
        <f t="shared" si="191"/>
        <v>-2186</v>
      </c>
      <c r="H172" s="179">
        <f t="shared" si="191"/>
        <v>3522</v>
      </c>
      <c r="I172" s="179">
        <f t="shared" si="191"/>
        <v>-928</v>
      </c>
      <c r="J172" s="179">
        <f t="shared" si="191"/>
        <v>-549</v>
      </c>
      <c r="K172" s="179">
        <f t="shared" si="191"/>
        <v>-1901</v>
      </c>
      <c r="L172" s="179">
        <f t="shared" si="191"/>
        <v>-1247</v>
      </c>
      <c r="M172" s="179">
        <f t="shared" si="191"/>
        <v>10977</v>
      </c>
      <c r="N172" s="179">
        <f t="shared" si="191"/>
        <v>12924</v>
      </c>
      <c r="O172" s="179">
        <f>SUM(C172:N172)</f>
        <v>53805</v>
      </c>
      <c r="P172" s="180">
        <f>SUM(C172:D172)</f>
        <v>21993</v>
      </c>
      <c r="Q172" s="179">
        <f>O172-P172</f>
        <v>31812</v>
      </c>
      <c r="R172" s="617"/>
      <c r="S172" s="171"/>
      <c r="T172" s="181" t="str">
        <f>A172</f>
        <v xml:space="preserve">   Payable Currently</v>
      </c>
      <c r="V172" s="179">
        <f>C172+D172+E172</f>
        <v>34461</v>
      </c>
      <c r="W172" s="179">
        <f>F172+G172+H172</f>
        <v>68</v>
      </c>
      <c r="X172" s="179">
        <f>I172+J172+K172</f>
        <v>-3378</v>
      </c>
      <c r="Y172" s="179">
        <f>L172+M172+N172</f>
        <v>22654</v>
      </c>
      <c r="Z172" s="179"/>
      <c r="AA172" s="179">
        <f>SUM(V172:Y172)</f>
        <v>53805</v>
      </c>
      <c r="AB172" s="171"/>
      <c r="AC172" s="171"/>
      <c r="AD172" s="165" t="str">
        <f>A172</f>
        <v xml:space="preserve">   Payable Currently</v>
      </c>
      <c r="AF172" s="179">
        <f>C172</f>
        <v>11245</v>
      </c>
      <c r="AG172" s="179">
        <f t="shared" ref="AG172:AQ173" si="192">D172+AF172</f>
        <v>21993</v>
      </c>
      <c r="AH172" s="179">
        <f t="shared" si="192"/>
        <v>34461</v>
      </c>
      <c r="AI172" s="179">
        <f t="shared" si="192"/>
        <v>33193</v>
      </c>
      <c r="AJ172" s="179">
        <f t="shared" si="192"/>
        <v>31007</v>
      </c>
      <c r="AK172" s="179">
        <f t="shared" si="192"/>
        <v>34529</v>
      </c>
      <c r="AL172" s="179">
        <f t="shared" si="192"/>
        <v>33601</v>
      </c>
      <c r="AM172" s="179">
        <f t="shared" si="192"/>
        <v>33052</v>
      </c>
      <c r="AN172" s="179">
        <f t="shared" si="192"/>
        <v>31151</v>
      </c>
      <c r="AO172" s="179">
        <f t="shared" si="192"/>
        <v>29904</v>
      </c>
      <c r="AP172" s="179">
        <f t="shared" si="192"/>
        <v>40881</v>
      </c>
      <c r="AQ172" s="179">
        <f t="shared" si="192"/>
        <v>53805</v>
      </c>
    </row>
    <row r="173" spans="1:43" x14ac:dyDescent="0.2">
      <c r="A173" s="421" t="s">
        <v>328</v>
      </c>
      <c r="C173" s="182">
        <f>DeferredTax!R80-DeferredTax!R72</f>
        <v>728</v>
      </c>
      <c r="D173" s="182">
        <f>DeferredTax!S80-DeferredTax!S72</f>
        <v>756</v>
      </c>
      <c r="E173" s="182">
        <f>DeferredTax!T80-DeferredTax!T72</f>
        <v>776</v>
      </c>
      <c r="F173" s="182">
        <f>DeferredTax!U80-DeferredTax!U72</f>
        <v>572</v>
      </c>
      <c r="G173" s="182">
        <f>DeferredTax!V80-DeferredTax!V72</f>
        <v>1483</v>
      </c>
      <c r="H173" s="182">
        <f>DeferredTax!W80-DeferredTax!W72</f>
        <v>1315</v>
      </c>
      <c r="I173" s="182">
        <f>DeferredTax!X80-DeferredTax!X72</f>
        <v>387</v>
      </c>
      <c r="J173" s="182">
        <f>DeferredTax!Y80-DeferredTax!Y72</f>
        <v>438</v>
      </c>
      <c r="K173" s="182">
        <f>DeferredTax!Z80-DeferredTax!Z72</f>
        <v>1745</v>
      </c>
      <c r="L173" s="182">
        <f>DeferredTax!AA80-DeferredTax!AA72</f>
        <v>598</v>
      </c>
      <c r="M173" s="182">
        <f>DeferredTax!AB80-DeferredTax!AB72</f>
        <v>122</v>
      </c>
      <c r="N173" s="182">
        <f>DeferredTax!AC80-DeferredTax!AC72</f>
        <v>764</v>
      </c>
      <c r="O173" s="182">
        <f>SUM(C173:N173)</f>
        <v>9684</v>
      </c>
      <c r="P173" s="273">
        <f>SUM(C173:D173)</f>
        <v>1484</v>
      </c>
      <c r="Q173" s="182">
        <f>O173-P173</f>
        <v>8200</v>
      </c>
      <c r="R173" s="618"/>
      <c r="S173" s="171"/>
      <c r="T173" s="181" t="str">
        <f>A173</f>
        <v xml:space="preserve">   Deferred</v>
      </c>
      <c r="V173" s="182">
        <f>C173+D173+E173</f>
        <v>2260</v>
      </c>
      <c r="W173" s="182">
        <f>F173+G173+H173</f>
        <v>3370</v>
      </c>
      <c r="X173" s="182">
        <f>I173+J173+K173</f>
        <v>2570</v>
      </c>
      <c r="Y173" s="182">
        <f>L173+M173+N173</f>
        <v>1484</v>
      </c>
      <c r="Z173" s="182"/>
      <c r="AA173" s="182">
        <f>SUM(V173:Y173)</f>
        <v>9684</v>
      </c>
      <c r="AB173" s="188"/>
      <c r="AC173" s="171"/>
      <c r="AD173" s="165" t="str">
        <f>A173</f>
        <v xml:space="preserve">   Deferred</v>
      </c>
      <c r="AF173" s="182">
        <f>C173</f>
        <v>728</v>
      </c>
      <c r="AG173" s="182">
        <f t="shared" si="192"/>
        <v>1484</v>
      </c>
      <c r="AH173" s="182">
        <f t="shared" si="192"/>
        <v>2260</v>
      </c>
      <c r="AI173" s="182">
        <f t="shared" si="192"/>
        <v>2832</v>
      </c>
      <c r="AJ173" s="182">
        <f t="shared" si="192"/>
        <v>4315</v>
      </c>
      <c r="AK173" s="182">
        <f t="shared" si="192"/>
        <v>5630</v>
      </c>
      <c r="AL173" s="182">
        <f t="shared" si="192"/>
        <v>6017</v>
      </c>
      <c r="AM173" s="182">
        <f t="shared" si="192"/>
        <v>6455</v>
      </c>
      <c r="AN173" s="182">
        <f t="shared" si="192"/>
        <v>8200</v>
      </c>
      <c r="AO173" s="182">
        <f t="shared" si="192"/>
        <v>8798</v>
      </c>
      <c r="AP173" s="182">
        <f t="shared" si="192"/>
        <v>8920</v>
      </c>
      <c r="AQ173" s="182">
        <f t="shared" si="192"/>
        <v>9684</v>
      </c>
    </row>
    <row r="174" spans="1:43" ht="3.95" customHeight="1" x14ac:dyDescent="0.2">
      <c r="A174" s="409"/>
      <c r="C174" s="179"/>
      <c r="D174" s="179"/>
      <c r="E174" s="179"/>
      <c r="F174" s="179"/>
      <c r="G174" s="179"/>
      <c r="H174" s="179"/>
      <c r="I174" s="179"/>
      <c r="J174" s="179"/>
      <c r="K174" s="179"/>
      <c r="L174" s="179"/>
      <c r="M174" s="179"/>
      <c r="N174" s="179"/>
      <c r="O174" s="179"/>
      <c r="P174" s="179"/>
      <c r="Q174" s="179"/>
      <c r="R174" s="180"/>
      <c r="S174" s="171"/>
      <c r="V174" s="179"/>
      <c r="W174" s="179"/>
      <c r="X174" s="179"/>
      <c r="Y174" s="179"/>
      <c r="Z174" s="179"/>
      <c r="AA174" s="179"/>
      <c r="AB174" s="171"/>
      <c r="AC174" s="171"/>
      <c r="AD174" s="171"/>
      <c r="AF174" s="179"/>
      <c r="AG174" s="179"/>
      <c r="AH174" s="179"/>
      <c r="AI174" s="179"/>
      <c r="AJ174" s="179"/>
      <c r="AK174" s="179"/>
      <c r="AL174" s="179"/>
      <c r="AM174" s="179"/>
      <c r="AN174" s="179"/>
      <c r="AO174" s="179"/>
      <c r="AP174" s="179"/>
      <c r="AQ174" s="179"/>
    </row>
    <row r="175" spans="1:43" x14ac:dyDescent="0.2">
      <c r="A175" s="420" t="s">
        <v>326</v>
      </c>
      <c r="B175" s="671"/>
      <c r="C175" s="183">
        <f>C210</f>
        <v>11973</v>
      </c>
      <c r="D175" s="183">
        <f t="shared" ref="D175:N175" si="193">D210</f>
        <v>11504</v>
      </c>
      <c r="E175" s="183">
        <f t="shared" si="193"/>
        <v>13244</v>
      </c>
      <c r="F175" s="183">
        <f t="shared" si="193"/>
        <v>-696</v>
      </c>
      <c r="G175" s="183">
        <f t="shared" si="193"/>
        <v>-703</v>
      </c>
      <c r="H175" s="183">
        <f t="shared" si="193"/>
        <v>4837</v>
      </c>
      <c r="I175" s="183">
        <f t="shared" si="193"/>
        <v>-541</v>
      </c>
      <c r="J175" s="183">
        <f t="shared" si="193"/>
        <v>-111</v>
      </c>
      <c r="K175" s="183">
        <f t="shared" si="193"/>
        <v>-156</v>
      </c>
      <c r="L175" s="183">
        <f t="shared" si="193"/>
        <v>-649</v>
      </c>
      <c r="M175" s="183">
        <f t="shared" si="193"/>
        <v>11099</v>
      </c>
      <c r="N175" s="183">
        <f t="shared" si="193"/>
        <v>13688</v>
      </c>
      <c r="O175" s="183">
        <f>ROUND((SUM(O172:O173)),0)</f>
        <v>63489</v>
      </c>
      <c r="P175" s="183">
        <f>ROUND((SUM(P172:P173)),0)</f>
        <v>23477</v>
      </c>
      <c r="Q175" s="183">
        <f>ROUND((SUM(Q172:Q173)),0)</f>
        <v>40012</v>
      </c>
      <c r="R175" s="426"/>
      <c r="S175" s="169"/>
      <c r="T175" s="177" t="str">
        <f>A175</f>
        <v xml:space="preserve">     Total Income Taxes (Composite Rate - 39.473 %)</v>
      </c>
      <c r="U175" s="671"/>
      <c r="V175" s="183">
        <f>V172+V173</f>
        <v>36721</v>
      </c>
      <c r="W175" s="183">
        <f>W172+W173</f>
        <v>3438</v>
      </c>
      <c r="X175" s="183">
        <f>X172+X173</f>
        <v>-808</v>
      </c>
      <c r="Y175" s="183">
        <f>Y172+Y173</f>
        <v>24138</v>
      </c>
      <c r="Z175" s="183"/>
      <c r="AA175" s="183">
        <f>AA172+AA173</f>
        <v>63489</v>
      </c>
      <c r="AB175" s="169"/>
      <c r="AC175" s="169"/>
      <c r="AD175" s="166" t="str">
        <f>A175</f>
        <v xml:space="preserve">     Total Income Taxes (Composite Rate - 39.473 %)</v>
      </c>
      <c r="AF175" s="183">
        <f>C175</f>
        <v>11973</v>
      </c>
      <c r="AG175" s="183">
        <f t="shared" ref="AG175:AQ175" si="194">D175+AF175</f>
        <v>23477</v>
      </c>
      <c r="AH175" s="183">
        <f t="shared" si="194"/>
        <v>36721</v>
      </c>
      <c r="AI175" s="183">
        <f t="shared" si="194"/>
        <v>36025</v>
      </c>
      <c r="AJ175" s="183">
        <f t="shared" si="194"/>
        <v>35322</v>
      </c>
      <c r="AK175" s="183">
        <f t="shared" si="194"/>
        <v>40159</v>
      </c>
      <c r="AL175" s="183">
        <f t="shared" si="194"/>
        <v>39618</v>
      </c>
      <c r="AM175" s="183">
        <f t="shared" si="194"/>
        <v>39507</v>
      </c>
      <c r="AN175" s="183">
        <f t="shared" si="194"/>
        <v>39351</v>
      </c>
      <c r="AO175" s="183">
        <f t="shared" si="194"/>
        <v>38702</v>
      </c>
      <c r="AP175" s="183">
        <f t="shared" si="194"/>
        <v>49801</v>
      </c>
      <c r="AQ175" s="183">
        <f t="shared" si="194"/>
        <v>63489</v>
      </c>
    </row>
    <row r="176" spans="1:43" x14ac:dyDescent="0.2">
      <c r="A176" s="411"/>
      <c r="B176" s="671"/>
      <c r="C176" s="184"/>
      <c r="D176" s="189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9"/>
      <c r="P176" s="184"/>
      <c r="Q176" s="184"/>
      <c r="R176" s="427"/>
      <c r="S176" s="169"/>
      <c r="T176" s="166"/>
      <c r="U176" s="671"/>
      <c r="V176" s="184"/>
      <c r="W176" s="184"/>
      <c r="X176" s="184"/>
      <c r="Y176" s="189"/>
      <c r="Z176" s="184"/>
      <c r="AA176" s="184"/>
      <c r="AB176" s="169"/>
      <c r="AC176" s="169"/>
      <c r="AF176" s="179"/>
      <c r="AG176" s="179"/>
      <c r="AH176" s="179"/>
      <c r="AI176" s="179"/>
      <c r="AJ176" s="179"/>
      <c r="AK176" s="179"/>
      <c r="AL176" s="179"/>
      <c r="AM176" s="179"/>
      <c r="AN176" s="179"/>
      <c r="AO176" s="179"/>
      <c r="AP176" s="179"/>
      <c r="AQ176" s="179"/>
    </row>
    <row r="177" spans="1:43" x14ac:dyDescent="0.2">
      <c r="A177" s="418" t="s">
        <v>388</v>
      </c>
      <c r="B177" s="671"/>
      <c r="C177" s="183">
        <f t="shared" ref="C177:P177" si="195">ROUND(+C170-C175,0)</f>
        <v>18341</v>
      </c>
      <c r="D177" s="183">
        <f t="shared" si="195"/>
        <v>17622</v>
      </c>
      <c r="E177" s="183">
        <f t="shared" si="195"/>
        <v>20289</v>
      </c>
      <c r="F177" s="183">
        <f t="shared" si="195"/>
        <v>-1085</v>
      </c>
      <c r="G177" s="183">
        <f t="shared" si="195"/>
        <v>-1096</v>
      </c>
      <c r="H177" s="183">
        <f t="shared" si="195"/>
        <v>7398</v>
      </c>
      <c r="I177" s="183">
        <f t="shared" si="195"/>
        <v>-847</v>
      </c>
      <c r="J177" s="183">
        <f t="shared" si="195"/>
        <v>-189</v>
      </c>
      <c r="K177" s="183">
        <f t="shared" si="195"/>
        <v>-257</v>
      </c>
      <c r="L177" s="183">
        <f t="shared" si="195"/>
        <v>-1014</v>
      </c>
      <c r="M177" s="183">
        <f t="shared" si="195"/>
        <v>17002</v>
      </c>
      <c r="N177" s="183">
        <f t="shared" si="195"/>
        <v>20971</v>
      </c>
      <c r="O177" s="183">
        <f t="shared" si="195"/>
        <v>97135</v>
      </c>
      <c r="P177" s="183">
        <f t="shared" si="195"/>
        <v>35963</v>
      </c>
      <c r="Q177" s="183">
        <f>Q170-Q175</f>
        <v>61172</v>
      </c>
      <c r="R177" s="426"/>
      <c r="S177" s="169"/>
      <c r="T177" s="177" t="str">
        <f>A177</f>
        <v>NET INCOME</v>
      </c>
      <c r="U177" s="671"/>
      <c r="V177" s="183">
        <f>V170-V175</f>
        <v>56252</v>
      </c>
      <c r="W177" s="183">
        <f>W170-W175</f>
        <v>5217</v>
      </c>
      <c r="X177" s="183">
        <f>X170-X175</f>
        <v>-1293</v>
      </c>
      <c r="Y177" s="183">
        <f>Y170-Y175</f>
        <v>36959</v>
      </c>
      <c r="Z177" s="183"/>
      <c r="AA177" s="183">
        <f>AA170-AA175</f>
        <v>97135</v>
      </c>
      <c r="AB177" s="190"/>
      <c r="AC177" s="190"/>
      <c r="AD177" s="166" t="str">
        <f>A177</f>
        <v>NET INCOME</v>
      </c>
      <c r="AF177" s="183">
        <f>C177</f>
        <v>18341</v>
      </c>
      <c r="AG177" s="183">
        <f t="shared" ref="AG177:AQ177" si="196">D177+AF177</f>
        <v>35963</v>
      </c>
      <c r="AH177" s="183">
        <f t="shared" si="196"/>
        <v>56252</v>
      </c>
      <c r="AI177" s="183">
        <f t="shared" si="196"/>
        <v>55167</v>
      </c>
      <c r="AJ177" s="183">
        <f t="shared" si="196"/>
        <v>54071</v>
      </c>
      <c r="AK177" s="183">
        <f t="shared" si="196"/>
        <v>61469</v>
      </c>
      <c r="AL177" s="183">
        <f t="shared" si="196"/>
        <v>60622</v>
      </c>
      <c r="AM177" s="183">
        <f t="shared" si="196"/>
        <v>60433</v>
      </c>
      <c r="AN177" s="183">
        <f t="shared" si="196"/>
        <v>60176</v>
      </c>
      <c r="AO177" s="183">
        <f t="shared" si="196"/>
        <v>59162</v>
      </c>
      <c r="AP177" s="183">
        <f t="shared" si="196"/>
        <v>76164</v>
      </c>
      <c r="AQ177" s="183">
        <f t="shared" si="196"/>
        <v>97135</v>
      </c>
    </row>
    <row r="179" spans="1:43" x14ac:dyDescent="0.2">
      <c r="A179" s="673" t="s">
        <v>1210</v>
      </c>
      <c r="C179" s="674">
        <f t="shared" ref="C179:Q179" si="197">C57-C117-C177</f>
        <v>0</v>
      </c>
      <c r="D179" s="674">
        <f t="shared" si="197"/>
        <v>0</v>
      </c>
      <c r="E179" s="674">
        <f t="shared" si="197"/>
        <v>0</v>
      </c>
      <c r="F179" s="674">
        <f t="shared" si="197"/>
        <v>0</v>
      </c>
      <c r="G179" s="674">
        <f t="shared" si="197"/>
        <v>0</v>
      </c>
      <c r="H179" s="674">
        <f t="shared" si="197"/>
        <v>0</v>
      </c>
      <c r="I179" s="674">
        <f t="shared" si="197"/>
        <v>0</v>
      </c>
      <c r="J179" s="674">
        <f t="shared" si="197"/>
        <v>0</v>
      </c>
      <c r="K179" s="674">
        <f t="shared" si="197"/>
        <v>0</v>
      </c>
      <c r="L179" s="674">
        <f t="shared" si="197"/>
        <v>0</v>
      </c>
      <c r="M179" s="674">
        <f t="shared" si="197"/>
        <v>0</v>
      </c>
      <c r="N179" s="674">
        <f t="shared" si="197"/>
        <v>0</v>
      </c>
      <c r="O179" s="674">
        <f t="shared" si="197"/>
        <v>0</v>
      </c>
      <c r="P179" s="674">
        <f t="shared" si="197"/>
        <v>0</v>
      </c>
      <c r="Q179" s="674">
        <f t="shared" si="197"/>
        <v>0</v>
      </c>
      <c r="R179" s="674"/>
      <c r="T179" s="675" t="str">
        <f>A179</f>
        <v>Check #</v>
      </c>
      <c r="V179" s="674">
        <f>V57-V117-V177</f>
        <v>0</v>
      </c>
      <c r="W179" s="674">
        <f>W57-W117-W177</f>
        <v>0</v>
      </c>
      <c r="X179" s="674">
        <f>X57-X117-X177</f>
        <v>0</v>
      </c>
      <c r="Y179" s="674">
        <f>Y57-Y117-Y177</f>
        <v>0</v>
      </c>
      <c r="AA179" s="674">
        <f>AA57-AA117-AA177</f>
        <v>0</v>
      </c>
      <c r="AD179" s="673" t="str">
        <f>A179</f>
        <v>Check #</v>
      </c>
      <c r="AF179" s="674">
        <f t="shared" ref="AF179:AQ179" si="198">AF57-AF117-AF177</f>
        <v>0</v>
      </c>
      <c r="AG179" s="674">
        <f t="shared" si="198"/>
        <v>0</v>
      </c>
      <c r="AH179" s="674">
        <f t="shared" si="198"/>
        <v>0</v>
      </c>
      <c r="AI179" s="674">
        <f t="shared" si="198"/>
        <v>0</v>
      </c>
      <c r="AJ179" s="674">
        <f t="shared" si="198"/>
        <v>0</v>
      </c>
      <c r="AK179" s="674">
        <f t="shared" si="198"/>
        <v>0</v>
      </c>
      <c r="AL179" s="674">
        <f t="shared" si="198"/>
        <v>0</v>
      </c>
      <c r="AM179" s="674">
        <f t="shared" si="198"/>
        <v>0</v>
      </c>
      <c r="AN179" s="674">
        <f t="shared" si="198"/>
        <v>0</v>
      </c>
      <c r="AO179" s="674">
        <f t="shared" si="198"/>
        <v>0</v>
      </c>
      <c r="AP179" s="674">
        <f t="shared" si="198"/>
        <v>0</v>
      </c>
      <c r="AQ179" s="674">
        <f t="shared" si="198"/>
        <v>0</v>
      </c>
    </row>
    <row r="180" spans="1:43" ht="6" customHeight="1" x14ac:dyDescent="0.2"/>
    <row r="182" spans="1:43" x14ac:dyDescent="0.2">
      <c r="A182" s="605" t="str">
        <f>A1</f>
        <v xml:space="preserve"> </v>
      </c>
      <c r="F182" s="509" t="str">
        <f>F121</f>
        <v>NORTHERN NATURAL GAS COMPANY (Co. 179 &amp; 53K ONLY)</v>
      </c>
      <c r="G182" s="510"/>
      <c r="H182" s="509"/>
      <c r="I182" s="509"/>
      <c r="J182" s="509"/>
      <c r="K182" s="1009"/>
      <c r="L182" s="196"/>
      <c r="M182" s="196"/>
      <c r="N182" s="196"/>
      <c r="O182" s="196"/>
      <c r="P182" s="171"/>
      <c r="S182" s="171"/>
      <c r="T182" s="424" t="str">
        <f>A182</f>
        <v xml:space="preserve"> </v>
      </c>
      <c r="U182" s="671"/>
      <c r="V182" s="509" t="str">
        <f>F121</f>
        <v>NORTHERN NATURAL GAS COMPANY (Co. 179 &amp; 53K ONLY)</v>
      </c>
      <c r="W182" s="425"/>
      <c r="X182" s="425"/>
      <c r="Y182" s="425"/>
      <c r="Z182" s="169"/>
      <c r="AA182" s="169"/>
      <c r="AB182" s="171"/>
      <c r="AC182" s="171"/>
      <c r="AD182" s="424" t="str">
        <f>A182</f>
        <v xml:space="preserve"> </v>
      </c>
      <c r="AF182" s="171"/>
      <c r="AG182" s="171"/>
      <c r="AH182" s="171"/>
      <c r="AI182" s="509" t="str">
        <f>F121</f>
        <v>NORTHERN NATURAL GAS COMPANY (Co. 179 &amp; 53K ONLY)</v>
      </c>
      <c r="AJ182" s="509"/>
      <c r="AK182" s="509"/>
      <c r="AL182" s="514"/>
      <c r="AN182" s="171"/>
      <c r="AO182" s="171"/>
      <c r="AP182" s="171"/>
      <c r="AQ182" s="171"/>
    </row>
    <row r="183" spans="1:43" x14ac:dyDescent="0.2">
      <c r="A183" s="412" t="s">
        <v>842</v>
      </c>
      <c r="G183" s="509" t="str">
        <f>G2</f>
        <v>2002 OPERATING PLAN</v>
      </c>
      <c r="H183" s="510"/>
      <c r="I183" s="510"/>
      <c r="J183" s="510"/>
      <c r="T183" s="623" t="s">
        <v>843</v>
      </c>
      <c r="U183" s="671"/>
      <c r="V183" s="509" t="str">
        <f>V2</f>
        <v>2002 OPERATING PLAN</v>
      </c>
      <c r="W183" s="512"/>
      <c r="X183" s="512"/>
      <c r="Y183" s="512"/>
      <c r="Z183" s="166"/>
      <c r="AA183" s="166"/>
      <c r="AD183" s="623" t="s">
        <v>844</v>
      </c>
      <c r="AF183" s="171"/>
      <c r="AG183" s="171"/>
      <c r="AH183" s="171"/>
      <c r="AI183" s="509" t="str">
        <f>AI2</f>
        <v>2002 OPERATING PLAN</v>
      </c>
      <c r="AJ183" s="425"/>
      <c r="AK183" s="425"/>
      <c r="AL183" s="515"/>
      <c r="AN183" s="171"/>
      <c r="AO183" s="171"/>
      <c r="AP183" s="171"/>
      <c r="AQ183" s="171"/>
    </row>
    <row r="184" spans="1:43" x14ac:dyDescent="0.2">
      <c r="A184" s="424" t="str">
        <f>A3</f>
        <v>2002 OPERATING PLAN</v>
      </c>
      <c r="G184" s="508" t="s">
        <v>845</v>
      </c>
      <c r="H184" s="510"/>
      <c r="I184" s="510"/>
      <c r="J184" s="510"/>
      <c r="T184" s="424" t="str">
        <f>A184</f>
        <v>2002 OPERATING PLAN</v>
      </c>
      <c r="V184" s="513" t="str">
        <f>G184</f>
        <v xml:space="preserve">INCOME TAXES </v>
      </c>
      <c r="W184" s="510"/>
      <c r="X184" s="510"/>
      <c r="Y184" s="510"/>
      <c r="AD184" s="424" t="str">
        <f>A184</f>
        <v>2002 OPERATING PLAN</v>
      </c>
      <c r="AE184" s="690"/>
      <c r="AI184" s="509" t="str">
        <f>AI3</f>
        <v>CUMMULATIVE RESULTS OF OPERATION</v>
      </c>
      <c r="AJ184" s="510"/>
      <c r="AK184" s="510"/>
      <c r="AL184" s="510"/>
    </row>
    <row r="185" spans="1:43" x14ac:dyDescent="0.2">
      <c r="A185" s="166"/>
      <c r="G185" s="509" t="str">
        <f>G4</f>
        <v>(Thousands of Dollars)</v>
      </c>
      <c r="H185" s="510"/>
      <c r="I185" s="510"/>
      <c r="J185" s="510"/>
      <c r="T185" s="166"/>
      <c r="V185" s="509" t="str">
        <f>V4</f>
        <v>(Thousands of Dollars)</v>
      </c>
      <c r="W185" s="510"/>
      <c r="X185" s="510"/>
      <c r="Y185" s="510"/>
      <c r="AD185" s="166"/>
      <c r="AE185" s="690"/>
      <c r="AI185" s="509" t="str">
        <f>AI4</f>
        <v>(Thousands of Dollars)</v>
      </c>
      <c r="AJ185" s="510"/>
      <c r="AK185" s="510"/>
      <c r="AL185" s="510"/>
    </row>
    <row r="186" spans="1:43" x14ac:dyDescent="0.2">
      <c r="A186" s="164" t="str">
        <f>A125</f>
        <v xml:space="preserve">      " NNG &amp; 53K MONTHLY "</v>
      </c>
      <c r="B186" s="687">
        <f ca="1">NOW()</f>
        <v>41887.551126967592</v>
      </c>
      <c r="T186" s="166" t="str">
        <f>T125</f>
        <v xml:space="preserve">      " NNG &amp; 53K QUARTERLY "</v>
      </c>
      <c r="U186" s="687">
        <f ca="1">NOW()</f>
        <v>41887.551126967592</v>
      </c>
      <c r="AD186" s="166" t="str">
        <f>AD125</f>
        <v xml:space="preserve">      " NNG &amp; 53K CUMULATIVE "</v>
      </c>
      <c r="AE186" s="687">
        <f ca="1">NOW()</f>
        <v>41887.551126967592</v>
      </c>
    </row>
    <row r="187" spans="1:43" x14ac:dyDescent="0.2">
      <c r="A187" s="409"/>
      <c r="B187" s="688">
        <f ca="1">NOW()</f>
        <v>41887.551126967592</v>
      </c>
      <c r="T187" s="166"/>
      <c r="U187" s="688">
        <f ca="1">NOW()</f>
        <v>41887.55112708333</v>
      </c>
      <c r="AE187" s="688">
        <f ca="1">NOW()</f>
        <v>41887.551126967592</v>
      </c>
    </row>
    <row r="188" spans="1:43" x14ac:dyDescent="0.2">
      <c r="A188"/>
      <c r="B188" s="691"/>
      <c r="C188" s="425" t="str">
        <f>DataBase!C2</f>
        <v>PLAN</v>
      </c>
      <c r="D188" s="425" t="str">
        <f>DataBase!D2</f>
        <v>PLAN</v>
      </c>
      <c r="E188" s="425" t="str">
        <f>DataBase!E2</f>
        <v>PLAN</v>
      </c>
      <c r="F188" s="425" t="str">
        <f>DataBase!F2</f>
        <v>PLAN</v>
      </c>
      <c r="G188" s="425" t="str">
        <f>DataBase!G2</f>
        <v>PLAN</v>
      </c>
      <c r="H188" s="425" t="str">
        <f>DataBase!H2</f>
        <v>PLAN</v>
      </c>
      <c r="I188" s="425" t="str">
        <f>DataBase!I2</f>
        <v>PLAN</v>
      </c>
      <c r="J188" s="425" t="str">
        <f>DataBase!J2</f>
        <v>PLAN</v>
      </c>
      <c r="K188" s="425" t="str">
        <f>DataBase!K2</f>
        <v>PLAN</v>
      </c>
      <c r="L188" s="425" t="str">
        <f>DataBase!L2</f>
        <v>PLAN</v>
      </c>
      <c r="M188" s="425" t="str">
        <f>DataBase!M2</f>
        <v>PLAN</v>
      </c>
      <c r="N188" s="425" t="str">
        <f>DataBase!N2</f>
        <v>PLAN</v>
      </c>
      <c r="O188" s="425" t="str">
        <f>DataBase!O2</f>
        <v>TOTAL</v>
      </c>
      <c r="P188" s="425" t="str">
        <f>P6</f>
        <v>FEB.</v>
      </c>
      <c r="Q188" s="425" t="str">
        <f>Q6</f>
        <v>ESTIMATE</v>
      </c>
      <c r="R188" s="166"/>
      <c r="S188" s="171"/>
      <c r="U188" s="691"/>
      <c r="V188" s="173" t="str">
        <f t="shared" ref="V188:Y189" si="199">V6</f>
        <v>1st</v>
      </c>
      <c r="W188" s="173" t="str">
        <f t="shared" si="199"/>
        <v>2nd</v>
      </c>
      <c r="X188" s="173" t="str">
        <f t="shared" si="199"/>
        <v>3rd</v>
      </c>
      <c r="Y188" s="173" t="str">
        <f t="shared" si="199"/>
        <v>4th</v>
      </c>
      <c r="Z188" s="166"/>
      <c r="AA188" s="173" t="str">
        <f>AA6</f>
        <v>TOTAL</v>
      </c>
      <c r="AB188" s="171"/>
      <c r="AC188" s="171"/>
      <c r="AD188"/>
      <c r="AE188" s="691"/>
      <c r="AF188" s="172" t="str">
        <f>DataBase!C2</f>
        <v>PLAN</v>
      </c>
      <c r="AG188" s="172" t="str">
        <f>DataBase!D2</f>
        <v>PLAN</v>
      </c>
      <c r="AH188" s="172" t="str">
        <f>DataBase!E2</f>
        <v>PLAN</v>
      </c>
      <c r="AI188" s="172" t="str">
        <f>DataBase!F2</f>
        <v>PLAN</v>
      </c>
      <c r="AJ188" s="172" t="str">
        <f>DataBase!G2</f>
        <v>PLAN</v>
      </c>
      <c r="AK188" s="172" t="str">
        <f>DataBase!H2</f>
        <v>PLAN</v>
      </c>
      <c r="AL188" s="172" t="str">
        <f>DataBase!I2</f>
        <v>PLAN</v>
      </c>
      <c r="AM188" s="172" t="str">
        <f>DataBase!J2</f>
        <v>PLAN</v>
      </c>
      <c r="AN188" s="172" t="str">
        <f>DataBase!K2</f>
        <v>PLAN</v>
      </c>
      <c r="AO188" s="172" t="str">
        <f>DataBase!L2</f>
        <v>PLAN</v>
      </c>
      <c r="AP188" s="172" t="str">
        <f>DataBase!M2</f>
        <v>PLAN</v>
      </c>
      <c r="AQ188" s="172" t="str">
        <f>DataBase!N2</f>
        <v>PLAN</v>
      </c>
    </row>
    <row r="189" spans="1:43" x14ac:dyDescent="0.2">
      <c r="A189"/>
      <c r="B189" s="691"/>
      <c r="C189" s="174" t="str">
        <f t="shared" ref="C189:O189" si="200">C7</f>
        <v>JAN</v>
      </c>
      <c r="D189" s="174" t="str">
        <f t="shared" si="200"/>
        <v>FEB</v>
      </c>
      <c r="E189" s="174" t="str">
        <f t="shared" si="200"/>
        <v>MAR</v>
      </c>
      <c r="F189" s="174" t="str">
        <f t="shared" si="200"/>
        <v>APR</v>
      </c>
      <c r="G189" s="174" t="str">
        <f t="shared" si="200"/>
        <v>MAY</v>
      </c>
      <c r="H189" s="174" t="str">
        <f t="shared" si="200"/>
        <v>JUN</v>
      </c>
      <c r="I189" s="174" t="str">
        <f t="shared" si="200"/>
        <v>JUL</v>
      </c>
      <c r="J189" s="174" t="str">
        <f t="shared" si="200"/>
        <v>AUG</v>
      </c>
      <c r="K189" s="174" t="str">
        <f t="shared" si="200"/>
        <v>SEP</v>
      </c>
      <c r="L189" s="174" t="str">
        <f t="shared" si="200"/>
        <v>OCT</v>
      </c>
      <c r="M189" s="174" t="str">
        <f t="shared" si="200"/>
        <v>NOV</v>
      </c>
      <c r="N189" s="174" t="str">
        <f t="shared" si="200"/>
        <v>DEC</v>
      </c>
      <c r="O189" s="174" t="str">
        <f t="shared" si="200"/>
        <v>2002</v>
      </c>
      <c r="P189" s="174" t="str">
        <f>P7</f>
        <v>Y-T-D</v>
      </c>
      <c r="Q189" s="174" t="str">
        <f>Q7</f>
        <v>R.M.</v>
      </c>
      <c r="R189" s="192"/>
      <c r="S189" s="188"/>
      <c r="U189" s="691"/>
      <c r="V189" s="197" t="str">
        <f t="shared" si="199"/>
        <v>Quarter</v>
      </c>
      <c r="W189" s="197" t="str">
        <f t="shared" si="199"/>
        <v>Quarter</v>
      </c>
      <c r="X189" s="197" t="str">
        <f t="shared" si="199"/>
        <v>Quarter</v>
      </c>
      <c r="Y189" s="197" t="str">
        <f t="shared" si="199"/>
        <v>Quarter</v>
      </c>
      <c r="Z189" s="176"/>
      <c r="AA189" s="197" t="str">
        <f>AA7</f>
        <v>2002</v>
      </c>
      <c r="AB189" s="188"/>
      <c r="AC189" s="188"/>
      <c r="AD189"/>
      <c r="AE189" s="691"/>
      <c r="AF189" s="174" t="str">
        <f t="shared" ref="AF189:AQ189" si="201">C7</f>
        <v>JAN</v>
      </c>
      <c r="AG189" s="174" t="str">
        <f t="shared" si="201"/>
        <v>FEB</v>
      </c>
      <c r="AH189" s="174" t="str">
        <f t="shared" si="201"/>
        <v>MAR</v>
      </c>
      <c r="AI189" s="174" t="str">
        <f t="shared" si="201"/>
        <v>APR</v>
      </c>
      <c r="AJ189" s="174" t="str">
        <f t="shared" si="201"/>
        <v>MAY</v>
      </c>
      <c r="AK189" s="174" t="str">
        <f t="shared" si="201"/>
        <v>JUN</v>
      </c>
      <c r="AL189" s="174" t="str">
        <f t="shared" si="201"/>
        <v>JUL</v>
      </c>
      <c r="AM189" s="174" t="str">
        <f t="shared" si="201"/>
        <v>AUG</v>
      </c>
      <c r="AN189" s="174" t="str">
        <f t="shared" si="201"/>
        <v>SEP</v>
      </c>
      <c r="AO189" s="174" t="str">
        <f t="shared" si="201"/>
        <v>OCT</v>
      </c>
      <c r="AP189" s="174" t="str">
        <f t="shared" si="201"/>
        <v>NOV</v>
      </c>
      <c r="AQ189" s="174" t="str">
        <f t="shared" si="201"/>
        <v>DEC</v>
      </c>
    </row>
    <row r="190" spans="1:43" ht="6" customHeight="1" x14ac:dyDescent="0.2">
      <c r="A190" s="409"/>
      <c r="C190" s="166"/>
      <c r="D190" s="166"/>
      <c r="E190" s="166"/>
      <c r="F190" s="166"/>
      <c r="G190" s="166"/>
      <c r="H190" s="166"/>
      <c r="I190" s="166"/>
      <c r="J190" s="166"/>
      <c r="K190" s="166"/>
      <c r="L190" s="166"/>
      <c r="M190" s="166"/>
      <c r="N190" s="166"/>
      <c r="O190" s="166"/>
      <c r="P190" s="166"/>
      <c r="Q190" s="166"/>
      <c r="AD190" s="171"/>
    </row>
    <row r="191" spans="1:43" x14ac:dyDescent="0.2">
      <c r="A191" s="418" t="s">
        <v>949</v>
      </c>
      <c r="B191" s="671"/>
      <c r="C191" s="179">
        <f>C170+'Fuel-Depr-OtherTax'!C24</f>
        <v>30340</v>
      </c>
      <c r="D191" s="179">
        <f>D170+'Fuel-Depr-OtherTax'!D24</f>
        <v>29152</v>
      </c>
      <c r="E191" s="179">
        <f>E170+'Fuel-Depr-OtherTax'!E24</f>
        <v>33559</v>
      </c>
      <c r="F191" s="179">
        <f>F170+'Fuel-Depr-OtherTax'!F24</f>
        <v>-1755</v>
      </c>
      <c r="G191" s="179">
        <f>G170+'Fuel-Depr-OtherTax'!G24</f>
        <v>-1773</v>
      </c>
      <c r="H191" s="179">
        <f>H170+'Fuel-Depr-OtherTax'!H24</f>
        <v>12261</v>
      </c>
      <c r="I191" s="179">
        <f>I170+'Fuel-Depr-OtherTax'!I24</f>
        <v>-1362</v>
      </c>
      <c r="J191" s="179">
        <f>J170+'Fuel-Depr-OtherTax'!J24</f>
        <v>-274</v>
      </c>
      <c r="K191" s="179">
        <f>K170+'Fuel-Depr-OtherTax'!K24</f>
        <v>-387</v>
      </c>
      <c r="L191" s="179">
        <f>L170+'Fuel-Depr-OtherTax'!L24</f>
        <v>-1637</v>
      </c>
      <c r="M191" s="179">
        <f>M170+'Fuel-Depr-OtherTax'!M24</f>
        <v>28127</v>
      </c>
      <c r="N191" s="179">
        <f>N170+'Fuel-Depr-OtherTax'!N24</f>
        <v>34685</v>
      </c>
      <c r="O191" s="179">
        <f>SUM(C191:N191)</f>
        <v>160936</v>
      </c>
      <c r="P191" s="180">
        <f>SUM(C191:D191)</f>
        <v>59492</v>
      </c>
      <c r="Q191" s="179">
        <f>O191-P191</f>
        <v>101444</v>
      </c>
      <c r="R191" s="171"/>
      <c r="S191" s="171"/>
      <c r="T191" s="177" t="str">
        <f>A191</f>
        <v>Income Before Income Taxes (W/O Co. 53K DD&amp;A)</v>
      </c>
      <c r="V191" s="179">
        <f>C191+D191+E191</f>
        <v>93051</v>
      </c>
      <c r="W191" s="179">
        <f>F191+G191+H191</f>
        <v>8733</v>
      </c>
      <c r="X191" s="179">
        <f>I191+J191+K191</f>
        <v>-2023</v>
      </c>
      <c r="Y191" s="179">
        <f>L191+M191+N191</f>
        <v>61175</v>
      </c>
      <c r="Z191" s="179"/>
      <c r="AA191" s="179">
        <f>SUM(V191:Y191)</f>
        <v>160936</v>
      </c>
      <c r="AB191" s="171"/>
      <c r="AC191" s="171"/>
      <c r="AD191" s="177" t="str">
        <f>A191</f>
        <v>Income Before Income Taxes (W/O Co. 53K DD&amp;A)</v>
      </c>
      <c r="AF191" s="179">
        <f>C191</f>
        <v>30340</v>
      </c>
      <c r="AG191" s="179">
        <f t="shared" ref="AG191:AQ192" si="202">D191+AF191</f>
        <v>59492</v>
      </c>
      <c r="AH191" s="179">
        <f t="shared" si="202"/>
        <v>93051</v>
      </c>
      <c r="AI191" s="179">
        <f t="shared" si="202"/>
        <v>91296</v>
      </c>
      <c r="AJ191" s="179">
        <f t="shared" si="202"/>
        <v>89523</v>
      </c>
      <c r="AK191" s="179">
        <f t="shared" si="202"/>
        <v>101784</v>
      </c>
      <c r="AL191" s="179">
        <f t="shared" si="202"/>
        <v>100422</v>
      </c>
      <c r="AM191" s="179">
        <f t="shared" si="202"/>
        <v>100148</v>
      </c>
      <c r="AN191" s="179">
        <f t="shared" si="202"/>
        <v>99761</v>
      </c>
      <c r="AO191" s="179">
        <f t="shared" si="202"/>
        <v>98124</v>
      </c>
      <c r="AP191" s="179">
        <f t="shared" si="202"/>
        <v>126251</v>
      </c>
      <c r="AQ191" s="179">
        <f t="shared" si="202"/>
        <v>160936</v>
      </c>
    </row>
    <row r="192" spans="1:43" x14ac:dyDescent="0.2">
      <c r="A192" s="178" t="s">
        <v>848</v>
      </c>
      <c r="C192" s="182">
        <f t="shared" ref="C192:O192" si="203">C218</f>
        <v>15</v>
      </c>
      <c r="D192" s="182">
        <f t="shared" si="203"/>
        <v>15</v>
      </c>
      <c r="E192" s="182">
        <f t="shared" si="203"/>
        <v>15</v>
      </c>
      <c r="F192" s="182">
        <f t="shared" si="203"/>
        <v>15</v>
      </c>
      <c r="G192" s="182">
        <f t="shared" si="203"/>
        <v>15</v>
      </c>
      <c r="H192" s="182">
        <f t="shared" si="203"/>
        <v>15</v>
      </c>
      <c r="I192" s="182">
        <f t="shared" si="203"/>
        <v>15</v>
      </c>
      <c r="J192" s="182">
        <f t="shared" si="203"/>
        <v>15</v>
      </c>
      <c r="K192" s="182">
        <f t="shared" si="203"/>
        <v>15</v>
      </c>
      <c r="L192" s="182">
        <f t="shared" si="203"/>
        <v>15</v>
      </c>
      <c r="M192" s="182">
        <f t="shared" si="203"/>
        <v>15</v>
      </c>
      <c r="N192" s="182">
        <f t="shared" si="203"/>
        <v>15</v>
      </c>
      <c r="O192" s="182">
        <f t="shared" si="203"/>
        <v>180</v>
      </c>
      <c r="P192" s="273">
        <f>SUM(C192:D192)</f>
        <v>30</v>
      </c>
      <c r="Q192" s="182">
        <f>O192-P192</f>
        <v>150</v>
      </c>
      <c r="R192" s="171"/>
      <c r="S192" s="171"/>
      <c r="T192" s="181" t="str">
        <f>A192</f>
        <v xml:space="preserve">    Income Tax Adjustments</v>
      </c>
      <c r="V192" s="182">
        <f>C192+D192+E192</f>
        <v>45</v>
      </c>
      <c r="W192" s="182">
        <f>F192+G192+H192</f>
        <v>45</v>
      </c>
      <c r="X192" s="182">
        <f>I192+J192+K192</f>
        <v>45</v>
      </c>
      <c r="Y192" s="182">
        <f>L192+M192+N192</f>
        <v>45</v>
      </c>
      <c r="Z192" s="182"/>
      <c r="AA192" s="182">
        <f>SUM(V192:Y192)</f>
        <v>180</v>
      </c>
      <c r="AB192" s="171"/>
      <c r="AC192" s="171"/>
      <c r="AD192" s="181" t="str">
        <f>A192</f>
        <v xml:space="preserve">    Income Tax Adjustments</v>
      </c>
      <c r="AF192" s="182">
        <f>C192</f>
        <v>15</v>
      </c>
      <c r="AG192" s="182">
        <f t="shared" si="202"/>
        <v>30</v>
      </c>
      <c r="AH192" s="182">
        <f t="shared" si="202"/>
        <v>45</v>
      </c>
      <c r="AI192" s="182">
        <f t="shared" si="202"/>
        <v>60</v>
      </c>
      <c r="AJ192" s="182">
        <f t="shared" si="202"/>
        <v>75</v>
      </c>
      <c r="AK192" s="182">
        <f t="shared" si="202"/>
        <v>90</v>
      </c>
      <c r="AL192" s="182">
        <f t="shared" si="202"/>
        <v>105</v>
      </c>
      <c r="AM192" s="182">
        <f t="shared" si="202"/>
        <v>120</v>
      </c>
      <c r="AN192" s="182">
        <f t="shared" si="202"/>
        <v>135</v>
      </c>
      <c r="AO192" s="182">
        <f t="shared" si="202"/>
        <v>150</v>
      </c>
      <c r="AP192" s="182">
        <f t="shared" si="202"/>
        <v>165</v>
      </c>
      <c r="AQ192" s="182">
        <f t="shared" si="202"/>
        <v>180</v>
      </c>
    </row>
    <row r="193" spans="1:43" ht="6" customHeight="1" x14ac:dyDescent="0.2">
      <c r="A193" s="171"/>
      <c r="C193" s="180"/>
      <c r="D193" s="180"/>
      <c r="E193" s="180"/>
      <c r="F193" s="180"/>
      <c r="G193" s="180"/>
      <c r="H193" s="180"/>
      <c r="I193" s="180"/>
      <c r="J193" s="180"/>
      <c r="K193" s="180"/>
      <c r="L193" s="180"/>
      <c r="M193" s="180"/>
      <c r="N193" s="180"/>
      <c r="O193" s="180"/>
      <c r="P193" s="180"/>
      <c r="Q193" s="179"/>
      <c r="R193" s="171"/>
      <c r="S193" s="171"/>
      <c r="T193" s="181"/>
      <c r="V193" s="179"/>
      <c r="W193" s="179"/>
      <c r="X193" s="179"/>
      <c r="Y193" s="179"/>
      <c r="Z193" s="179"/>
      <c r="AA193" s="179"/>
      <c r="AB193" s="171"/>
      <c r="AC193" s="171"/>
      <c r="AD193" s="181"/>
      <c r="AF193" s="179"/>
      <c r="AG193" s="179"/>
      <c r="AH193" s="179"/>
      <c r="AI193" s="179"/>
      <c r="AJ193" s="179"/>
      <c r="AK193" s="179"/>
      <c r="AL193" s="179"/>
      <c r="AM193" s="179"/>
      <c r="AN193" s="179"/>
      <c r="AO193" s="179"/>
      <c r="AP193" s="179"/>
      <c r="AQ193" s="179"/>
    </row>
    <row r="194" spans="1:43" x14ac:dyDescent="0.2">
      <c r="A194" s="408" t="s">
        <v>849</v>
      </c>
      <c r="B194" s="671"/>
      <c r="C194" s="179">
        <f t="shared" ref="C194:O194" si="204">ROUND(+C191+C192,0)</f>
        <v>30355</v>
      </c>
      <c r="D194" s="179">
        <f t="shared" si="204"/>
        <v>29167</v>
      </c>
      <c r="E194" s="179">
        <f t="shared" si="204"/>
        <v>33574</v>
      </c>
      <c r="F194" s="179">
        <f t="shared" si="204"/>
        <v>-1740</v>
      </c>
      <c r="G194" s="179">
        <f t="shared" si="204"/>
        <v>-1758</v>
      </c>
      <c r="H194" s="179">
        <f t="shared" si="204"/>
        <v>12276</v>
      </c>
      <c r="I194" s="179">
        <f t="shared" si="204"/>
        <v>-1347</v>
      </c>
      <c r="J194" s="179">
        <f t="shared" si="204"/>
        <v>-259</v>
      </c>
      <c r="K194" s="179">
        <f t="shared" si="204"/>
        <v>-372</v>
      </c>
      <c r="L194" s="179">
        <f t="shared" si="204"/>
        <v>-1622</v>
      </c>
      <c r="M194" s="179">
        <f t="shared" si="204"/>
        <v>28142</v>
      </c>
      <c r="N194" s="179">
        <f t="shared" si="204"/>
        <v>34700</v>
      </c>
      <c r="O194" s="179">
        <f t="shared" si="204"/>
        <v>161116</v>
      </c>
      <c r="P194" s="179">
        <f>P191+P192</f>
        <v>59522</v>
      </c>
      <c r="Q194" s="179">
        <f>Q191+Q192</f>
        <v>101594</v>
      </c>
      <c r="R194" s="169"/>
      <c r="S194" s="171"/>
      <c r="T194" s="177" t="str">
        <f>A194</f>
        <v>Taxable Income</v>
      </c>
      <c r="V194" s="179">
        <f>C194+D194+E194</f>
        <v>93096</v>
      </c>
      <c r="W194" s="179">
        <f>F194+G194+H194</f>
        <v>8778</v>
      </c>
      <c r="X194" s="179">
        <f>I194+J194+K194</f>
        <v>-1978</v>
      </c>
      <c r="Y194" s="179">
        <f>L194+M194+N194</f>
        <v>61220</v>
      </c>
      <c r="Z194" s="179"/>
      <c r="AA194" s="179">
        <f>SUM(V194:Y194)</f>
        <v>161116</v>
      </c>
      <c r="AD194" s="177" t="str">
        <f>A194</f>
        <v>Taxable Income</v>
      </c>
      <c r="AF194" s="179">
        <f>C194</f>
        <v>30355</v>
      </c>
      <c r="AG194" s="179">
        <f t="shared" ref="AG194:AQ194" si="205">D194+AF194</f>
        <v>59522</v>
      </c>
      <c r="AH194" s="179">
        <f t="shared" si="205"/>
        <v>93096</v>
      </c>
      <c r="AI194" s="179">
        <f t="shared" si="205"/>
        <v>91356</v>
      </c>
      <c r="AJ194" s="179">
        <f t="shared" si="205"/>
        <v>89598</v>
      </c>
      <c r="AK194" s="179">
        <f t="shared" si="205"/>
        <v>101874</v>
      </c>
      <c r="AL194" s="179">
        <f t="shared" si="205"/>
        <v>100527</v>
      </c>
      <c r="AM194" s="179">
        <f t="shared" si="205"/>
        <v>100268</v>
      </c>
      <c r="AN194" s="179">
        <f t="shared" si="205"/>
        <v>99896</v>
      </c>
      <c r="AO194" s="179">
        <f t="shared" si="205"/>
        <v>98274</v>
      </c>
      <c r="AP194" s="179">
        <f t="shared" si="205"/>
        <v>126416</v>
      </c>
      <c r="AQ194" s="179">
        <f t="shared" si="205"/>
        <v>161116</v>
      </c>
    </row>
    <row r="195" spans="1:43" x14ac:dyDescent="0.2">
      <c r="A195" s="187" t="s">
        <v>850</v>
      </c>
      <c r="C195" s="506">
        <v>0.39473000000000003</v>
      </c>
      <c r="D195" s="506">
        <v>0.39473000000000003</v>
      </c>
      <c r="E195" s="506">
        <v>0.39473000000000003</v>
      </c>
      <c r="F195" s="506">
        <v>0.39473000000000003</v>
      </c>
      <c r="G195" s="506">
        <v>0.39473000000000003</v>
      </c>
      <c r="H195" s="506">
        <v>0.39473000000000003</v>
      </c>
      <c r="I195" s="506">
        <v>0.39473000000000003</v>
      </c>
      <c r="J195" s="506">
        <v>0.39473000000000003</v>
      </c>
      <c r="K195" s="506">
        <v>0.39473000000000003</v>
      </c>
      <c r="L195" s="506">
        <v>0.39473000000000003</v>
      </c>
      <c r="M195" s="506">
        <v>0.39473000000000003</v>
      </c>
      <c r="N195" s="506">
        <v>0.39473000000000003</v>
      </c>
      <c r="O195" s="199">
        <f>ROUND(O197/O194,5)</f>
        <v>0.39473000000000003</v>
      </c>
      <c r="P195" s="199">
        <f>ROUND(P197/P194,5)</f>
        <v>0.39473000000000003</v>
      </c>
      <c r="Q195" s="199">
        <f>ROUND(Q197/Q194,5)</f>
        <v>0.39473000000000003</v>
      </c>
      <c r="S195" s="171"/>
      <c r="T195" s="181" t="str">
        <f>A195</f>
        <v xml:space="preserve">     x Tax Rate</v>
      </c>
      <c r="V195" s="199">
        <f>ROUND(V197/V194,5)</f>
        <v>0.39473000000000003</v>
      </c>
      <c r="W195" s="199">
        <f>ROUND(W197/W194,5)</f>
        <v>0.39473999999999998</v>
      </c>
      <c r="X195" s="199">
        <f>ROUND(X197/X194,5)</f>
        <v>0.39484000000000002</v>
      </c>
      <c r="Y195" s="199">
        <f>ROUND(Y197/Y194,5)</f>
        <v>0.39472000000000002</v>
      </c>
      <c r="Z195" s="198"/>
      <c r="AA195" s="199">
        <f>ROUND(AA197/AA194,5)</f>
        <v>0.39473000000000003</v>
      </c>
      <c r="AD195" s="181" t="str">
        <f>A195</f>
        <v xml:space="preserve">     x Tax Rate</v>
      </c>
      <c r="AF195" s="199">
        <f>C195</f>
        <v>0.39473000000000003</v>
      </c>
      <c r="AG195" s="199">
        <f t="shared" ref="AG195:AQ195" si="206">D195</f>
        <v>0.39473000000000003</v>
      </c>
      <c r="AH195" s="199">
        <f t="shared" si="206"/>
        <v>0.39473000000000003</v>
      </c>
      <c r="AI195" s="199">
        <f t="shared" si="206"/>
        <v>0.39473000000000003</v>
      </c>
      <c r="AJ195" s="199">
        <f t="shared" si="206"/>
        <v>0.39473000000000003</v>
      </c>
      <c r="AK195" s="199">
        <f t="shared" si="206"/>
        <v>0.39473000000000003</v>
      </c>
      <c r="AL195" s="199">
        <f t="shared" si="206"/>
        <v>0.39473000000000003</v>
      </c>
      <c r="AM195" s="199">
        <f t="shared" si="206"/>
        <v>0.39473000000000003</v>
      </c>
      <c r="AN195" s="199">
        <f t="shared" si="206"/>
        <v>0.39473000000000003</v>
      </c>
      <c r="AO195" s="199">
        <f t="shared" si="206"/>
        <v>0.39473000000000003</v>
      </c>
      <c r="AP195" s="199">
        <f t="shared" si="206"/>
        <v>0.39473000000000003</v>
      </c>
      <c r="AQ195" s="199">
        <f t="shared" si="206"/>
        <v>0.39473000000000003</v>
      </c>
    </row>
    <row r="196" spans="1:43" ht="6" customHeight="1" x14ac:dyDescent="0.2">
      <c r="A196" s="409"/>
      <c r="C196" s="191"/>
      <c r="D196" s="191"/>
      <c r="E196" s="191"/>
      <c r="F196" s="191"/>
      <c r="G196" s="191"/>
      <c r="H196" s="191"/>
      <c r="I196" s="191"/>
      <c r="J196" s="191"/>
      <c r="K196" s="191"/>
      <c r="L196" s="191"/>
      <c r="M196" s="191"/>
      <c r="N196" s="191"/>
      <c r="O196" s="191"/>
    </row>
    <row r="197" spans="1:43" x14ac:dyDescent="0.2">
      <c r="A197" s="407" t="s">
        <v>851</v>
      </c>
      <c r="B197" s="671"/>
      <c r="C197" s="182">
        <f t="shared" ref="C197:N197" si="207">ROUND(C194*C195,0)</f>
        <v>11982</v>
      </c>
      <c r="D197" s="182">
        <f t="shared" si="207"/>
        <v>11513</v>
      </c>
      <c r="E197" s="182">
        <f t="shared" si="207"/>
        <v>13253</v>
      </c>
      <c r="F197" s="182">
        <f t="shared" si="207"/>
        <v>-687</v>
      </c>
      <c r="G197" s="182">
        <f t="shared" si="207"/>
        <v>-694</v>
      </c>
      <c r="H197" s="182">
        <f t="shared" si="207"/>
        <v>4846</v>
      </c>
      <c r="I197" s="182">
        <f t="shared" si="207"/>
        <v>-532</v>
      </c>
      <c r="J197" s="182">
        <f t="shared" si="207"/>
        <v>-102</v>
      </c>
      <c r="K197" s="182">
        <f t="shared" si="207"/>
        <v>-147</v>
      </c>
      <c r="L197" s="182">
        <f t="shared" si="207"/>
        <v>-640</v>
      </c>
      <c r="M197" s="182">
        <f t="shared" si="207"/>
        <v>11108</v>
      </c>
      <c r="N197" s="182">
        <f t="shared" si="207"/>
        <v>13697</v>
      </c>
      <c r="O197" s="182">
        <f>SUM(C197:N197)</f>
        <v>63597</v>
      </c>
      <c r="P197" s="273">
        <f>SUM(C197:D197)</f>
        <v>23495</v>
      </c>
      <c r="Q197" s="182">
        <f>O197-P197</f>
        <v>40102</v>
      </c>
      <c r="R197" s="166"/>
      <c r="S197" s="169"/>
      <c r="T197" s="177" t="str">
        <f>A197</f>
        <v>Base Tax Expense</v>
      </c>
      <c r="U197" s="671"/>
      <c r="V197" s="182">
        <f>C197+D197+E197</f>
        <v>36748</v>
      </c>
      <c r="W197" s="182">
        <f>F197+G197+H197</f>
        <v>3465</v>
      </c>
      <c r="X197" s="182">
        <f>I197+J197+K197</f>
        <v>-781</v>
      </c>
      <c r="Y197" s="182">
        <f>L197+M197+N197</f>
        <v>24165</v>
      </c>
      <c r="Z197" s="182"/>
      <c r="AA197" s="182">
        <f>SUM(V197:Y197)</f>
        <v>63597</v>
      </c>
      <c r="AD197" s="177" t="str">
        <f>A197</f>
        <v>Base Tax Expense</v>
      </c>
      <c r="AF197" s="182">
        <f>C197</f>
        <v>11982</v>
      </c>
      <c r="AG197" s="182">
        <f t="shared" ref="AG197:AQ197" si="208">D197+AF197</f>
        <v>23495</v>
      </c>
      <c r="AH197" s="182">
        <f t="shared" si="208"/>
        <v>36748</v>
      </c>
      <c r="AI197" s="182">
        <f t="shared" si="208"/>
        <v>36061</v>
      </c>
      <c r="AJ197" s="182">
        <f t="shared" si="208"/>
        <v>35367</v>
      </c>
      <c r="AK197" s="182">
        <f t="shared" si="208"/>
        <v>40213</v>
      </c>
      <c r="AL197" s="182">
        <f t="shared" si="208"/>
        <v>39681</v>
      </c>
      <c r="AM197" s="182">
        <f t="shared" si="208"/>
        <v>39579</v>
      </c>
      <c r="AN197" s="182">
        <f t="shared" si="208"/>
        <v>39432</v>
      </c>
      <c r="AO197" s="182">
        <f t="shared" si="208"/>
        <v>38792</v>
      </c>
      <c r="AP197" s="182">
        <f t="shared" si="208"/>
        <v>49900</v>
      </c>
      <c r="AQ197" s="182">
        <f t="shared" si="208"/>
        <v>63597</v>
      </c>
    </row>
    <row r="198" spans="1:43" ht="6" customHeight="1" x14ac:dyDescent="0.2">
      <c r="A198" s="409"/>
      <c r="C198" s="171"/>
      <c r="D198" s="171"/>
      <c r="E198" s="171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S198" s="171"/>
      <c r="V198" s="179"/>
      <c r="W198" s="179"/>
      <c r="X198" s="179"/>
      <c r="Y198" s="179"/>
      <c r="Z198" s="179"/>
      <c r="AA198" s="179"/>
      <c r="AF198" s="179"/>
      <c r="AG198" s="179"/>
      <c r="AH198" s="179"/>
      <c r="AI198" s="179"/>
      <c r="AJ198" s="179"/>
      <c r="AK198" s="179"/>
      <c r="AL198" s="179"/>
      <c r="AM198" s="179"/>
      <c r="AN198" s="179"/>
      <c r="AO198" s="179"/>
      <c r="AP198" s="179"/>
      <c r="AQ198" s="179"/>
    </row>
    <row r="199" spans="1:43" x14ac:dyDescent="0.2">
      <c r="A199" s="407" t="s">
        <v>852</v>
      </c>
      <c r="C199" s="171"/>
      <c r="D199" s="171"/>
      <c r="E199" s="171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S199" s="171"/>
      <c r="T199" s="177" t="str">
        <f t="shared" ref="T199:T205" si="209">A199</f>
        <v>Tax Debits (Credits)</v>
      </c>
      <c r="V199" s="179"/>
      <c r="W199" s="179"/>
      <c r="X199" s="179"/>
      <c r="Y199" s="179"/>
      <c r="Z199" s="179"/>
      <c r="AA199" s="179"/>
      <c r="AD199" s="177" t="str">
        <f t="shared" ref="AD199:AD205" si="210">A199</f>
        <v>Tax Debits (Credits)</v>
      </c>
      <c r="AF199" s="179"/>
      <c r="AG199" s="179"/>
      <c r="AH199" s="179"/>
      <c r="AI199" s="179"/>
      <c r="AJ199" s="179"/>
      <c r="AK199" s="179"/>
      <c r="AL199" s="179"/>
      <c r="AM199" s="179"/>
      <c r="AN199" s="179"/>
      <c r="AO199" s="179"/>
      <c r="AP199" s="179"/>
      <c r="AQ199" s="179"/>
    </row>
    <row r="200" spans="1:43" x14ac:dyDescent="0.2">
      <c r="A200" s="421" t="s">
        <v>853</v>
      </c>
      <c r="C200" s="180">
        <v>0</v>
      </c>
      <c r="D200" s="180">
        <v>0</v>
      </c>
      <c r="E200" s="180">
        <v>0</v>
      </c>
      <c r="F200" s="180">
        <v>0</v>
      </c>
      <c r="G200" s="180">
        <v>0</v>
      </c>
      <c r="H200" s="180">
        <v>0</v>
      </c>
      <c r="I200" s="180">
        <v>0</v>
      </c>
      <c r="J200" s="180">
        <v>0</v>
      </c>
      <c r="K200" s="180">
        <v>0</v>
      </c>
      <c r="L200" s="180">
        <v>0</v>
      </c>
      <c r="M200" s="180">
        <v>0</v>
      </c>
      <c r="N200" s="180">
        <v>0</v>
      </c>
      <c r="O200" s="179">
        <f t="shared" ref="O200:O206" si="211">SUM(C200:N200)</f>
        <v>0</v>
      </c>
      <c r="P200" s="180">
        <f t="shared" ref="P200:P206" si="212">SUM(C200:D200)</f>
        <v>0</v>
      </c>
      <c r="Q200" s="179">
        <f t="shared" ref="Q200:Q206" si="213">O200-P200</f>
        <v>0</v>
      </c>
      <c r="S200" s="171"/>
      <c r="T200" s="181" t="str">
        <f t="shared" si="209"/>
        <v xml:space="preserve">    Others, net</v>
      </c>
      <c r="V200" s="179">
        <f t="shared" ref="V200:V206" si="214">C200+D200+E200</f>
        <v>0</v>
      </c>
      <c r="W200" s="179">
        <f t="shared" ref="W200:W206" si="215">F200+G200+H200</f>
        <v>0</v>
      </c>
      <c r="X200" s="179">
        <f t="shared" ref="X200:X206" si="216">I200+J200+K200</f>
        <v>0</v>
      </c>
      <c r="Y200" s="179">
        <f t="shared" ref="Y200:Y206" si="217">L200+M200+N200</f>
        <v>0</v>
      </c>
      <c r="Z200" s="179"/>
      <c r="AA200" s="179">
        <f t="shared" ref="AA200:AA206" si="218">SUM(V200:Y200)</f>
        <v>0</v>
      </c>
      <c r="AD200" s="181" t="str">
        <f t="shared" si="210"/>
        <v xml:space="preserve">    Others, net</v>
      </c>
      <c r="AF200" s="179">
        <f>C200</f>
        <v>0</v>
      </c>
      <c r="AG200" s="179">
        <f t="shared" ref="AG200:AQ206" si="219">D200+AF200</f>
        <v>0</v>
      </c>
      <c r="AH200" s="179">
        <f t="shared" si="219"/>
        <v>0</v>
      </c>
      <c r="AI200" s="179">
        <f t="shared" si="219"/>
        <v>0</v>
      </c>
      <c r="AJ200" s="179">
        <f t="shared" si="219"/>
        <v>0</v>
      </c>
      <c r="AK200" s="179">
        <f t="shared" si="219"/>
        <v>0</v>
      </c>
      <c r="AL200" s="179">
        <f t="shared" si="219"/>
        <v>0</v>
      </c>
      <c r="AM200" s="179">
        <f t="shared" si="219"/>
        <v>0</v>
      </c>
      <c r="AN200" s="179">
        <f t="shared" si="219"/>
        <v>0</v>
      </c>
      <c r="AO200" s="179">
        <f t="shared" si="219"/>
        <v>0</v>
      </c>
      <c r="AP200" s="179">
        <f t="shared" si="219"/>
        <v>0</v>
      </c>
      <c r="AQ200" s="179">
        <f t="shared" si="219"/>
        <v>0</v>
      </c>
    </row>
    <row r="201" spans="1:43" x14ac:dyDescent="0.2">
      <c r="A201" s="421" t="s">
        <v>950</v>
      </c>
      <c r="C201" s="537">
        <f>ROUND(-'Fuel-Depr-OtherTax'!C24*0.35,0)</f>
        <v>-9</v>
      </c>
      <c r="D201" s="537">
        <f>ROUND(-'Fuel-Depr-OtherTax'!D24*0.35,0)</f>
        <v>-9</v>
      </c>
      <c r="E201" s="537">
        <f>ROUND(-'Fuel-Depr-OtherTax'!E24*0.35,0)</f>
        <v>-9</v>
      </c>
      <c r="F201" s="537">
        <f>ROUND(-'Fuel-Depr-OtherTax'!F24*0.35,0)</f>
        <v>-9</v>
      </c>
      <c r="G201" s="537">
        <f>ROUND(-'Fuel-Depr-OtherTax'!G24*0.35,0)</f>
        <v>-9</v>
      </c>
      <c r="H201" s="537">
        <f>ROUND(-'Fuel-Depr-OtherTax'!H24*0.35,0)</f>
        <v>-9</v>
      </c>
      <c r="I201" s="537">
        <f>ROUND(-'Fuel-Depr-OtherTax'!I24*0.35,0)</f>
        <v>-9</v>
      </c>
      <c r="J201" s="537">
        <f>ROUND(-'Fuel-Depr-OtherTax'!J24*0.35,0)</f>
        <v>-9</v>
      </c>
      <c r="K201" s="537">
        <f>ROUND(-'Fuel-Depr-OtherTax'!K24*0.35,0)</f>
        <v>-9</v>
      </c>
      <c r="L201" s="537">
        <f>ROUND(-'Fuel-Depr-OtherTax'!L24*0.35,0)</f>
        <v>-9</v>
      </c>
      <c r="M201" s="537">
        <f>ROUND(-'Fuel-Depr-OtherTax'!M24*0.35,0)</f>
        <v>-9</v>
      </c>
      <c r="N201" s="537">
        <f>ROUND(-'Fuel-Depr-OtherTax'!N24*0.35,0)</f>
        <v>-9</v>
      </c>
      <c r="O201" s="179">
        <f t="shared" si="211"/>
        <v>-108</v>
      </c>
      <c r="P201" s="180">
        <f t="shared" si="212"/>
        <v>-18</v>
      </c>
      <c r="Q201" s="179">
        <f t="shared" si="213"/>
        <v>-90</v>
      </c>
      <c r="S201" s="171"/>
      <c r="T201" s="181" t="str">
        <f t="shared" si="209"/>
        <v xml:space="preserve">    Sub's Taxes (Co. 53K DD&amp;A @ 35.00%)</v>
      </c>
      <c r="V201" s="179">
        <f t="shared" si="214"/>
        <v>-27</v>
      </c>
      <c r="W201" s="179">
        <f t="shared" si="215"/>
        <v>-27</v>
      </c>
      <c r="X201" s="179">
        <f t="shared" si="216"/>
        <v>-27</v>
      </c>
      <c r="Y201" s="179">
        <f t="shared" si="217"/>
        <v>-27</v>
      </c>
      <c r="Z201" s="179"/>
      <c r="AA201" s="179">
        <f t="shared" si="218"/>
        <v>-108</v>
      </c>
      <c r="AD201" s="181" t="str">
        <f t="shared" si="210"/>
        <v xml:space="preserve">    Sub's Taxes (Co. 53K DD&amp;A @ 35.00%)</v>
      </c>
      <c r="AF201" s="179">
        <f>C201</f>
        <v>-9</v>
      </c>
      <c r="AG201" s="179">
        <f t="shared" si="219"/>
        <v>-18</v>
      </c>
      <c r="AH201" s="179">
        <f t="shared" si="219"/>
        <v>-27</v>
      </c>
      <c r="AI201" s="179">
        <f t="shared" si="219"/>
        <v>-36</v>
      </c>
      <c r="AJ201" s="179">
        <f t="shared" si="219"/>
        <v>-45</v>
      </c>
      <c r="AK201" s="179">
        <f t="shared" si="219"/>
        <v>-54</v>
      </c>
      <c r="AL201" s="179">
        <f t="shared" si="219"/>
        <v>-63</v>
      </c>
      <c r="AM201" s="179">
        <f t="shared" si="219"/>
        <v>-72</v>
      </c>
      <c r="AN201" s="179">
        <f t="shared" si="219"/>
        <v>-81</v>
      </c>
      <c r="AO201" s="179">
        <f t="shared" si="219"/>
        <v>-90</v>
      </c>
      <c r="AP201" s="179">
        <f t="shared" si="219"/>
        <v>-99</v>
      </c>
      <c r="AQ201" s="179">
        <f t="shared" si="219"/>
        <v>-108</v>
      </c>
    </row>
    <row r="202" spans="1:43" x14ac:dyDescent="0.2">
      <c r="A202" s="421" t="s">
        <v>1105</v>
      </c>
      <c r="C202" s="180">
        <v>0</v>
      </c>
      <c r="D202" s="180">
        <v>0</v>
      </c>
      <c r="E202" s="180">
        <v>0</v>
      </c>
      <c r="F202" s="180">
        <v>0</v>
      </c>
      <c r="G202" s="180">
        <v>0</v>
      </c>
      <c r="H202" s="180">
        <v>0</v>
      </c>
      <c r="I202" s="180">
        <v>0</v>
      </c>
      <c r="J202" s="180">
        <v>0</v>
      </c>
      <c r="K202" s="180">
        <v>0</v>
      </c>
      <c r="L202" s="180">
        <v>0</v>
      </c>
      <c r="M202" s="180">
        <v>0</v>
      </c>
      <c r="N202" s="180">
        <v>0</v>
      </c>
      <c r="O202" s="179">
        <f t="shared" si="211"/>
        <v>0</v>
      </c>
      <c r="P202" s="180">
        <f t="shared" si="212"/>
        <v>0</v>
      </c>
      <c r="Q202" s="179">
        <f t="shared" si="213"/>
        <v>0</v>
      </c>
      <c r="S202" s="171"/>
      <c r="T202" s="181" t="str">
        <f t="shared" si="209"/>
        <v xml:space="preserve">    Others</v>
      </c>
      <c r="V202" s="179">
        <f t="shared" si="214"/>
        <v>0</v>
      </c>
      <c r="W202" s="179">
        <f t="shared" si="215"/>
        <v>0</v>
      </c>
      <c r="X202" s="179">
        <f t="shared" si="216"/>
        <v>0</v>
      </c>
      <c r="Y202" s="179">
        <f t="shared" si="217"/>
        <v>0</v>
      </c>
      <c r="Z202" s="179"/>
      <c r="AA202" s="179">
        <f t="shared" si="218"/>
        <v>0</v>
      </c>
      <c r="AD202" s="181" t="str">
        <f t="shared" si="210"/>
        <v xml:space="preserve">    Others</v>
      </c>
      <c r="AF202" s="179">
        <f>C202</f>
        <v>0</v>
      </c>
      <c r="AG202" s="179">
        <f t="shared" si="219"/>
        <v>0</v>
      </c>
      <c r="AH202" s="179">
        <f t="shared" si="219"/>
        <v>0</v>
      </c>
      <c r="AI202" s="179">
        <f t="shared" si="219"/>
        <v>0</v>
      </c>
      <c r="AJ202" s="179">
        <f t="shared" si="219"/>
        <v>0</v>
      </c>
      <c r="AK202" s="179">
        <f t="shared" si="219"/>
        <v>0</v>
      </c>
      <c r="AL202" s="179">
        <f t="shared" si="219"/>
        <v>0</v>
      </c>
      <c r="AM202" s="179">
        <f t="shared" si="219"/>
        <v>0</v>
      </c>
      <c r="AN202" s="179">
        <f t="shared" si="219"/>
        <v>0</v>
      </c>
      <c r="AO202" s="179">
        <f t="shared" si="219"/>
        <v>0</v>
      </c>
      <c r="AP202" s="179">
        <f t="shared" si="219"/>
        <v>0</v>
      </c>
      <c r="AQ202" s="179">
        <f t="shared" si="219"/>
        <v>0</v>
      </c>
    </row>
    <row r="203" spans="1:43" x14ac:dyDescent="0.2">
      <c r="A203" s="421" t="s">
        <v>854</v>
      </c>
      <c r="C203" s="180">
        <v>0</v>
      </c>
      <c r="D203" s="180">
        <v>0</v>
      </c>
      <c r="E203" s="180">
        <v>0</v>
      </c>
      <c r="F203" s="180">
        <v>0</v>
      </c>
      <c r="G203" s="180">
        <v>0</v>
      </c>
      <c r="H203" s="180">
        <v>0</v>
      </c>
      <c r="I203" s="180">
        <v>0</v>
      </c>
      <c r="J203" s="180">
        <v>0</v>
      </c>
      <c r="K203" s="180">
        <v>0</v>
      </c>
      <c r="L203" s="180">
        <v>0</v>
      </c>
      <c r="M203" s="180">
        <v>0</v>
      </c>
      <c r="N203" s="180">
        <v>0</v>
      </c>
      <c r="O203" s="179">
        <f t="shared" si="211"/>
        <v>0</v>
      </c>
      <c r="P203" s="180">
        <f t="shared" si="212"/>
        <v>0</v>
      </c>
      <c r="Q203" s="179">
        <f t="shared" si="213"/>
        <v>0</v>
      </c>
      <c r="S203" s="171"/>
      <c r="T203" s="181" t="str">
        <f t="shared" si="209"/>
        <v xml:space="preserve">    Excess Deferred Income Taxes</v>
      </c>
      <c r="V203" s="179">
        <f t="shared" si="214"/>
        <v>0</v>
      </c>
      <c r="W203" s="179">
        <f t="shared" si="215"/>
        <v>0</v>
      </c>
      <c r="X203" s="179">
        <f t="shared" si="216"/>
        <v>0</v>
      </c>
      <c r="Y203" s="179">
        <f t="shared" si="217"/>
        <v>0</v>
      </c>
      <c r="Z203" s="179"/>
      <c r="AA203" s="179">
        <f t="shared" si="218"/>
        <v>0</v>
      </c>
      <c r="AD203" s="181" t="str">
        <f t="shared" si="210"/>
        <v xml:space="preserve">    Excess Deferred Income Taxes</v>
      </c>
      <c r="AF203" s="179">
        <f>C203</f>
        <v>0</v>
      </c>
      <c r="AG203" s="179">
        <f t="shared" si="219"/>
        <v>0</v>
      </c>
      <c r="AH203" s="179">
        <f t="shared" si="219"/>
        <v>0</v>
      </c>
      <c r="AI203" s="179">
        <f t="shared" si="219"/>
        <v>0</v>
      </c>
      <c r="AJ203" s="179">
        <f t="shared" si="219"/>
        <v>0</v>
      </c>
      <c r="AK203" s="179">
        <f t="shared" si="219"/>
        <v>0</v>
      </c>
      <c r="AL203" s="179">
        <f t="shared" si="219"/>
        <v>0</v>
      </c>
      <c r="AM203" s="179">
        <f t="shared" si="219"/>
        <v>0</v>
      </c>
      <c r="AN203" s="179">
        <f t="shared" si="219"/>
        <v>0</v>
      </c>
      <c r="AO203" s="179">
        <f t="shared" si="219"/>
        <v>0</v>
      </c>
      <c r="AP203" s="179">
        <f t="shared" si="219"/>
        <v>0</v>
      </c>
      <c r="AQ203" s="179">
        <f t="shared" si="219"/>
        <v>0</v>
      </c>
    </row>
    <row r="204" spans="1:43" x14ac:dyDescent="0.2">
      <c r="A204" s="187" t="s">
        <v>855</v>
      </c>
      <c r="C204" s="180">
        <v>0</v>
      </c>
      <c r="D204" s="180">
        <v>0</v>
      </c>
      <c r="E204" s="180">
        <v>0</v>
      </c>
      <c r="F204" s="180">
        <v>0</v>
      </c>
      <c r="G204" s="180">
        <v>0</v>
      </c>
      <c r="H204" s="180">
        <v>0</v>
      </c>
      <c r="I204" s="180">
        <v>0</v>
      </c>
      <c r="J204" s="180">
        <v>0</v>
      </c>
      <c r="K204" s="180">
        <v>0</v>
      </c>
      <c r="L204" s="180">
        <v>0</v>
      </c>
      <c r="M204" s="180">
        <v>0</v>
      </c>
      <c r="N204" s="180">
        <v>0</v>
      </c>
      <c r="O204" s="179">
        <f t="shared" si="211"/>
        <v>0</v>
      </c>
      <c r="P204" s="180">
        <f t="shared" si="212"/>
        <v>0</v>
      </c>
      <c r="Q204" s="179">
        <f t="shared" si="213"/>
        <v>0</v>
      </c>
      <c r="S204" s="171"/>
      <c r="T204" s="181" t="str">
        <f t="shared" si="209"/>
        <v xml:space="preserve">    Deferred tax adjustment for audit issues</v>
      </c>
      <c r="V204" s="179">
        <f t="shared" si="214"/>
        <v>0</v>
      </c>
      <c r="W204" s="179">
        <f t="shared" si="215"/>
        <v>0</v>
      </c>
      <c r="X204" s="179">
        <f t="shared" si="216"/>
        <v>0</v>
      </c>
      <c r="Y204" s="179">
        <f t="shared" si="217"/>
        <v>0</v>
      </c>
      <c r="Z204" s="179"/>
      <c r="AA204" s="179">
        <f t="shared" si="218"/>
        <v>0</v>
      </c>
      <c r="AD204" s="181" t="str">
        <f t="shared" si="210"/>
        <v xml:space="preserve">    Deferred tax adjustment for audit issues</v>
      </c>
      <c r="AF204" s="179">
        <f>C204</f>
        <v>0</v>
      </c>
      <c r="AG204" s="179">
        <f t="shared" si="219"/>
        <v>0</v>
      </c>
      <c r="AH204" s="179">
        <f t="shared" si="219"/>
        <v>0</v>
      </c>
      <c r="AI204" s="179">
        <f t="shared" si="219"/>
        <v>0</v>
      </c>
      <c r="AJ204" s="179">
        <f t="shared" si="219"/>
        <v>0</v>
      </c>
      <c r="AK204" s="179">
        <f t="shared" si="219"/>
        <v>0</v>
      </c>
      <c r="AL204" s="179">
        <f t="shared" si="219"/>
        <v>0</v>
      </c>
      <c r="AM204" s="179">
        <f t="shared" si="219"/>
        <v>0</v>
      </c>
      <c r="AN204" s="179">
        <f t="shared" si="219"/>
        <v>0</v>
      </c>
      <c r="AO204" s="179">
        <f t="shared" si="219"/>
        <v>0</v>
      </c>
      <c r="AP204" s="179">
        <f t="shared" si="219"/>
        <v>0</v>
      </c>
      <c r="AQ204" s="179">
        <f t="shared" si="219"/>
        <v>0</v>
      </c>
    </row>
    <row r="205" spans="1:43" x14ac:dyDescent="0.2">
      <c r="A205" s="187" t="s">
        <v>786</v>
      </c>
      <c r="C205" s="180">
        <v>0</v>
      </c>
      <c r="D205" s="180">
        <v>0</v>
      </c>
      <c r="E205" s="180">
        <v>0</v>
      </c>
      <c r="F205" s="180">
        <v>0</v>
      </c>
      <c r="G205" s="180">
        <v>0</v>
      </c>
      <c r="H205" s="180">
        <v>0</v>
      </c>
      <c r="I205" s="180">
        <v>0</v>
      </c>
      <c r="J205" s="180">
        <v>0</v>
      </c>
      <c r="K205" s="180">
        <v>0</v>
      </c>
      <c r="L205" s="180">
        <v>0</v>
      </c>
      <c r="M205" s="180">
        <v>0</v>
      </c>
      <c r="N205" s="180">
        <v>0</v>
      </c>
      <c r="O205" s="179">
        <f t="shared" si="211"/>
        <v>0</v>
      </c>
      <c r="P205" s="180">
        <f t="shared" si="212"/>
        <v>0</v>
      </c>
      <c r="Q205" s="179">
        <f t="shared" si="213"/>
        <v>0</v>
      </c>
      <c r="S205" s="171"/>
      <c r="T205" s="181" t="str">
        <f t="shared" si="209"/>
        <v xml:space="preserve">    Current tax adjustment for audit issues</v>
      </c>
      <c r="V205" s="179">
        <f t="shared" si="214"/>
        <v>0</v>
      </c>
      <c r="W205" s="179">
        <f t="shared" si="215"/>
        <v>0</v>
      </c>
      <c r="X205" s="179">
        <f t="shared" si="216"/>
        <v>0</v>
      </c>
      <c r="Y205" s="179">
        <f t="shared" si="217"/>
        <v>0</v>
      </c>
      <c r="Z205" s="179"/>
      <c r="AA205" s="179">
        <f t="shared" si="218"/>
        <v>0</v>
      </c>
      <c r="AD205" s="181" t="str">
        <f t="shared" si="210"/>
        <v xml:space="preserve">    Current tax adjustment for audit issues</v>
      </c>
      <c r="AF205" s="179"/>
      <c r="AG205" s="179"/>
      <c r="AH205" s="179"/>
      <c r="AI205" s="179"/>
      <c r="AJ205" s="179"/>
      <c r="AK205" s="179"/>
      <c r="AL205" s="179"/>
      <c r="AM205" s="179"/>
      <c r="AN205" s="179"/>
      <c r="AO205" s="179"/>
      <c r="AP205" s="179"/>
      <c r="AQ205" s="179"/>
    </row>
    <row r="206" spans="1:43" x14ac:dyDescent="0.2">
      <c r="A206" s="159" t="s">
        <v>856</v>
      </c>
      <c r="C206" s="273">
        <v>0</v>
      </c>
      <c r="D206" s="273">
        <v>0</v>
      </c>
      <c r="E206" s="273">
        <v>0</v>
      </c>
      <c r="F206" s="273">
        <v>0</v>
      </c>
      <c r="G206" s="273">
        <v>0</v>
      </c>
      <c r="H206" s="273">
        <v>0</v>
      </c>
      <c r="I206" s="273">
        <v>0</v>
      </c>
      <c r="J206" s="273">
        <v>0</v>
      </c>
      <c r="K206" s="273">
        <v>0</v>
      </c>
      <c r="L206" s="273">
        <v>0</v>
      </c>
      <c r="M206" s="273">
        <v>0</v>
      </c>
      <c r="N206" s="273">
        <v>0</v>
      </c>
      <c r="O206" s="182">
        <f t="shared" si="211"/>
        <v>0</v>
      </c>
      <c r="P206" s="273">
        <f t="shared" si="212"/>
        <v>0</v>
      </c>
      <c r="Q206" s="182">
        <f t="shared" si="213"/>
        <v>0</v>
      </c>
      <c r="R206" s="191"/>
      <c r="S206" s="188"/>
      <c r="T206" s="181" t="str">
        <f>A206</f>
        <v xml:space="preserve">    Hyperion Entry / Reversal</v>
      </c>
      <c r="U206" s="693"/>
      <c r="V206" s="182">
        <f t="shared" si="214"/>
        <v>0</v>
      </c>
      <c r="W206" s="182">
        <f t="shared" si="215"/>
        <v>0</v>
      </c>
      <c r="X206" s="182">
        <f t="shared" si="216"/>
        <v>0</v>
      </c>
      <c r="Y206" s="182">
        <f t="shared" si="217"/>
        <v>0</v>
      </c>
      <c r="Z206" s="182"/>
      <c r="AA206" s="182">
        <f t="shared" si="218"/>
        <v>0</v>
      </c>
      <c r="AB206" s="191"/>
      <c r="AC206" s="191"/>
      <c r="AD206" s="181" t="str">
        <f>A206</f>
        <v xml:space="preserve">    Hyperion Entry / Reversal</v>
      </c>
      <c r="AF206" s="182">
        <f>C206</f>
        <v>0</v>
      </c>
      <c r="AG206" s="182">
        <f t="shared" si="219"/>
        <v>0</v>
      </c>
      <c r="AH206" s="182">
        <f t="shared" si="219"/>
        <v>0</v>
      </c>
      <c r="AI206" s="182">
        <f t="shared" si="219"/>
        <v>0</v>
      </c>
      <c r="AJ206" s="182">
        <f t="shared" si="219"/>
        <v>0</v>
      </c>
      <c r="AK206" s="182">
        <f t="shared" si="219"/>
        <v>0</v>
      </c>
      <c r="AL206" s="182">
        <f t="shared" si="219"/>
        <v>0</v>
      </c>
      <c r="AM206" s="182">
        <f t="shared" si="219"/>
        <v>0</v>
      </c>
      <c r="AN206" s="182">
        <f t="shared" si="219"/>
        <v>0</v>
      </c>
      <c r="AO206" s="182">
        <f t="shared" si="219"/>
        <v>0</v>
      </c>
      <c r="AP206" s="182">
        <f t="shared" si="219"/>
        <v>0</v>
      </c>
      <c r="AQ206" s="182">
        <f t="shared" si="219"/>
        <v>0</v>
      </c>
    </row>
    <row r="207" spans="1:43" ht="6" customHeight="1" x14ac:dyDescent="0.2">
      <c r="A207" s="409"/>
      <c r="C207" s="180"/>
      <c r="D207" s="180"/>
      <c r="E207" s="180"/>
      <c r="F207" s="180"/>
      <c r="G207" s="180"/>
      <c r="H207" s="180"/>
      <c r="I207" s="180"/>
      <c r="J207" s="180"/>
      <c r="K207" s="180"/>
      <c r="L207" s="180"/>
      <c r="M207" s="180"/>
      <c r="N207" s="180"/>
      <c r="O207" s="180"/>
      <c r="P207" s="179"/>
      <c r="Q207" s="179"/>
      <c r="S207" s="171"/>
      <c r="V207" s="179"/>
      <c r="W207" s="179"/>
      <c r="X207" s="179"/>
      <c r="Y207" s="179"/>
      <c r="Z207" s="179"/>
      <c r="AA207" s="179"/>
      <c r="AD207" s="185"/>
      <c r="AF207" s="179"/>
      <c r="AG207" s="179"/>
      <c r="AH207" s="179"/>
      <c r="AI207" s="179"/>
      <c r="AJ207" s="179"/>
      <c r="AK207" s="179"/>
      <c r="AL207" s="179"/>
      <c r="AM207" s="179"/>
      <c r="AN207" s="179"/>
      <c r="AO207" s="179"/>
      <c r="AP207" s="179"/>
      <c r="AQ207" s="179"/>
    </row>
    <row r="208" spans="1:43" x14ac:dyDescent="0.2">
      <c r="A208" s="407" t="s">
        <v>857</v>
      </c>
      <c r="B208" s="671"/>
      <c r="C208" s="182">
        <f t="shared" ref="C208:Q208" si="220">SUM(C200:C206)</f>
        <v>-9</v>
      </c>
      <c r="D208" s="182">
        <f t="shared" si="220"/>
        <v>-9</v>
      </c>
      <c r="E208" s="182">
        <f t="shared" si="220"/>
        <v>-9</v>
      </c>
      <c r="F208" s="182">
        <f t="shared" si="220"/>
        <v>-9</v>
      </c>
      <c r="G208" s="182">
        <f t="shared" si="220"/>
        <v>-9</v>
      </c>
      <c r="H208" s="182">
        <f t="shared" si="220"/>
        <v>-9</v>
      </c>
      <c r="I208" s="182">
        <f t="shared" si="220"/>
        <v>-9</v>
      </c>
      <c r="J208" s="182">
        <f t="shared" si="220"/>
        <v>-9</v>
      </c>
      <c r="K208" s="182">
        <f t="shared" si="220"/>
        <v>-9</v>
      </c>
      <c r="L208" s="182">
        <f t="shared" si="220"/>
        <v>-9</v>
      </c>
      <c r="M208" s="182">
        <f t="shared" si="220"/>
        <v>-9</v>
      </c>
      <c r="N208" s="182">
        <f t="shared" si="220"/>
        <v>-9</v>
      </c>
      <c r="O208" s="182">
        <f t="shared" si="220"/>
        <v>-108</v>
      </c>
      <c r="P208" s="182">
        <f t="shared" si="220"/>
        <v>-18</v>
      </c>
      <c r="Q208" s="182">
        <f t="shared" si="220"/>
        <v>-90</v>
      </c>
      <c r="R208" s="166"/>
      <c r="S208" s="169"/>
      <c r="T208" s="177" t="str">
        <f>A208</f>
        <v xml:space="preserve">      Total Debits (Credits)</v>
      </c>
      <c r="U208" s="671"/>
      <c r="V208" s="182">
        <f>C208+D208+E208</f>
        <v>-27</v>
      </c>
      <c r="W208" s="182">
        <f>F208+G208+H208</f>
        <v>-27</v>
      </c>
      <c r="X208" s="182">
        <f>I208+J208+K208</f>
        <v>-27</v>
      </c>
      <c r="Y208" s="182">
        <f>L208+M208+N208</f>
        <v>-27</v>
      </c>
      <c r="Z208" s="182"/>
      <c r="AA208" s="182">
        <f>SUM(V208:Y208)</f>
        <v>-108</v>
      </c>
      <c r="AB208" s="166"/>
      <c r="AC208" s="166"/>
      <c r="AD208" s="177" t="str">
        <f>A208</f>
        <v xml:space="preserve">      Total Debits (Credits)</v>
      </c>
      <c r="AF208" s="182">
        <f>C208</f>
        <v>-9</v>
      </c>
      <c r="AG208" s="182">
        <f t="shared" ref="AG208:AQ208" si="221">D208+AF208</f>
        <v>-18</v>
      </c>
      <c r="AH208" s="182">
        <f t="shared" si="221"/>
        <v>-27</v>
      </c>
      <c r="AI208" s="182">
        <f t="shared" si="221"/>
        <v>-36</v>
      </c>
      <c r="AJ208" s="182">
        <f t="shared" si="221"/>
        <v>-45</v>
      </c>
      <c r="AK208" s="182">
        <f t="shared" si="221"/>
        <v>-54</v>
      </c>
      <c r="AL208" s="182">
        <f t="shared" si="221"/>
        <v>-63</v>
      </c>
      <c r="AM208" s="182">
        <f t="shared" si="221"/>
        <v>-72</v>
      </c>
      <c r="AN208" s="182">
        <f t="shared" si="221"/>
        <v>-81</v>
      </c>
      <c r="AO208" s="182">
        <f t="shared" si="221"/>
        <v>-90</v>
      </c>
      <c r="AP208" s="182">
        <f t="shared" si="221"/>
        <v>-99</v>
      </c>
      <c r="AQ208" s="182">
        <f t="shared" si="221"/>
        <v>-108</v>
      </c>
    </row>
    <row r="209" spans="1:43" ht="6" customHeight="1" x14ac:dyDescent="0.2">
      <c r="A209" s="409"/>
      <c r="C209" s="179"/>
      <c r="D209" s="179"/>
      <c r="E209" s="179"/>
      <c r="F209" s="179"/>
      <c r="G209" s="179"/>
      <c r="H209" s="179"/>
      <c r="I209" s="179"/>
      <c r="J209" s="179"/>
      <c r="K209" s="179"/>
      <c r="L209" s="179"/>
      <c r="M209" s="179"/>
      <c r="N209" s="179"/>
      <c r="O209" s="179"/>
      <c r="P209" s="179"/>
      <c r="Q209" s="179"/>
      <c r="V209" s="179"/>
      <c r="W209" s="179"/>
      <c r="X209" s="179"/>
      <c r="Y209" s="179"/>
      <c r="Z209" s="179"/>
      <c r="AA209" s="179"/>
      <c r="AD209" s="185"/>
      <c r="AF209" s="179"/>
      <c r="AG209" s="179"/>
      <c r="AH209" s="179"/>
      <c r="AI209" s="179"/>
      <c r="AJ209" s="179"/>
      <c r="AK209" s="179"/>
      <c r="AL209" s="179"/>
      <c r="AM209" s="179"/>
      <c r="AN209" s="179"/>
      <c r="AO209" s="179"/>
      <c r="AP209" s="179"/>
      <c r="AQ209" s="179"/>
    </row>
    <row r="210" spans="1:43" x14ac:dyDescent="0.2">
      <c r="A210" s="407" t="s">
        <v>858</v>
      </c>
      <c r="B210" s="671"/>
      <c r="C210" s="193">
        <f t="shared" ref="C210:Q210" si="222">C197+C208</f>
        <v>11973</v>
      </c>
      <c r="D210" s="193">
        <f t="shared" si="222"/>
        <v>11504</v>
      </c>
      <c r="E210" s="193">
        <f t="shared" si="222"/>
        <v>13244</v>
      </c>
      <c r="F210" s="193">
        <f t="shared" si="222"/>
        <v>-696</v>
      </c>
      <c r="G210" s="193">
        <f t="shared" si="222"/>
        <v>-703</v>
      </c>
      <c r="H210" s="193">
        <f t="shared" si="222"/>
        <v>4837</v>
      </c>
      <c r="I210" s="193">
        <f t="shared" si="222"/>
        <v>-541</v>
      </c>
      <c r="J210" s="193">
        <f t="shared" si="222"/>
        <v>-111</v>
      </c>
      <c r="K210" s="193">
        <f t="shared" si="222"/>
        <v>-156</v>
      </c>
      <c r="L210" s="193">
        <f t="shared" si="222"/>
        <v>-649</v>
      </c>
      <c r="M210" s="193">
        <f t="shared" si="222"/>
        <v>11099</v>
      </c>
      <c r="N210" s="193">
        <f t="shared" si="222"/>
        <v>13688</v>
      </c>
      <c r="O210" s="193">
        <f t="shared" si="222"/>
        <v>63489</v>
      </c>
      <c r="P210" s="193">
        <f t="shared" si="222"/>
        <v>23477</v>
      </c>
      <c r="Q210" s="193">
        <f t="shared" si="222"/>
        <v>40012</v>
      </c>
      <c r="R210" s="166"/>
      <c r="S210" s="169"/>
      <c r="T210" s="177" t="str">
        <f>A210</f>
        <v>Net Tax Expense</v>
      </c>
      <c r="U210" s="671"/>
      <c r="V210" s="193">
        <f>C210+D210+E210</f>
        <v>36721</v>
      </c>
      <c r="W210" s="193">
        <f>F210+G210+H210</f>
        <v>3438</v>
      </c>
      <c r="X210" s="193">
        <f>I210+J210+K210</f>
        <v>-808</v>
      </c>
      <c r="Y210" s="193">
        <f>L210+M210+N210</f>
        <v>24138</v>
      </c>
      <c r="Z210" s="193"/>
      <c r="AA210" s="193">
        <f>SUM(V210:Y210)</f>
        <v>63489</v>
      </c>
      <c r="AD210" s="177" t="str">
        <f>A210</f>
        <v>Net Tax Expense</v>
      </c>
      <c r="AF210" s="193">
        <f>C210</f>
        <v>11973</v>
      </c>
      <c r="AG210" s="193">
        <f t="shared" ref="AG210:AQ210" si="223">D210+AF210</f>
        <v>23477</v>
      </c>
      <c r="AH210" s="193">
        <f t="shared" si="223"/>
        <v>36721</v>
      </c>
      <c r="AI210" s="193">
        <f t="shared" si="223"/>
        <v>36025</v>
      </c>
      <c r="AJ210" s="193">
        <f t="shared" si="223"/>
        <v>35322</v>
      </c>
      <c r="AK210" s="193">
        <f t="shared" si="223"/>
        <v>40159</v>
      </c>
      <c r="AL210" s="193">
        <f t="shared" si="223"/>
        <v>39618</v>
      </c>
      <c r="AM210" s="193">
        <f t="shared" si="223"/>
        <v>39507</v>
      </c>
      <c r="AN210" s="193">
        <f t="shared" si="223"/>
        <v>39351</v>
      </c>
      <c r="AO210" s="193">
        <f t="shared" si="223"/>
        <v>38702</v>
      </c>
      <c r="AP210" s="193">
        <f t="shared" si="223"/>
        <v>49801</v>
      </c>
      <c r="AQ210" s="193">
        <f t="shared" si="223"/>
        <v>63489</v>
      </c>
    </row>
    <row r="211" spans="1:43" x14ac:dyDescent="0.2">
      <c r="A211" s="409"/>
      <c r="C211" s="179"/>
      <c r="D211" s="179"/>
      <c r="E211" s="179"/>
      <c r="F211" s="179"/>
      <c r="G211" s="179"/>
      <c r="H211" s="179"/>
      <c r="I211" s="179"/>
      <c r="J211" s="179"/>
      <c r="K211" s="179"/>
      <c r="L211" s="179"/>
      <c r="M211" s="179"/>
      <c r="N211" s="179"/>
      <c r="O211" s="180"/>
      <c r="P211" s="179"/>
      <c r="Q211" s="179"/>
      <c r="S211" s="171"/>
      <c r="V211" s="179"/>
      <c r="W211" s="179"/>
      <c r="X211" s="179"/>
      <c r="Y211" s="179"/>
      <c r="Z211" s="179"/>
      <c r="AA211" s="179"/>
      <c r="AD211" s="181"/>
      <c r="AF211" s="179"/>
      <c r="AG211" s="179"/>
      <c r="AH211" s="179"/>
      <c r="AI211" s="179"/>
      <c r="AJ211" s="179"/>
      <c r="AK211" s="179"/>
      <c r="AL211" s="179"/>
      <c r="AM211" s="179"/>
      <c r="AN211" s="179"/>
      <c r="AO211" s="179"/>
      <c r="AP211" s="179"/>
      <c r="AQ211" s="179"/>
    </row>
    <row r="212" spans="1:43" x14ac:dyDescent="0.2">
      <c r="A212" s="407" t="s">
        <v>859</v>
      </c>
      <c r="C212" s="179"/>
      <c r="D212" s="179"/>
      <c r="E212" s="179"/>
      <c r="F212" s="179"/>
      <c r="G212" s="179"/>
      <c r="H212" s="179"/>
      <c r="I212" s="179"/>
      <c r="J212" s="179"/>
      <c r="K212" s="179"/>
      <c r="L212" s="179"/>
      <c r="M212" s="179"/>
      <c r="N212" s="179"/>
      <c r="O212" s="180"/>
      <c r="P212" s="180"/>
      <c r="Q212" s="179"/>
      <c r="S212" s="171"/>
      <c r="T212" s="177" t="str">
        <f>A212</f>
        <v>Income Tax Adjustments</v>
      </c>
      <c r="V212" s="179"/>
      <c r="W212" s="179"/>
      <c r="X212" s="179"/>
      <c r="Y212" s="179"/>
      <c r="Z212" s="179"/>
      <c r="AA212" s="179"/>
      <c r="AD212" s="177" t="str">
        <f>A212</f>
        <v>Income Tax Adjustments</v>
      </c>
      <c r="AF212" s="179"/>
      <c r="AG212" s="179"/>
      <c r="AH212" s="179"/>
      <c r="AI212" s="179"/>
      <c r="AJ212" s="179"/>
      <c r="AK212" s="179"/>
      <c r="AL212" s="179"/>
      <c r="AM212" s="179"/>
      <c r="AN212" s="179"/>
      <c r="AO212" s="179"/>
      <c r="AP212" s="179"/>
      <c r="AQ212" s="179"/>
    </row>
    <row r="213" spans="1:43" x14ac:dyDescent="0.2">
      <c r="A213" s="187" t="s">
        <v>860</v>
      </c>
      <c r="C213" s="180">
        <v>0</v>
      </c>
      <c r="D213" s="180">
        <v>0</v>
      </c>
      <c r="E213" s="180">
        <v>0</v>
      </c>
      <c r="F213" s="180">
        <v>0</v>
      </c>
      <c r="G213" s="180">
        <v>0</v>
      </c>
      <c r="H213" s="180">
        <v>0</v>
      </c>
      <c r="I213" s="180">
        <v>0</v>
      </c>
      <c r="J213" s="180">
        <v>0</v>
      </c>
      <c r="K213" s="180">
        <v>0</v>
      </c>
      <c r="L213" s="180">
        <v>0</v>
      </c>
      <c r="M213" s="180">
        <v>0</v>
      </c>
      <c r="N213" s="180">
        <v>0</v>
      </c>
      <c r="O213" s="179">
        <f>SUM(C213:N213)</f>
        <v>0</v>
      </c>
      <c r="P213" s="180">
        <f>SUM(C213:D213)</f>
        <v>0</v>
      </c>
      <c r="Q213" s="179">
        <f>O213-P213</f>
        <v>0</v>
      </c>
      <c r="S213" s="171"/>
      <c r="T213" s="181" t="str">
        <f>A213</f>
        <v xml:space="preserve">    Depreciation</v>
      </c>
      <c r="V213" s="179">
        <f>C213+D213+E213</f>
        <v>0</v>
      </c>
      <c r="W213" s="179">
        <f>F213+G213+H213</f>
        <v>0</v>
      </c>
      <c r="X213" s="179">
        <f>I213+J213+K213</f>
        <v>0</v>
      </c>
      <c r="Y213" s="179">
        <f>L213+M213+N213</f>
        <v>0</v>
      </c>
      <c r="Z213" s="179"/>
      <c r="AA213" s="179">
        <f>SUM(V213:Y213)</f>
        <v>0</v>
      </c>
      <c r="AD213" s="181" t="str">
        <f>A213</f>
        <v xml:space="preserve">    Depreciation</v>
      </c>
      <c r="AF213" s="179">
        <f>C213</f>
        <v>0</v>
      </c>
      <c r="AG213" s="179">
        <f t="shared" ref="AG213:AQ216" si="224">D213+AF213</f>
        <v>0</v>
      </c>
      <c r="AH213" s="179">
        <f t="shared" si="224"/>
        <v>0</v>
      </c>
      <c r="AI213" s="179">
        <f t="shared" si="224"/>
        <v>0</v>
      </c>
      <c r="AJ213" s="179">
        <f t="shared" si="224"/>
        <v>0</v>
      </c>
      <c r="AK213" s="179">
        <f t="shared" si="224"/>
        <v>0</v>
      </c>
      <c r="AL213" s="179">
        <f t="shared" si="224"/>
        <v>0</v>
      </c>
      <c r="AM213" s="179">
        <f t="shared" si="224"/>
        <v>0</v>
      </c>
      <c r="AN213" s="179">
        <f t="shared" si="224"/>
        <v>0</v>
      </c>
      <c r="AO213" s="179">
        <f t="shared" si="224"/>
        <v>0</v>
      </c>
      <c r="AP213" s="179">
        <f t="shared" si="224"/>
        <v>0</v>
      </c>
      <c r="AQ213" s="179">
        <f t="shared" si="224"/>
        <v>0</v>
      </c>
    </row>
    <row r="214" spans="1:43" x14ac:dyDescent="0.2">
      <c r="A214" s="421" t="s">
        <v>1212</v>
      </c>
      <c r="C214" s="180">
        <v>15</v>
      </c>
      <c r="D214" s="180">
        <v>15</v>
      </c>
      <c r="E214" s="180">
        <v>15</v>
      </c>
      <c r="F214" s="180">
        <v>15</v>
      </c>
      <c r="G214" s="180">
        <v>15</v>
      </c>
      <c r="H214" s="180">
        <v>15</v>
      </c>
      <c r="I214" s="180">
        <v>15</v>
      </c>
      <c r="J214" s="180">
        <v>15</v>
      </c>
      <c r="K214" s="180">
        <v>15</v>
      </c>
      <c r="L214" s="180">
        <v>15</v>
      </c>
      <c r="M214" s="180">
        <v>15</v>
      </c>
      <c r="N214" s="180">
        <v>15</v>
      </c>
      <c r="O214" s="179">
        <f>SUM(C214:N214)</f>
        <v>180</v>
      </c>
      <c r="P214" s="180">
        <f>SUM(C214:D214)</f>
        <v>30</v>
      </c>
      <c r="Q214" s="179">
        <f>O214-P214</f>
        <v>150</v>
      </c>
      <c r="S214" s="171"/>
      <c r="T214" s="181" t="str">
        <f>A214</f>
        <v xml:space="preserve">    Business Expenses (NNG Only)</v>
      </c>
      <c r="V214" s="179">
        <f>C214+D214+E214</f>
        <v>45</v>
      </c>
      <c r="W214" s="179">
        <f>F214+G214+H214</f>
        <v>45</v>
      </c>
      <c r="X214" s="179">
        <f>I214+J214+K214</f>
        <v>45</v>
      </c>
      <c r="Y214" s="179">
        <f>L214+M214+N214</f>
        <v>45</v>
      </c>
      <c r="Z214" s="179"/>
      <c r="AA214" s="179">
        <f>SUM(V214:Y214)</f>
        <v>180</v>
      </c>
      <c r="AD214" s="181" t="str">
        <f>A214</f>
        <v xml:space="preserve">    Business Expenses (NNG Only)</v>
      </c>
      <c r="AF214" s="179">
        <f>C214</f>
        <v>15</v>
      </c>
      <c r="AG214" s="179">
        <f t="shared" si="224"/>
        <v>30</v>
      </c>
      <c r="AH214" s="179">
        <f t="shared" si="224"/>
        <v>45</v>
      </c>
      <c r="AI214" s="179">
        <f t="shared" si="224"/>
        <v>60</v>
      </c>
      <c r="AJ214" s="179">
        <f t="shared" si="224"/>
        <v>75</v>
      </c>
      <c r="AK214" s="179">
        <f t="shared" si="224"/>
        <v>90</v>
      </c>
      <c r="AL214" s="179">
        <f t="shared" si="224"/>
        <v>105</v>
      </c>
      <c r="AM214" s="179">
        <f t="shared" si="224"/>
        <v>120</v>
      </c>
      <c r="AN214" s="179">
        <f t="shared" si="224"/>
        <v>135</v>
      </c>
      <c r="AO214" s="179">
        <f t="shared" si="224"/>
        <v>150</v>
      </c>
      <c r="AP214" s="179">
        <f t="shared" si="224"/>
        <v>165</v>
      </c>
      <c r="AQ214" s="179">
        <f t="shared" si="224"/>
        <v>180</v>
      </c>
    </row>
    <row r="215" spans="1:43" x14ac:dyDescent="0.2">
      <c r="A215" s="187" t="s">
        <v>861</v>
      </c>
      <c r="C215" s="180">
        <v>0</v>
      </c>
      <c r="D215" s="180">
        <v>0</v>
      </c>
      <c r="E215" s="180">
        <v>0</v>
      </c>
      <c r="F215" s="180">
        <v>0</v>
      </c>
      <c r="G215" s="180">
        <v>0</v>
      </c>
      <c r="H215" s="180">
        <v>0</v>
      </c>
      <c r="I215" s="180">
        <v>0</v>
      </c>
      <c r="J215" s="180">
        <v>0</v>
      </c>
      <c r="K215" s="180">
        <v>0</v>
      </c>
      <c r="L215" s="180">
        <v>0</v>
      </c>
      <c r="M215" s="180">
        <v>0</v>
      </c>
      <c r="N215" s="180">
        <v>0</v>
      </c>
      <c r="O215" s="179">
        <f>SUM(C215:N215)</f>
        <v>0</v>
      </c>
      <c r="P215" s="180">
        <f>SUM(C215:D215)</f>
        <v>0</v>
      </c>
      <c r="Q215" s="179">
        <f>O215-P215</f>
        <v>0</v>
      </c>
      <c r="S215" s="171"/>
      <c r="T215" s="181" t="str">
        <f>A215</f>
        <v xml:space="preserve">    Foreign Tax / Civic &amp; Political</v>
      </c>
      <c r="V215" s="179">
        <f>C215+D215+E215</f>
        <v>0</v>
      </c>
      <c r="W215" s="179">
        <f>F215+G215+H215</f>
        <v>0</v>
      </c>
      <c r="X215" s="179">
        <f>I215+J215+K215</f>
        <v>0</v>
      </c>
      <c r="Y215" s="179">
        <f>L215+M215+N215</f>
        <v>0</v>
      </c>
      <c r="Z215" s="179"/>
      <c r="AA215" s="179">
        <f>SUM(V215:Y215)</f>
        <v>0</v>
      </c>
      <c r="AD215" s="181" t="str">
        <f>A215</f>
        <v xml:space="preserve">    Foreign Tax / Civic &amp; Political</v>
      </c>
      <c r="AE215" s="689"/>
      <c r="AF215" s="179">
        <f>C215</f>
        <v>0</v>
      </c>
      <c r="AG215" s="179">
        <f t="shared" si="224"/>
        <v>0</v>
      </c>
      <c r="AH215" s="179">
        <f t="shared" si="224"/>
        <v>0</v>
      </c>
      <c r="AI215" s="179">
        <f t="shared" si="224"/>
        <v>0</v>
      </c>
      <c r="AJ215" s="179">
        <f t="shared" si="224"/>
        <v>0</v>
      </c>
      <c r="AK215" s="179">
        <f t="shared" si="224"/>
        <v>0</v>
      </c>
      <c r="AL215" s="179">
        <f t="shared" si="224"/>
        <v>0</v>
      </c>
      <c r="AM215" s="179">
        <f t="shared" si="224"/>
        <v>0</v>
      </c>
      <c r="AN215" s="179">
        <f t="shared" si="224"/>
        <v>0</v>
      </c>
      <c r="AO215" s="179">
        <f t="shared" si="224"/>
        <v>0</v>
      </c>
      <c r="AP215" s="179">
        <f t="shared" si="224"/>
        <v>0</v>
      </c>
      <c r="AQ215" s="179">
        <f t="shared" si="224"/>
        <v>0</v>
      </c>
    </row>
    <row r="216" spans="1:43" x14ac:dyDescent="0.2">
      <c r="A216" s="187" t="s">
        <v>862</v>
      </c>
      <c r="C216" s="668">
        <v>0</v>
      </c>
      <c r="D216" s="668">
        <v>0</v>
      </c>
      <c r="E216" s="668">
        <v>0</v>
      </c>
      <c r="F216" s="668">
        <v>0</v>
      </c>
      <c r="G216" s="668">
        <v>0</v>
      </c>
      <c r="H216" s="668">
        <v>0</v>
      </c>
      <c r="I216" s="668">
        <v>0</v>
      </c>
      <c r="J216" s="668">
        <v>0</v>
      </c>
      <c r="K216" s="668">
        <v>0</v>
      </c>
      <c r="L216" s="668">
        <v>0</v>
      </c>
      <c r="M216" s="668">
        <v>0</v>
      </c>
      <c r="N216" s="668">
        <v>0</v>
      </c>
      <c r="O216" s="182">
        <f>SUM(C216:N216)</f>
        <v>0</v>
      </c>
      <c r="P216" s="273">
        <f>SUM(C216:D216)</f>
        <v>0</v>
      </c>
      <c r="Q216" s="182">
        <f>O216-P216</f>
        <v>0</v>
      </c>
      <c r="S216" s="171"/>
      <c r="T216" s="181" t="str">
        <f>A216</f>
        <v xml:space="preserve">    IBIT of All Subs</v>
      </c>
      <c r="V216" s="182">
        <f>C216+D216+E216</f>
        <v>0</v>
      </c>
      <c r="W216" s="182">
        <f>F216+G216+H216</f>
        <v>0</v>
      </c>
      <c r="X216" s="182">
        <f>I216+J216+K216</f>
        <v>0</v>
      </c>
      <c r="Y216" s="182">
        <f>L216+M216+N216</f>
        <v>0</v>
      </c>
      <c r="Z216" s="182"/>
      <c r="AA216" s="182">
        <f>SUM(V216:Y216)</f>
        <v>0</v>
      </c>
      <c r="AD216" s="181" t="str">
        <f>A216</f>
        <v xml:space="preserve">    IBIT of All Subs</v>
      </c>
      <c r="AF216" s="182">
        <f>C216</f>
        <v>0</v>
      </c>
      <c r="AG216" s="182">
        <f t="shared" si="224"/>
        <v>0</v>
      </c>
      <c r="AH216" s="182">
        <f t="shared" si="224"/>
        <v>0</v>
      </c>
      <c r="AI216" s="182">
        <f t="shared" si="224"/>
        <v>0</v>
      </c>
      <c r="AJ216" s="182">
        <f t="shared" si="224"/>
        <v>0</v>
      </c>
      <c r="AK216" s="182">
        <f t="shared" si="224"/>
        <v>0</v>
      </c>
      <c r="AL216" s="182">
        <f t="shared" si="224"/>
        <v>0</v>
      </c>
      <c r="AM216" s="182">
        <f t="shared" si="224"/>
        <v>0</v>
      </c>
      <c r="AN216" s="182">
        <f t="shared" si="224"/>
        <v>0</v>
      </c>
      <c r="AO216" s="182">
        <f t="shared" si="224"/>
        <v>0</v>
      </c>
      <c r="AP216" s="182">
        <f t="shared" si="224"/>
        <v>0</v>
      </c>
      <c r="AQ216" s="182">
        <f t="shared" si="224"/>
        <v>0</v>
      </c>
    </row>
    <row r="217" spans="1:43" ht="6" customHeight="1" x14ac:dyDescent="0.2">
      <c r="A217" s="409"/>
      <c r="C217" s="180"/>
      <c r="D217" s="180"/>
      <c r="E217" s="180"/>
      <c r="F217" s="180"/>
      <c r="G217" s="180"/>
      <c r="H217" s="180"/>
      <c r="I217" s="180"/>
      <c r="J217" s="180"/>
      <c r="K217" s="180"/>
      <c r="L217" s="180"/>
      <c r="M217" s="180"/>
      <c r="N217" s="180"/>
      <c r="O217" s="180"/>
      <c r="P217" s="179"/>
      <c r="Q217" s="179"/>
      <c r="V217" s="179"/>
      <c r="W217" s="179"/>
      <c r="X217" s="179"/>
      <c r="Y217" s="179"/>
      <c r="Z217" s="179"/>
      <c r="AA217" s="179"/>
      <c r="AF217" s="179"/>
      <c r="AG217" s="179"/>
      <c r="AH217" s="179"/>
      <c r="AI217" s="179"/>
      <c r="AJ217" s="179"/>
      <c r="AK217" s="179"/>
      <c r="AL217" s="179"/>
      <c r="AM217" s="179"/>
      <c r="AN217" s="179"/>
      <c r="AO217" s="179"/>
      <c r="AP217" s="179"/>
      <c r="AQ217" s="179"/>
    </row>
    <row r="218" spans="1:43" x14ac:dyDescent="0.2">
      <c r="A218" s="410" t="s">
        <v>863</v>
      </c>
      <c r="B218" s="692"/>
      <c r="C218" s="182">
        <f t="shared" ref="C218:Q218" si="225">SUM(C213:C216)</f>
        <v>15</v>
      </c>
      <c r="D218" s="182">
        <f t="shared" si="225"/>
        <v>15</v>
      </c>
      <c r="E218" s="182">
        <f t="shared" si="225"/>
        <v>15</v>
      </c>
      <c r="F218" s="182">
        <f t="shared" si="225"/>
        <v>15</v>
      </c>
      <c r="G218" s="182">
        <f t="shared" si="225"/>
        <v>15</v>
      </c>
      <c r="H218" s="182">
        <f t="shared" si="225"/>
        <v>15</v>
      </c>
      <c r="I218" s="182">
        <f t="shared" si="225"/>
        <v>15</v>
      </c>
      <c r="J218" s="182">
        <f t="shared" si="225"/>
        <v>15</v>
      </c>
      <c r="K218" s="182">
        <f t="shared" si="225"/>
        <v>15</v>
      </c>
      <c r="L218" s="182">
        <f t="shared" si="225"/>
        <v>15</v>
      </c>
      <c r="M218" s="182">
        <f t="shared" si="225"/>
        <v>15</v>
      </c>
      <c r="N218" s="182">
        <f t="shared" si="225"/>
        <v>15</v>
      </c>
      <c r="O218" s="182">
        <f t="shared" si="225"/>
        <v>180</v>
      </c>
      <c r="P218" s="182">
        <f t="shared" si="225"/>
        <v>30</v>
      </c>
      <c r="Q218" s="182">
        <f t="shared" si="225"/>
        <v>150</v>
      </c>
      <c r="R218" s="166"/>
      <c r="S218" s="171"/>
      <c r="T218" s="177" t="str">
        <f>A218</f>
        <v xml:space="preserve">      Total Income Tax Adjustment</v>
      </c>
      <c r="U218" s="689"/>
      <c r="V218" s="182">
        <f>C218+D218+E218</f>
        <v>45</v>
      </c>
      <c r="W218" s="182">
        <f>F218+G218+H218</f>
        <v>45</v>
      </c>
      <c r="X218" s="182">
        <f>I218+J218+K218</f>
        <v>45</v>
      </c>
      <c r="Y218" s="182">
        <f>L218+M218+N218</f>
        <v>45</v>
      </c>
      <c r="Z218" s="182"/>
      <c r="AA218" s="182">
        <f>SUM(V218:Y218)</f>
        <v>180</v>
      </c>
      <c r="AD218" s="177" t="str">
        <f>A218</f>
        <v xml:space="preserve">      Total Income Tax Adjustment</v>
      </c>
      <c r="AF218" s="182">
        <f>C218</f>
        <v>15</v>
      </c>
      <c r="AG218" s="182">
        <f t="shared" ref="AG218:AQ218" si="226">D218+AF218</f>
        <v>30</v>
      </c>
      <c r="AH218" s="182">
        <f t="shared" si="226"/>
        <v>45</v>
      </c>
      <c r="AI218" s="182">
        <f t="shared" si="226"/>
        <v>60</v>
      </c>
      <c r="AJ218" s="182">
        <f t="shared" si="226"/>
        <v>75</v>
      </c>
      <c r="AK218" s="182">
        <f t="shared" si="226"/>
        <v>90</v>
      </c>
      <c r="AL218" s="182">
        <f t="shared" si="226"/>
        <v>105</v>
      </c>
      <c r="AM218" s="182">
        <f t="shared" si="226"/>
        <v>120</v>
      </c>
      <c r="AN218" s="182">
        <f t="shared" si="226"/>
        <v>135</v>
      </c>
      <c r="AO218" s="182">
        <f t="shared" si="226"/>
        <v>150</v>
      </c>
      <c r="AP218" s="182">
        <f t="shared" si="226"/>
        <v>165</v>
      </c>
      <c r="AQ218" s="182">
        <f t="shared" si="226"/>
        <v>180</v>
      </c>
    </row>
    <row r="219" spans="1:43" ht="6" customHeight="1" x14ac:dyDescent="0.2">
      <c r="O219" s="171"/>
      <c r="S219" s="171"/>
      <c r="T219" s="171"/>
      <c r="V219" s="171"/>
    </row>
    <row r="220" spans="1:43" x14ac:dyDescent="0.2">
      <c r="O220" s="171"/>
      <c r="S220" s="171"/>
      <c r="T220" s="171"/>
      <c r="V220" s="171"/>
    </row>
  </sheetData>
  <phoneticPr fontId="0" type="noConversion"/>
  <printOptions horizontalCentered="1" gridLinesSet="0"/>
  <pageMargins left="0.5" right="0.5" top="0.25" bottom="0.25" header="0" footer="0"/>
  <pageSetup paperSize="5" scale="79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5">
    <pageSetUpPr fitToPage="1"/>
  </sheetPr>
  <dimension ref="A1:AN151"/>
  <sheetViews>
    <sheetView showGridLines="0" topLeftCell="A6" workbookViewId="0">
      <pane xSplit="3" ySplit="2" topLeftCell="D8" activePane="bottomRight" state="frozen"/>
      <selection activeCell="A6" sqref="A6"/>
      <selection pane="topRight" activeCell="D6" sqref="D6"/>
      <selection pane="bottomLeft" activeCell="A8" sqref="A8"/>
      <selection pane="bottomRight" activeCell="D8" sqref="D8"/>
    </sheetView>
  </sheetViews>
  <sheetFormatPr defaultRowHeight="12.75" x14ac:dyDescent="0.2"/>
  <cols>
    <col min="1" max="1" width="12.7109375" style="250" customWidth="1"/>
    <col min="2" max="2" width="45.7109375" style="250" customWidth="1"/>
    <col min="3" max="3" width="8.7109375" style="250" customWidth="1"/>
    <col min="4" max="18" width="9.7109375" style="250" customWidth="1"/>
    <col min="19" max="19" width="3.140625" style="250" customWidth="1"/>
    <col min="20" max="20" width="10.7109375" style="250" customWidth="1"/>
    <col min="21" max="16384" width="9.140625" style="250"/>
  </cols>
  <sheetData>
    <row r="1" spans="1:40" x14ac:dyDescent="0.2">
      <c r="A1" s="605" t="str">
        <f ca="1">CELL("FILENAME")</f>
        <v>C:\Users\Felienne\Enron\EnronSpreadsheets\[tracy_geaccone__40367__EMNNG02PL.xls]IncomeState</v>
      </c>
      <c r="B1" s="249"/>
      <c r="G1" s="529" t="str">
        <f>IncomeState!G1</f>
        <v>NORTHERN NATURAL GAS GROUP</v>
      </c>
      <c r="H1" s="529"/>
      <c r="I1" s="529"/>
      <c r="J1" s="530"/>
    </row>
    <row r="2" spans="1:40" x14ac:dyDescent="0.2">
      <c r="A2" s="459" t="s">
        <v>1214</v>
      </c>
      <c r="B2" s="249"/>
      <c r="G2" s="529" t="str">
        <f>IncomeState!G2</f>
        <v>2002 OPERATING PLAN</v>
      </c>
      <c r="H2" s="529"/>
      <c r="I2" s="529"/>
      <c r="J2" s="531"/>
    </row>
    <row r="3" spans="1:40" x14ac:dyDescent="0.2">
      <c r="A3" s="460"/>
      <c r="G3" s="528" t="s">
        <v>1082</v>
      </c>
      <c r="H3" s="529"/>
      <c r="I3" s="529"/>
      <c r="J3" s="530"/>
    </row>
    <row r="4" spans="1:40" x14ac:dyDescent="0.2">
      <c r="A4" s="460"/>
      <c r="B4" s="653">
        <f ca="1">NOW()</f>
        <v>41887.551126967592</v>
      </c>
      <c r="G4" s="529" t="str">
        <f>IncomeState!G4</f>
        <v>(Thousands of Dollars)</v>
      </c>
      <c r="H4" s="532"/>
      <c r="I4" s="532"/>
      <c r="J4" s="530"/>
    </row>
    <row r="5" spans="1:40" x14ac:dyDescent="0.2">
      <c r="A5" s="460"/>
      <c r="B5" s="654">
        <f ca="1">NOW()</f>
        <v>41887.551126967592</v>
      </c>
      <c r="E5" s="548"/>
      <c r="F5"/>
      <c r="G5"/>
      <c r="H5" s="501"/>
      <c r="I5" s="548"/>
      <c r="J5"/>
      <c r="K5" s="462"/>
    </row>
    <row r="6" spans="1:40" x14ac:dyDescent="0.2">
      <c r="A6" s="460"/>
      <c r="D6" s="678" t="str">
        <f>DataBase!C2</f>
        <v>PLAN</v>
      </c>
      <c r="E6" s="678" t="str">
        <f>DataBase!D2</f>
        <v>PLAN</v>
      </c>
      <c r="F6" s="678" t="str">
        <f>DataBase!E2</f>
        <v>PLAN</v>
      </c>
      <c r="G6" s="678" t="str">
        <f>DataBase!F2</f>
        <v>PLAN</v>
      </c>
      <c r="H6" s="678" t="str">
        <f>DataBase!G2</f>
        <v>PLAN</v>
      </c>
      <c r="I6" s="678" t="str">
        <f>DataBase!H2</f>
        <v>PLAN</v>
      </c>
      <c r="J6" s="678" t="str">
        <f>DataBase!I2</f>
        <v>PLAN</v>
      </c>
      <c r="K6" s="678" t="str">
        <f>DataBase!J2</f>
        <v>PLAN</v>
      </c>
      <c r="L6" s="678" t="str">
        <f>DataBase!K2</f>
        <v>PLAN</v>
      </c>
      <c r="M6" s="678" t="str">
        <f>DataBase!L2</f>
        <v>PLAN</v>
      </c>
      <c r="N6" s="678" t="str">
        <f>DataBase!M2</f>
        <v>PLAN</v>
      </c>
      <c r="O6" s="678" t="str">
        <f>DataBase!N2</f>
        <v>PLAN</v>
      </c>
      <c r="P6" s="678" t="str">
        <f>DataBase!O2</f>
        <v>TOTAL</v>
      </c>
      <c r="Q6" s="678" t="str">
        <f>IncomeState!P6</f>
        <v>FEB.</v>
      </c>
      <c r="R6" s="678" t="str">
        <f>IncomeState!Q6</f>
        <v>ESTIMATE</v>
      </c>
      <c r="S6" s="252"/>
      <c r="T6" s="463" t="s">
        <v>1083</v>
      </c>
    </row>
    <row r="7" spans="1:40" x14ac:dyDescent="0.2">
      <c r="A7" s="461" t="s">
        <v>1084</v>
      </c>
      <c r="B7" s="253"/>
      <c r="C7" s="253"/>
      <c r="D7" s="461" t="s">
        <v>1174</v>
      </c>
      <c r="E7" s="461" t="s">
        <v>1175</v>
      </c>
      <c r="F7" s="461" t="s">
        <v>1176</v>
      </c>
      <c r="G7" s="461" t="s">
        <v>1177</v>
      </c>
      <c r="H7" s="461" t="s">
        <v>1178</v>
      </c>
      <c r="I7" s="461" t="s">
        <v>1179</v>
      </c>
      <c r="J7" s="461" t="s">
        <v>1180</v>
      </c>
      <c r="K7" s="461" t="s">
        <v>1181</v>
      </c>
      <c r="L7" s="461" t="s">
        <v>1182</v>
      </c>
      <c r="M7" s="461" t="s">
        <v>1183</v>
      </c>
      <c r="N7" s="461" t="s">
        <v>1184</v>
      </c>
      <c r="O7" s="461" t="s">
        <v>1185</v>
      </c>
      <c r="P7" s="680" t="str">
        <f>DataBase!O3</f>
        <v>2002</v>
      </c>
      <c r="Q7" s="680" t="str">
        <f>IncomeState!P7</f>
        <v>Y-T-D</v>
      </c>
      <c r="R7" s="680" t="str">
        <f>IncomeState!Q7</f>
        <v>R.M.</v>
      </c>
      <c r="S7" s="252"/>
      <c r="T7" s="254" t="s">
        <v>1210</v>
      </c>
    </row>
    <row r="8" spans="1:40" x14ac:dyDescent="0.2">
      <c r="A8" s="466" t="s">
        <v>773</v>
      </c>
      <c r="B8" s="255" t="s">
        <v>1085</v>
      </c>
      <c r="D8" s="256">
        <f>-Transport!C45-Transport!C46</f>
        <v>0</v>
      </c>
      <c r="E8" s="256">
        <f>-Transport!D45-Transport!D46</f>
        <v>0</v>
      </c>
      <c r="F8" s="256">
        <f>-Transport!E45-Transport!E46</f>
        <v>0</v>
      </c>
      <c r="G8" s="256">
        <f>-Transport!F45-Transport!F46</f>
        <v>0</v>
      </c>
      <c r="H8" s="256">
        <f>-Transport!G45-Transport!G46</f>
        <v>0</v>
      </c>
      <c r="I8" s="256">
        <f>-Transport!H45-Transport!H46</f>
        <v>0</v>
      </c>
      <c r="J8" s="256">
        <f>-Transport!I45-Transport!I46</f>
        <v>0</v>
      </c>
      <c r="K8" s="256">
        <f>-Transport!J45-Transport!J46</f>
        <v>0</v>
      </c>
      <c r="L8" s="256">
        <f>-Transport!K45-Transport!K46</f>
        <v>0</v>
      </c>
      <c r="M8" s="256">
        <f>-Transport!L45-Transport!L46</f>
        <v>0</v>
      </c>
      <c r="N8" s="256">
        <f>-Transport!M45-Transport!M46</f>
        <v>0</v>
      </c>
      <c r="O8" s="256">
        <f>-Transport!N45-Transport!N46</f>
        <v>0</v>
      </c>
      <c r="P8" s="256">
        <f t="shared" ref="P8:P37" si="0">SUM(D8:O8)</f>
        <v>0</v>
      </c>
      <c r="Q8" s="257">
        <f>SUM(D8:E8)</f>
        <v>0</v>
      </c>
      <c r="R8" s="256">
        <f t="shared" ref="R8:R37" si="1">P8-Q8</f>
        <v>0</v>
      </c>
      <c r="S8" s="256"/>
      <c r="T8" s="538">
        <f t="shared" ref="T8:T37" si="2">SUM(D8:O8)</f>
        <v>0</v>
      </c>
      <c r="U8" s="256"/>
      <c r="V8" s="256"/>
      <c r="W8" s="256"/>
      <c r="X8" s="256"/>
      <c r="Y8" s="256"/>
      <c r="Z8" s="256"/>
      <c r="AA8" s="256"/>
      <c r="AB8" s="256"/>
      <c r="AC8" s="256"/>
      <c r="AD8" s="256"/>
      <c r="AE8" s="256"/>
      <c r="AF8" s="256"/>
      <c r="AG8" s="256"/>
      <c r="AH8" s="256"/>
      <c r="AI8" s="256"/>
      <c r="AJ8" s="256"/>
      <c r="AK8" s="256"/>
      <c r="AL8" s="256"/>
      <c r="AM8" s="256"/>
      <c r="AN8" s="256"/>
    </row>
    <row r="9" spans="1:40" x14ac:dyDescent="0.2">
      <c r="A9" s="466" t="s">
        <v>774</v>
      </c>
      <c r="B9" s="262" t="s">
        <v>1086</v>
      </c>
      <c r="D9" s="256">
        <f>'Sales&amp;Liq-COS'!C14</f>
        <v>0</v>
      </c>
      <c r="E9" s="256">
        <f>'Sales&amp;Liq-COS'!D14</f>
        <v>0</v>
      </c>
      <c r="F9" s="256">
        <f>'Sales&amp;Liq-COS'!E14</f>
        <v>0</v>
      </c>
      <c r="G9" s="256">
        <f>'Sales&amp;Liq-COS'!F14</f>
        <v>0</v>
      </c>
      <c r="H9" s="256">
        <f>'Sales&amp;Liq-COS'!G14</f>
        <v>0</v>
      </c>
      <c r="I9" s="256">
        <f>'Sales&amp;Liq-COS'!H14</f>
        <v>0</v>
      </c>
      <c r="J9" s="256">
        <f>'Sales&amp;Liq-COS'!I14</f>
        <v>0</v>
      </c>
      <c r="K9" s="256">
        <f>'Sales&amp;Liq-COS'!J14</f>
        <v>0</v>
      </c>
      <c r="L9" s="256">
        <f>'Sales&amp;Liq-COS'!K14</f>
        <v>0</v>
      </c>
      <c r="M9" s="256">
        <f>'Sales&amp;Liq-COS'!L14</f>
        <v>0</v>
      </c>
      <c r="N9" s="256">
        <f>'Sales&amp;Liq-COS'!M14</f>
        <v>0</v>
      </c>
      <c r="O9" s="256">
        <f>'Sales&amp;Liq-COS'!N14</f>
        <v>0</v>
      </c>
      <c r="P9" s="256">
        <f t="shared" si="0"/>
        <v>0</v>
      </c>
      <c r="Q9" s="257">
        <f t="shared" ref="Q9:Q72" si="3">SUM(D9:E9)</f>
        <v>0</v>
      </c>
      <c r="R9" s="256">
        <f t="shared" si="1"/>
        <v>0</v>
      </c>
      <c r="S9" s="257"/>
      <c r="T9" s="538">
        <f t="shared" si="2"/>
        <v>0</v>
      </c>
      <c r="U9" s="256"/>
      <c r="V9" s="256"/>
      <c r="W9" s="256"/>
      <c r="X9" s="256"/>
      <c r="Y9" s="256"/>
      <c r="Z9" s="256"/>
      <c r="AA9" s="256"/>
      <c r="AB9" s="256"/>
      <c r="AC9" s="256"/>
      <c r="AD9" s="256"/>
      <c r="AE9" s="256"/>
      <c r="AF9" s="256"/>
      <c r="AG9" s="256"/>
      <c r="AH9" s="256"/>
      <c r="AI9" s="256"/>
      <c r="AJ9" s="256"/>
      <c r="AK9" s="256"/>
      <c r="AL9" s="256"/>
      <c r="AM9" s="256"/>
      <c r="AN9" s="256"/>
    </row>
    <row r="10" spans="1:40" x14ac:dyDescent="0.2">
      <c r="A10" s="466" t="s">
        <v>773</v>
      </c>
      <c r="B10" s="645" t="s">
        <v>1087</v>
      </c>
      <c r="D10" s="639">
        <f>Transport!C49-SUM(Transport!C45:C47)</f>
        <v>55287</v>
      </c>
      <c r="E10" s="639">
        <f>Transport!D49-SUM(Transport!D45:D47)</f>
        <v>54297</v>
      </c>
      <c r="F10" s="639">
        <f>Transport!E49-SUM(Transport!E45:E47)</f>
        <v>57788</v>
      </c>
      <c r="G10" s="639">
        <f>Transport!F49-SUM(Transport!F45:F47)</f>
        <v>23074</v>
      </c>
      <c r="H10" s="639">
        <f>Transport!G49-SUM(Transport!G45:G47)</f>
        <v>22070</v>
      </c>
      <c r="I10" s="639">
        <f>Transport!H49-SUM(Transport!H45:H47)</f>
        <v>25185</v>
      </c>
      <c r="J10" s="639">
        <f>Transport!I49-SUM(Transport!I45:I47)</f>
        <v>25128</v>
      </c>
      <c r="K10" s="639">
        <f>Transport!J49-SUM(Transport!J45:J47)</f>
        <v>24715</v>
      </c>
      <c r="L10" s="639">
        <f>Transport!K49-SUM(Transport!K45:K47)</f>
        <v>24496</v>
      </c>
      <c r="M10" s="639">
        <f>Transport!L49-SUM(Transport!L45:L47)</f>
        <v>24301</v>
      </c>
      <c r="N10" s="639">
        <f>Transport!M49-SUM(Transport!M45:M47)</f>
        <v>52563</v>
      </c>
      <c r="O10" s="639">
        <f>Transport!N49-SUM(Transport!N45:N47)</f>
        <v>53454</v>
      </c>
      <c r="P10" s="256">
        <f t="shared" si="0"/>
        <v>442358</v>
      </c>
      <c r="Q10" s="257">
        <f t="shared" si="3"/>
        <v>109584</v>
      </c>
      <c r="R10" s="256">
        <f t="shared" si="1"/>
        <v>332774</v>
      </c>
      <c r="S10" s="257"/>
      <c r="T10" s="538">
        <f t="shared" si="2"/>
        <v>442358</v>
      </c>
      <c r="U10" s="256"/>
      <c r="V10" s="256"/>
      <c r="W10" s="256"/>
      <c r="X10" s="256"/>
      <c r="Y10" s="256"/>
      <c r="Z10" s="256"/>
      <c r="AA10" s="256"/>
      <c r="AB10" s="256"/>
      <c r="AC10" s="256"/>
      <c r="AD10" s="256"/>
      <c r="AE10" s="256"/>
      <c r="AF10" s="256"/>
      <c r="AG10" s="256"/>
      <c r="AH10" s="256"/>
      <c r="AI10" s="256"/>
      <c r="AJ10" s="256"/>
      <c r="AK10" s="256"/>
      <c r="AL10" s="256"/>
      <c r="AM10" s="256"/>
      <c r="AN10" s="256"/>
    </row>
    <row r="11" spans="1:40" x14ac:dyDescent="0.2">
      <c r="A11" s="465" t="s">
        <v>772</v>
      </c>
      <c r="B11" s="262" t="s">
        <v>1088</v>
      </c>
      <c r="D11" s="256">
        <f>'Sales&amp;Liq-COS'!C23</f>
        <v>0</v>
      </c>
      <c r="E11" s="256">
        <f>'Sales&amp;Liq-COS'!D23</f>
        <v>0</v>
      </c>
      <c r="F11" s="256">
        <f>'Sales&amp;Liq-COS'!E23</f>
        <v>0</v>
      </c>
      <c r="G11" s="256">
        <f>'Sales&amp;Liq-COS'!F23</f>
        <v>0</v>
      </c>
      <c r="H11" s="256">
        <f>'Sales&amp;Liq-COS'!G23</f>
        <v>0</v>
      </c>
      <c r="I11" s="256">
        <f>'Sales&amp;Liq-COS'!H23</f>
        <v>0</v>
      </c>
      <c r="J11" s="256">
        <f>'Sales&amp;Liq-COS'!I23</f>
        <v>0</v>
      </c>
      <c r="K11" s="256">
        <f>'Sales&amp;Liq-COS'!J23</f>
        <v>0</v>
      </c>
      <c r="L11" s="256">
        <f>'Sales&amp;Liq-COS'!K23</f>
        <v>0</v>
      </c>
      <c r="M11" s="256">
        <f>'Sales&amp;Liq-COS'!L23</f>
        <v>0</v>
      </c>
      <c r="N11" s="256">
        <f>'Sales&amp;Liq-COS'!M23</f>
        <v>0</v>
      </c>
      <c r="O11" s="256">
        <f>'Sales&amp;Liq-COS'!N23</f>
        <v>0</v>
      </c>
      <c r="P11" s="256">
        <f t="shared" si="0"/>
        <v>0</v>
      </c>
      <c r="Q11" s="257">
        <f t="shared" si="3"/>
        <v>0</v>
      </c>
      <c r="R11" s="256">
        <f t="shared" si="1"/>
        <v>0</v>
      </c>
      <c r="S11" s="257"/>
      <c r="T11" s="538">
        <f t="shared" si="2"/>
        <v>0</v>
      </c>
      <c r="U11" s="256"/>
      <c r="V11" s="256"/>
      <c r="W11" s="256"/>
      <c r="X11" s="256"/>
      <c r="Y11" s="256"/>
      <c r="Z11" s="256"/>
      <c r="AA11" s="256"/>
      <c r="AB11" s="256"/>
      <c r="AC11" s="256"/>
      <c r="AD11" s="256"/>
      <c r="AE11" s="256"/>
      <c r="AF11" s="256"/>
      <c r="AG11" s="256"/>
      <c r="AH11" s="256"/>
      <c r="AI11" s="256"/>
      <c r="AJ11" s="256"/>
      <c r="AK11" s="256"/>
      <c r="AL11" s="256"/>
      <c r="AM11" s="256"/>
      <c r="AN11" s="256"/>
    </row>
    <row r="12" spans="1:40" x14ac:dyDescent="0.2">
      <c r="A12" s="465" t="s">
        <v>772</v>
      </c>
      <c r="B12" s="262" t="s">
        <v>1089</v>
      </c>
      <c r="D12" s="256">
        <f>SUM(OtherRev!C7:C16)</f>
        <v>208</v>
      </c>
      <c r="E12" s="256">
        <f>SUM(OtherRev!D7:D16)</f>
        <v>158</v>
      </c>
      <c r="F12" s="256">
        <f>SUM(OtherRev!E7:E16)</f>
        <v>134</v>
      </c>
      <c r="G12" s="256">
        <f>SUM(OtherRev!F7:F16)</f>
        <v>58</v>
      </c>
      <c r="H12" s="256">
        <f>SUM(OtherRev!G7:G16)</f>
        <v>58</v>
      </c>
      <c r="I12" s="256">
        <f>SUM(OtherRev!H7:H16)</f>
        <v>59</v>
      </c>
      <c r="J12" s="256">
        <f>SUM(OtherRev!I7:I16)</f>
        <v>58</v>
      </c>
      <c r="K12" s="256">
        <f>SUM(OtherRev!J7:J16)</f>
        <v>58</v>
      </c>
      <c r="L12" s="256">
        <f>SUM(OtherRev!K7:K16)</f>
        <v>59</v>
      </c>
      <c r="M12" s="256">
        <f>SUM(OtherRev!L7:L16)</f>
        <v>58</v>
      </c>
      <c r="N12" s="256">
        <f>SUM(OtherRev!M7:M16)</f>
        <v>108</v>
      </c>
      <c r="O12" s="256">
        <f>SUM(OtherRev!N7:N16)</f>
        <v>134</v>
      </c>
      <c r="P12" s="256">
        <f t="shared" si="0"/>
        <v>1150</v>
      </c>
      <c r="Q12" s="257">
        <f t="shared" si="3"/>
        <v>366</v>
      </c>
      <c r="R12" s="256">
        <f t="shared" si="1"/>
        <v>784</v>
      </c>
      <c r="S12" s="257"/>
      <c r="T12" s="538">
        <f t="shared" si="2"/>
        <v>1150</v>
      </c>
      <c r="U12" s="256"/>
      <c r="V12" s="256"/>
      <c r="W12" s="256"/>
      <c r="X12" s="256"/>
      <c r="Y12" s="256"/>
      <c r="Z12" s="256"/>
      <c r="AA12" s="256"/>
      <c r="AB12" s="256"/>
      <c r="AC12" s="256"/>
      <c r="AD12" s="256"/>
      <c r="AE12" s="256"/>
      <c r="AF12" s="256"/>
      <c r="AG12" s="256"/>
      <c r="AH12" s="256"/>
      <c r="AI12" s="256"/>
      <c r="AJ12" s="256"/>
      <c r="AK12" s="256"/>
      <c r="AL12" s="256"/>
      <c r="AM12" s="256"/>
      <c r="AN12" s="256"/>
    </row>
    <row r="13" spans="1:40" x14ac:dyDescent="0.2">
      <c r="A13" s="466" t="s">
        <v>1096</v>
      </c>
      <c r="B13" s="262" t="s">
        <v>1090</v>
      </c>
      <c r="D13" s="256">
        <f>'TC&amp;S'!C63+'TC&amp;S'!C64</f>
        <v>1162</v>
      </c>
      <c r="E13" s="256">
        <f>'TC&amp;S'!D63+'TC&amp;S'!D64</f>
        <v>1162</v>
      </c>
      <c r="F13" s="256">
        <f>'TC&amp;S'!E63+'TC&amp;S'!E64</f>
        <v>1162</v>
      </c>
      <c r="G13" s="256">
        <f>'TC&amp;S'!F63+'TC&amp;S'!F64</f>
        <v>431</v>
      </c>
      <c r="H13" s="256">
        <f>'TC&amp;S'!G63+'TC&amp;S'!G64</f>
        <v>431</v>
      </c>
      <c r="I13" s="256">
        <f>'TC&amp;S'!H63+'TC&amp;S'!H64</f>
        <v>50</v>
      </c>
      <c r="J13" s="256">
        <f>'TC&amp;S'!I63+'TC&amp;S'!I64</f>
        <v>50</v>
      </c>
      <c r="K13" s="256">
        <f>'TC&amp;S'!J63+'TC&amp;S'!J64</f>
        <v>50</v>
      </c>
      <c r="L13" s="256">
        <f>'TC&amp;S'!K63+'TC&amp;S'!K64</f>
        <v>331</v>
      </c>
      <c r="M13" s="256">
        <f>'TC&amp;S'!L63+'TC&amp;S'!L64</f>
        <v>331</v>
      </c>
      <c r="N13" s="256">
        <f>'TC&amp;S'!M63+'TC&amp;S'!M64</f>
        <v>331</v>
      </c>
      <c r="O13" s="256">
        <f>'TC&amp;S'!N63+'TC&amp;S'!N64</f>
        <v>1162</v>
      </c>
      <c r="P13" s="256">
        <f t="shared" si="0"/>
        <v>6653</v>
      </c>
      <c r="Q13" s="257">
        <f t="shared" si="3"/>
        <v>2324</v>
      </c>
      <c r="R13" s="256">
        <f t="shared" si="1"/>
        <v>4329</v>
      </c>
      <c r="S13" s="256"/>
      <c r="T13" s="538">
        <f t="shared" si="2"/>
        <v>6653</v>
      </c>
      <c r="U13" s="256"/>
      <c r="V13" s="256"/>
      <c r="W13" s="256"/>
      <c r="X13" s="256"/>
      <c r="Y13" s="256"/>
      <c r="Z13" s="256"/>
      <c r="AA13" s="256"/>
      <c r="AB13" s="256"/>
      <c r="AC13" s="256"/>
      <c r="AD13" s="256"/>
      <c r="AE13" s="256"/>
      <c r="AF13" s="256"/>
      <c r="AG13" s="256"/>
      <c r="AH13" s="256"/>
      <c r="AI13" s="256"/>
      <c r="AJ13" s="256"/>
      <c r="AK13" s="256"/>
      <c r="AL13" s="256"/>
      <c r="AM13" s="256"/>
      <c r="AN13" s="256"/>
    </row>
    <row r="14" spans="1:40" x14ac:dyDescent="0.2">
      <c r="A14" s="466"/>
      <c r="B14" s="262" t="s">
        <v>806</v>
      </c>
      <c r="C14" s="819" t="s">
        <v>1205</v>
      </c>
      <c r="D14" s="485">
        <v>0</v>
      </c>
      <c r="E14" s="485">
        <v>0</v>
      </c>
      <c r="F14" s="485">
        <v>0</v>
      </c>
      <c r="G14" s="485">
        <v>0</v>
      </c>
      <c r="H14" s="485">
        <v>0</v>
      </c>
      <c r="I14" s="485">
        <v>0</v>
      </c>
      <c r="J14" s="485">
        <v>0</v>
      </c>
      <c r="K14" s="485">
        <v>0</v>
      </c>
      <c r="L14" s="485">
        <v>0</v>
      </c>
      <c r="M14" s="485">
        <v>0</v>
      </c>
      <c r="N14" s="485">
        <v>0</v>
      </c>
      <c r="O14" s="485">
        <v>0</v>
      </c>
      <c r="P14" s="256">
        <f t="shared" si="0"/>
        <v>0</v>
      </c>
      <c r="Q14" s="257">
        <f t="shared" si="3"/>
        <v>0</v>
      </c>
      <c r="R14" s="256">
        <f t="shared" si="1"/>
        <v>0</v>
      </c>
      <c r="S14" s="257"/>
      <c r="T14" s="538">
        <f t="shared" si="2"/>
        <v>0</v>
      </c>
      <c r="U14" s="256"/>
      <c r="V14" s="256"/>
      <c r="W14" s="256"/>
      <c r="X14" s="256"/>
      <c r="Y14" s="256"/>
      <c r="Z14" s="256"/>
      <c r="AA14" s="256"/>
      <c r="AB14" s="256"/>
      <c r="AC14" s="256"/>
      <c r="AD14" s="256"/>
      <c r="AE14" s="256"/>
      <c r="AF14" s="256"/>
      <c r="AG14" s="256"/>
      <c r="AH14" s="256"/>
      <c r="AI14" s="256"/>
      <c r="AJ14" s="256"/>
      <c r="AK14" s="256"/>
      <c r="AL14" s="256"/>
      <c r="AM14" s="256"/>
      <c r="AN14" s="256"/>
    </row>
    <row r="15" spans="1:40" x14ac:dyDescent="0.2">
      <c r="A15" s="466"/>
      <c r="B15" s="262" t="s">
        <v>318</v>
      </c>
      <c r="C15" s="819" t="s">
        <v>1205</v>
      </c>
      <c r="D15" s="485">
        <v>0</v>
      </c>
      <c r="E15" s="485">
        <v>0</v>
      </c>
      <c r="F15" s="485">
        <v>0</v>
      </c>
      <c r="G15" s="485">
        <v>0</v>
      </c>
      <c r="H15" s="485">
        <v>0</v>
      </c>
      <c r="I15" s="485">
        <v>0</v>
      </c>
      <c r="J15" s="485">
        <v>0</v>
      </c>
      <c r="K15" s="485">
        <v>0</v>
      </c>
      <c r="L15" s="485">
        <v>0</v>
      </c>
      <c r="M15" s="485">
        <v>0</v>
      </c>
      <c r="N15" s="485">
        <v>0</v>
      </c>
      <c r="O15" s="485">
        <v>0</v>
      </c>
      <c r="P15" s="256">
        <f t="shared" si="0"/>
        <v>0</v>
      </c>
      <c r="Q15" s="257">
        <f t="shared" si="3"/>
        <v>0</v>
      </c>
      <c r="R15" s="256">
        <f t="shared" si="1"/>
        <v>0</v>
      </c>
      <c r="S15" s="257"/>
      <c r="T15" s="538">
        <f t="shared" si="2"/>
        <v>0</v>
      </c>
      <c r="U15" s="256"/>
      <c r="V15" s="256"/>
      <c r="W15" s="256"/>
      <c r="X15" s="256"/>
      <c r="Y15" s="256"/>
      <c r="Z15" s="256"/>
      <c r="AA15" s="256"/>
      <c r="AB15" s="256"/>
      <c r="AC15" s="256"/>
      <c r="AD15" s="256"/>
      <c r="AE15" s="256"/>
      <c r="AF15" s="256"/>
      <c r="AG15" s="256"/>
      <c r="AH15" s="256"/>
      <c r="AI15" s="256"/>
      <c r="AJ15" s="256"/>
      <c r="AK15" s="256"/>
      <c r="AL15" s="256"/>
      <c r="AM15" s="256"/>
      <c r="AN15" s="256"/>
    </row>
    <row r="16" spans="1:40" x14ac:dyDescent="0.2">
      <c r="A16" s="465"/>
      <c r="B16" s="262" t="s">
        <v>330</v>
      </c>
      <c r="C16" s="819" t="s">
        <v>1205</v>
      </c>
      <c r="D16" s="485">
        <v>0</v>
      </c>
      <c r="E16" s="485">
        <v>0</v>
      </c>
      <c r="F16" s="485">
        <v>0</v>
      </c>
      <c r="G16" s="485">
        <v>0</v>
      </c>
      <c r="H16" s="485">
        <v>0</v>
      </c>
      <c r="I16" s="485">
        <v>0</v>
      </c>
      <c r="J16" s="485">
        <v>0</v>
      </c>
      <c r="K16" s="485">
        <v>0</v>
      </c>
      <c r="L16" s="485">
        <v>0</v>
      </c>
      <c r="M16" s="485">
        <v>0</v>
      </c>
      <c r="N16" s="485">
        <v>0</v>
      </c>
      <c r="O16" s="485">
        <v>0</v>
      </c>
      <c r="P16" s="256">
        <f t="shared" si="0"/>
        <v>0</v>
      </c>
      <c r="Q16" s="257">
        <f t="shared" si="3"/>
        <v>0</v>
      </c>
      <c r="R16" s="256">
        <f t="shared" si="1"/>
        <v>0</v>
      </c>
      <c r="S16" s="257"/>
      <c r="T16" s="538">
        <f t="shared" si="2"/>
        <v>0</v>
      </c>
      <c r="U16" s="256"/>
      <c r="V16" s="256"/>
      <c r="W16" s="256"/>
      <c r="X16" s="256"/>
      <c r="Y16" s="256"/>
      <c r="Z16" s="256"/>
      <c r="AA16" s="256"/>
      <c r="AB16" s="256"/>
      <c r="AC16" s="256"/>
      <c r="AD16" s="256"/>
      <c r="AE16" s="256"/>
      <c r="AF16" s="256"/>
      <c r="AG16" s="256"/>
      <c r="AH16" s="256"/>
      <c r="AI16" s="256"/>
      <c r="AJ16" s="256"/>
      <c r="AK16" s="256"/>
      <c r="AL16" s="256"/>
      <c r="AM16" s="256"/>
      <c r="AN16" s="256"/>
    </row>
    <row r="17" spans="1:40" x14ac:dyDescent="0.2">
      <c r="A17" s="465" t="s">
        <v>1096</v>
      </c>
      <c r="B17" s="255" t="s">
        <v>1095</v>
      </c>
      <c r="D17" s="256">
        <f>-'TC&amp;S'!C65</f>
        <v>603</v>
      </c>
      <c r="E17" s="256">
        <f>-'TC&amp;S'!D65</f>
        <v>604</v>
      </c>
      <c r="F17" s="256">
        <f>-'TC&amp;S'!E65</f>
        <v>603</v>
      </c>
      <c r="G17" s="256">
        <f>-'TC&amp;S'!F65</f>
        <v>-127</v>
      </c>
      <c r="H17" s="256">
        <f>-'TC&amp;S'!G65</f>
        <v>-128</v>
      </c>
      <c r="I17" s="256">
        <f>-'TC&amp;S'!H65</f>
        <v>-508</v>
      </c>
      <c r="J17" s="256">
        <f>-'TC&amp;S'!I65</f>
        <v>-509</v>
      </c>
      <c r="K17" s="256">
        <f>-'TC&amp;S'!J65</f>
        <v>-508</v>
      </c>
      <c r="L17" s="256">
        <f>-'TC&amp;S'!K65</f>
        <v>-228</v>
      </c>
      <c r="M17" s="256">
        <f>-'TC&amp;S'!L65</f>
        <v>-227</v>
      </c>
      <c r="N17" s="256">
        <f>-'TC&amp;S'!M65</f>
        <v>-228</v>
      </c>
      <c r="O17" s="256">
        <f>-'TC&amp;S'!N65</f>
        <v>604</v>
      </c>
      <c r="P17" s="256">
        <f t="shared" si="0"/>
        <v>-49</v>
      </c>
      <c r="Q17" s="257">
        <f t="shared" si="3"/>
        <v>1207</v>
      </c>
      <c r="R17" s="256">
        <f t="shared" si="1"/>
        <v>-1256</v>
      </c>
      <c r="S17" s="257"/>
      <c r="T17" s="538">
        <f t="shared" si="2"/>
        <v>-49</v>
      </c>
      <c r="U17" s="256"/>
      <c r="V17" s="256"/>
      <c r="W17" s="256"/>
      <c r="X17" s="256"/>
      <c r="Y17" s="256"/>
      <c r="Z17" s="256"/>
      <c r="AA17" s="256"/>
      <c r="AB17" s="256"/>
      <c r="AC17" s="256"/>
      <c r="AD17" s="256"/>
      <c r="AE17" s="256"/>
      <c r="AF17" s="256"/>
      <c r="AG17" s="256"/>
      <c r="AH17" s="256"/>
      <c r="AI17" s="256"/>
      <c r="AJ17" s="256"/>
      <c r="AK17" s="256"/>
      <c r="AL17" s="256"/>
      <c r="AM17" s="256"/>
      <c r="AN17" s="256"/>
    </row>
    <row r="18" spans="1:40" x14ac:dyDescent="0.2">
      <c r="A18" s="465" t="s">
        <v>1096</v>
      </c>
      <c r="B18" s="686" t="s">
        <v>1159</v>
      </c>
      <c r="D18" s="256">
        <f>-'TC&amp;S'!C53-'TC&amp;S'!C29</f>
        <v>-293</v>
      </c>
      <c r="E18" s="256">
        <f>-'TC&amp;S'!D53-'TC&amp;S'!D29</f>
        <v>-249</v>
      </c>
      <c r="F18" s="256">
        <f>-'TC&amp;S'!E53-'TC&amp;S'!E29</f>
        <v>-206</v>
      </c>
      <c r="G18" s="256">
        <f>-'TC&amp;S'!F53-'TC&amp;S'!F29</f>
        <v>0</v>
      </c>
      <c r="H18" s="685">
        <f>-'TC&amp;S'!G53-'TC&amp;S'!G29+SUM('TC&amp;S'!C29:G29)+140+1</f>
        <v>2087</v>
      </c>
      <c r="I18" s="256">
        <f>-'TC&amp;S'!H53-'TC&amp;S'!H29</f>
        <v>0</v>
      </c>
      <c r="J18" s="256">
        <f>-'TC&amp;S'!I53-'TC&amp;S'!I29</f>
        <v>0</v>
      </c>
      <c r="K18" s="256">
        <f>-'TC&amp;S'!J53-'TC&amp;S'!J29</f>
        <v>0</v>
      </c>
      <c r="L18" s="256">
        <f>-'TC&amp;S'!K53-'TC&amp;S'!K29</f>
        <v>0</v>
      </c>
      <c r="M18" s="256">
        <f>-'TC&amp;S'!L53-'TC&amp;S'!L29</f>
        <v>0</v>
      </c>
      <c r="N18" s="256">
        <f>-'TC&amp;S'!M53-'TC&amp;S'!M29</f>
        <v>-206</v>
      </c>
      <c r="O18" s="256">
        <f>-'TC&amp;S'!N53-'TC&amp;S'!N29</f>
        <v>-293</v>
      </c>
      <c r="P18" s="256">
        <f t="shared" si="0"/>
        <v>840</v>
      </c>
      <c r="Q18" s="257">
        <f t="shared" si="3"/>
        <v>-542</v>
      </c>
      <c r="R18" s="256">
        <f t="shared" si="1"/>
        <v>1382</v>
      </c>
      <c r="S18" s="257"/>
      <c r="T18" s="538">
        <f t="shared" si="2"/>
        <v>840</v>
      </c>
      <c r="U18" s="256"/>
      <c r="V18" s="256"/>
      <c r="W18" s="256"/>
      <c r="X18" s="256"/>
      <c r="Y18" s="256"/>
      <c r="Z18" s="256"/>
      <c r="AA18" s="256"/>
      <c r="AB18" s="256"/>
      <c r="AC18" s="256"/>
      <c r="AD18" s="256"/>
      <c r="AE18" s="256"/>
      <c r="AF18" s="256"/>
      <c r="AG18" s="256"/>
      <c r="AH18" s="256"/>
      <c r="AI18" s="256"/>
      <c r="AJ18" s="256"/>
      <c r="AK18" s="256"/>
      <c r="AL18" s="256"/>
      <c r="AM18" s="256"/>
      <c r="AN18" s="256"/>
    </row>
    <row r="19" spans="1:40" x14ac:dyDescent="0.2">
      <c r="A19" s="465" t="s">
        <v>338</v>
      </c>
      <c r="B19" s="262" t="s">
        <v>1140</v>
      </c>
      <c r="D19" s="256">
        <f>+IntDeduct!C13+IntDeduct!C14</f>
        <v>9</v>
      </c>
      <c r="E19" s="256">
        <f>+IntDeduct!D13+IntDeduct!D14</f>
        <v>10</v>
      </c>
      <c r="F19" s="256">
        <f>+IntDeduct!E13+IntDeduct!E14</f>
        <v>14</v>
      </c>
      <c r="G19" s="256">
        <f>+IntDeduct!F13+IntDeduct!F14</f>
        <v>15</v>
      </c>
      <c r="H19" s="256">
        <f>+IntDeduct!G13+IntDeduct!G14</f>
        <v>12</v>
      </c>
      <c r="I19" s="256">
        <f>+IntDeduct!H13+IntDeduct!H14</f>
        <v>0</v>
      </c>
      <c r="J19" s="256">
        <f>+IntDeduct!I13+IntDeduct!I14</f>
        <v>0</v>
      </c>
      <c r="K19" s="256">
        <f>+IntDeduct!J13+IntDeduct!J14</f>
        <v>0</v>
      </c>
      <c r="L19" s="256">
        <f>+IntDeduct!K13+IntDeduct!K14</f>
        <v>0</v>
      </c>
      <c r="M19" s="256">
        <f>+IntDeduct!L13+IntDeduct!L14</f>
        <v>0</v>
      </c>
      <c r="N19" s="256">
        <f>+IntDeduct!M13+IntDeduct!M14</f>
        <v>0</v>
      </c>
      <c r="O19" s="256">
        <f>+IntDeduct!N13+IntDeduct!N14</f>
        <v>2</v>
      </c>
      <c r="P19" s="256">
        <f t="shared" si="0"/>
        <v>62</v>
      </c>
      <c r="Q19" s="257">
        <f>SUM(D19:E19)</f>
        <v>19</v>
      </c>
      <c r="R19" s="256">
        <f t="shared" si="1"/>
        <v>43</v>
      </c>
      <c r="S19" s="256"/>
      <c r="T19" s="538">
        <f t="shared" si="2"/>
        <v>62</v>
      </c>
      <c r="U19" s="256"/>
      <c r="V19" s="256"/>
      <c r="W19" s="256"/>
      <c r="X19" s="256"/>
      <c r="Y19" s="256"/>
      <c r="Z19" s="256"/>
      <c r="AA19" s="256"/>
      <c r="AB19" s="256"/>
      <c r="AC19" s="256"/>
      <c r="AD19" s="256"/>
      <c r="AE19" s="256"/>
      <c r="AF19" s="256"/>
      <c r="AG19" s="256"/>
      <c r="AH19" s="256"/>
      <c r="AI19" s="256"/>
      <c r="AJ19" s="256"/>
      <c r="AK19" s="256"/>
      <c r="AL19" s="256"/>
      <c r="AM19" s="256"/>
      <c r="AN19" s="256"/>
    </row>
    <row r="20" spans="1:40" x14ac:dyDescent="0.2">
      <c r="A20" s="465" t="s">
        <v>1096</v>
      </c>
      <c r="B20" s="262" t="s">
        <v>1114</v>
      </c>
      <c r="D20" s="256">
        <f>'TC&amp;S'!C16+'TC&amp;S'!C22</f>
        <v>0</v>
      </c>
      <c r="E20" s="256">
        <f>'TC&amp;S'!D16+'TC&amp;S'!D22</f>
        <v>0</v>
      </c>
      <c r="F20" s="256">
        <f>'TC&amp;S'!E16+'TC&amp;S'!E22</f>
        <v>0</v>
      </c>
      <c r="G20" s="256">
        <f>'TC&amp;S'!F16+'TC&amp;S'!F22</f>
        <v>0</v>
      </c>
      <c r="H20" s="256">
        <f>'TC&amp;S'!G16+'TC&amp;S'!G22</f>
        <v>0</v>
      </c>
      <c r="I20" s="256">
        <f>'TC&amp;S'!H16+'TC&amp;S'!H22</f>
        <v>0</v>
      </c>
      <c r="J20" s="256">
        <f>'TC&amp;S'!I16+'TC&amp;S'!I22</f>
        <v>0</v>
      </c>
      <c r="K20" s="256">
        <f>'TC&amp;S'!J16+'TC&amp;S'!J22</f>
        <v>0</v>
      </c>
      <c r="L20" s="256">
        <f>'TC&amp;S'!K16+'TC&amp;S'!K22</f>
        <v>0</v>
      </c>
      <c r="M20" s="256">
        <f>'TC&amp;S'!L16+'TC&amp;S'!L22</f>
        <v>0</v>
      </c>
      <c r="N20" s="256">
        <f>'TC&amp;S'!M16+'TC&amp;S'!M22</f>
        <v>0</v>
      </c>
      <c r="O20" s="256">
        <f>'TC&amp;S'!N16+'TC&amp;S'!N22</f>
        <v>0</v>
      </c>
      <c r="P20" s="256">
        <f t="shared" si="0"/>
        <v>0</v>
      </c>
      <c r="Q20" s="257">
        <f>SUM(D20:E20)</f>
        <v>0</v>
      </c>
      <c r="R20" s="256">
        <f t="shared" si="1"/>
        <v>0</v>
      </c>
      <c r="S20" s="257"/>
      <c r="T20" s="538">
        <f t="shared" si="2"/>
        <v>0</v>
      </c>
      <c r="U20" s="256"/>
      <c r="V20" s="256"/>
      <c r="W20" s="256"/>
      <c r="X20" s="256"/>
      <c r="Y20" s="256"/>
      <c r="Z20" s="256"/>
      <c r="AA20" s="256"/>
      <c r="AB20" s="256"/>
      <c r="AC20" s="256"/>
      <c r="AD20" s="256"/>
      <c r="AE20" s="256"/>
      <c r="AF20" s="256"/>
      <c r="AG20" s="256"/>
      <c r="AH20" s="256"/>
      <c r="AI20" s="256"/>
      <c r="AJ20" s="256"/>
      <c r="AK20" s="256"/>
      <c r="AL20" s="256"/>
      <c r="AM20" s="256"/>
      <c r="AN20" s="256"/>
    </row>
    <row r="21" spans="1:40" x14ac:dyDescent="0.2">
      <c r="A21" s="465" t="s">
        <v>1096</v>
      </c>
      <c r="B21" s="262" t="s">
        <v>1099</v>
      </c>
      <c r="D21" s="256">
        <f>-'TC&amp;S'!C55</f>
        <v>0</v>
      </c>
      <c r="E21" s="256">
        <f>-'TC&amp;S'!D55</f>
        <v>0</v>
      </c>
      <c r="F21" s="256">
        <f>-'TC&amp;S'!E55</f>
        <v>0</v>
      </c>
      <c r="G21" s="256">
        <f>-'TC&amp;S'!F55</f>
        <v>0</v>
      </c>
      <c r="H21" s="256">
        <f>-'TC&amp;S'!G55</f>
        <v>0</v>
      </c>
      <c r="I21" s="256">
        <f>-'TC&amp;S'!H55</f>
        <v>0</v>
      </c>
      <c r="J21" s="256">
        <f>-'TC&amp;S'!I55</f>
        <v>0</v>
      </c>
      <c r="K21" s="256">
        <f>-'TC&amp;S'!J55</f>
        <v>0</v>
      </c>
      <c r="L21" s="256">
        <f>-'TC&amp;S'!K55</f>
        <v>0</v>
      </c>
      <c r="M21" s="256">
        <f>-'TC&amp;S'!L55</f>
        <v>0</v>
      </c>
      <c r="N21" s="256">
        <f>-'TC&amp;S'!M55</f>
        <v>0</v>
      </c>
      <c r="O21" s="256">
        <f>-'TC&amp;S'!N55</f>
        <v>0</v>
      </c>
      <c r="P21" s="256">
        <f t="shared" si="0"/>
        <v>0</v>
      </c>
      <c r="Q21" s="257">
        <f t="shared" si="3"/>
        <v>0</v>
      </c>
      <c r="R21" s="256">
        <f t="shared" si="1"/>
        <v>0</v>
      </c>
      <c r="S21" s="257"/>
      <c r="T21" s="538">
        <f t="shared" si="2"/>
        <v>0</v>
      </c>
      <c r="U21" s="256"/>
      <c r="V21" s="256"/>
      <c r="W21" s="256"/>
      <c r="X21" s="256"/>
      <c r="Y21" s="256"/>
      <c r="Z21" s="256"/>
      <c r="AA21" s="256"/>
      <c r="AB21" s="256"/>
      <c r="AC21" s="256"/>
      <c r="AD21" s="256"/>
      <c r="AE21" s="256"/>
      <c r="AF21" s="256"/>
      <c r="AG21" s="256"/>
      <c r="AH21" s="256"/>
      <c r="AI21" s="256"/>
      <c r="AJ21" s="256"/>
      <c r="AK21" s="256"/>
      <c r="AL21" s="256"/>
      <c r="AM21" s="256"/>
      <c r="AN21" s="256"/>
    </row>
    <row r="22" spans="1:40" x14ac:dyDescent="0.2">
      <c r="A22" s="465" t="s">
        <v>1096</v>
      </c>
      <c r="B22" s="262" t="s">
        <v>1100</v>
      </c>
      <c r="D22" s="256">
        <f>-'TC&amp;S'!C54</f>
        <v>0</v>
      </c>
      <c r="E22" s="256">
        <f>-'TC&amp;S'!D54</f>
        <v>0</v>
      </c>
      <c r="F22" s="256">
        <f>-'TC&amp;S'!E54</f>
        <v>0</v>
      </c>
      <c r="G22" s="256">
        <f>-'TC&amp;S'!F54</f>
        <v>0</v>
      </c>
      <c r="H22" s="256">
        <f>-'TC&amp;S'!G54</f>
        <v>0</v>
      </c>
      <c r="I22" s="256">
        <f>-'TC&amp;S'!H54</f>
        <v>0</v>
      </c>
      <c r="J22" s="256">
        <f>-'TC&amp;S'!I54</f>
        <v>0</v>
      </c>
      <c r="K22" s="256">
        <f>-'TC&amp;S'!J54</f>
        <v>0</v>
      </c>
      <c r="L22" s="256">
        <f>-'TC&amp;S'!K54</f>
        <v>0</v>
      </c>
      <c r="M22" s="256">
        <f>-'TC&amp;S'!L54</f>
        <v>0</v>
      </c>
      <c r="N22" s="256">
        <f>-'TC&amp;S'!M54</f>
        <v>0</v>
      </c>
      <c r="O22" s="256">
        <f>-'TC&amp;S'!N54</f>
        <v>0</v>
      </c>
      <c r="P22" s="256">
        <f t="shared" si="0"/>
        <v>0</v>
      </c>
      <c r="Q22" s="257">
        <f t="shared" si="3"/>
        <v>0</v>
      </c>
      <c r="R22" s="256">
        <f t="shared" si="1"/>
        <v>0</v>
      </c>
      <c r="S22" s="257"/>
      <c r="T22" s="538">
        <f t="shared" si="2"/>
        <v>0</v>
      </c>
      <c r="U22" s="256"/>
      <c r="V22" s="256"/>
      <c r="W22" s="256"/>
      <c r="X22" s="256"/>
      <c r="Y22" s="256"/>
      <c r="Z22" s="256"/>
      <c r="AA22" s="256"/>
      <c r="AB22" s="256"/>
      <c r="AC22" s="256"/>
      <c r="AD22" s="256"/>
      <c r="AE22" s="256"/>
      <c r="AF22" s="256"/>
      <c r="AG22" s="256"/>
      <c r="AH22" s="256"/>
      <c r="AI22" s="256"/>
      <c r="AJ22" s="256"/>
      <c r="AK22" s="256"/>
      <c r="AL22" s="256"/>
      <c r="AM22" s="256"/>
      <c r="AN22" s="256"/>
    </row>
    <row r="23" spans="1:40" x14ac:dyDescent="0.2">
      <c r="A23" s="466" t="s">
        <v>329</v>
      </c>
      <c r="B23" s="262" t="s">
        <v>1091</v>
      </c>
      <c r="D23" s="256">
        <f>-IntDeduct!C11</f>
        <v>0</v>
      </c>
      <c r="E23" s="256">
        <f>-IntDeduct!D11</f>
        <v>-1</v>
      </c>
      <c r="F23" s="256">
        <f>-IntDeduct!E11</f>
        <v>0</v>
      </c>
      <c r="G23" s="256">
        <f>-IntDeduct!F11</f>
        <v>-1</v>
      </c>
      <c r="H23" s="256">
        <f>-IntDeduct!G11</f>
        <v>0</v>
      </c>
      <c r="I23" s="256">
        <f>-IntDeduct!H11</f>
        <v>-1</v>
      </c>
      <c r="J23" s="256">
        <f>-IntDeduct!I11</f>
        <v>0</v>
      </c>
      <c r="K23" s="256">
        <f>-IntDeduct!J11</f>
        <v>-1</v>
      </c>
      <c r="L23" s="256">
        <f>-IntDeduct!K11</f>
        <v>0</v>
      </c>
      <c r="M23" s="256">
        <f>-IntDeduct!L11</f>
        <v>-1</v>
      </c>
      <c r="N23" s="256">
        <f>-IntDeduct!M11</f>
        <v>0</v>
      </c>
      <c r="O23" s="256">
        <f>-IntDeduct!N11</f>
        <v>-1</v>
      </c>
      <c r="P23" s="256">
        <f t="shared" si="0"/>
        <v>-6</v>
      </c>
      <c r="Q23" s="257">
        <f t="shared" ref="Q23:Q36" si="4">SUM(D23:E23)</f>
        <v>-1</v>
      </c>
      <c r="R23" s="256">
        <f t="shared" si="1"/>
        <v>-5</v>
      </c>
      <c r="S23" s="257"/>
      <c r="T23" s="538">
        <f t="shared" si="2"/>
        <v>-6</v>
      </c>
      <c r="U23" s="256"/>
      <c r="V23" s="256"/>
      <c r="W23" s="256"/>
      <c r="X23" s="256"/>
      <c r="Y23" s="256"/>
      <c r="Z23" s="256"/>
      <c r="AA23" s="256"/>
      <c r="AB23" s="256"/>
      <c r="AC23" s="256"/>
      <c r="AD23" s="256"/>
      <c r="AE23" s="256"/>
      <c r="AF23" s="256"/>
      <c r="AG23" s="256"/>
      <c r="AH23" s="256"/>
      <c r="AI23" s="256"/>
      <c r="AJ23" s="256"/>
      <c r="AK23" s="256"/>
      <c r="AL23" s="256"/>
      <c r="AM23" s="256"/>
      <c r="AN23" s="256"/>
    </row>
    <row r="24" spans="1:40" x14ac:dyDescent="0.2">
      <c r="A24" s="465" t="s">
        <v>1096</v>
      </c>
      <c r="B24" s="262" t="s">
        <v>1102</v>
      </c>
      <c r="D24" s="256">
        <f>-'TC&amp;S'!C56</f>
        <v>0</v>
      </c>
      <c r="E24" s="256">
        <f>-'TC&amp;S'!D56</f>
        <v>0</v>
      </c>
      <c r="F24" s="256">
        <f>-'TC&amp;S'!E56</f>
        <v>0</v>
      </c>
      <c r="G24" s="256">
        <f>-'TC&amp;S'!F56</f>
        <v>0</v>
      </c>
      <c r="H24" s="256">
        <f>-'TC&amp;S'!G56</f>
        <v>0</v>
      </c>
      <c r="I24" s="256">
        <f>-'TC&amp;S'!H56</f>
        <v>0</v>
      </c>
      <c r="J24" s="256">
        <f>-'TC&amp;S'!I56</f>
        <v>0</v>
      </c>
      <c r="K24" s="256">
        <f>-'TC&amp;S'!J56</f>
        <v>0</v>
      </c>
      <c r="L24" s="256">
        <f>-'TC&amp;S'!K56</f>
        <v>0</v>
      </c>
      <c r="M24" s="256">
        <f>-'TC&amp;S'!L56</f>
        <v>0</v>
      </c>
      <c r="N24" s="256">
        <f>-'TC&amp;S'!M56</f>
        <v>0</v>
      </c>
      <c r="O24" s="256">
        <f>-'TC&amp;S'!N56</f>
        <v>0</v>
      </c>
      <c r="P24" s="256">
        <f t="shared" si="0"/>
        <v>0</v>
      </c>
      <c r="Q24" s="257">
        <f t="shared" si="4"/>
        <v>0</v>
      </c>
      <c r="R24" s="256">
        <f t="shared" si="1"/>
        <v>0</v>
      </c>
      <c r="S24" s="257"/>
      <c r="T24" s="538">
        <f t="shared" si="2"/>
        <v>0</v>
      </c>
      <c r="U24" s="256"/>
      <c r="V24" s="256"/>
      <c r="W24" s="256"/>
      <c r="X24" s="256"/>
      <c r="Y24" s="256"/>
      <c r="Z24" s="256"/>
      <c r="AA24" s="256"/>
      <c r="AB24" s="256"/>
      <c r="AC24" s="256"/>
      <c r="AD24" s="256"/>
      <c r="AE24" s="256"/>
      <c r="AF24" s="256"/>
      <c r="AG24" s="256"/>
      <c r="AH24" s="256"/>
      <c r="AI24" s="256"/>
      <c r="AJ24" s="256"/>
      <c r="AK24" s="256"/>
      <c r="AL24" s="256"/>
      <c r="AM24" s="256"/>
      <c r="AN24" s="256"/>
    </row>
    <row r="25" spans="1:40" x14ac:dyDescent="0.2">
      <c r="A25" s="466" t="s">
        <v>329</v>
      </c>
      <c r="B25" s="262" t="s">
        <v>1092</v>
      </c>
      <c r="D25" s="256">
        <f>OtherInc!C18</f>
        <v>0</v>
      </c>
      <c r="E25" s="256">
        <f>OtherInc!D18</f>
        <v>0</v>
      </c>
      <c r="F25" s="256">
        <f>OtherInc!E18</f>
        <v>0</v>
      </c>
      <c r="G25" s="256">
        <f>OtherInc!F18</f>
        <v>0</v>
      </c>
      <c r="H25" s="256">
        <f>OtherInc!G18</f>
        <v>0</v>
      </c>
      <c r="I25" s="256">
        <f>OtherInc!H18</f>
        <v>0</v>
      </c>
      <c r="J25" s="256">
        <f>OtherInc!I18</f>
        <v>0</v>
      </c>
      <c r="K25" s="256">
        <f>OtherInc!J18</f>
        <v>0</v>
      </c>
      <c r="L25" s="256">
        <f>OtherInc!K18</f>
        <v>0</v>
      </c>
      <c r="M25" s="256">
        <f>OtherInc!L18</f>
        <v>0</v>
      </c>
      <c r="N25" s="256">
        <f>OtherInc!M18</f>
        <v>0</v>
      </c>
      <c r="O25" s="256">
        <f>OtherInc!N18</f>
        <v>0</v>
      </c>
      <c r="P25" s="256">
        <f t="shared" si="0"/>
        <v>0</v>
      </c>
      <c r="Q25" s="257">
        <f t="shared" si="4"/>
        <v>0</v>
      </c>
      <c r="R25" s="256">
        <f t="shared" si="1"/>
        <v>0</v>
      </c>
      <c r="S25" s="257"/>
      <c r="T25" s="538">
        <f t="shared" si="2"/>
        <v>0</v>
      </c>
      <c r="U25" s="256"/>
      <c r="V25" s="256"/>
      <c r="W25" s="256"/>
      <c r="X25" s="256"/>
      <c r="Y25" s="256"/>
      <c r="Z25" s="256"/>
      <c r="AA25" s="256"/>
      <c r="AB25" s="256"/>
      <c r="AC25" s="256"/>
      <c r="AD25" s="256"/>
      <c r="AE25" s="256"/>
      <c r="AF25" s="256"/>
      <c r="AG25" s="256"/>
      <c r="AH25" s="256"/>
      <c r="AI25" s="256"/>
      <c r="AJ25" s="256"/>
      <c r="AK25" s="256"/>
      <c r="AL25" s="256"/>
      <c r="AM25" s="256"/>
      <c r="AN25" s="256"/>
    </row>
    <row r="26" spans="1:40" x14ac:dyDescent="0.2">
      <c r="A26" s="479" t="s">
        <v>337</v>
      </c>
      <c r="B26" s="262" t="s">
        <v>1142</v>
      </c>
      <c r="D26" s="256">
        <f>-Trackers!D181</f>
        <v>0</v>
      </c>
      <c r="E26" s="256">
        <f>-Trackers!E181</f>
        <v>0</v>
      </c>
      <c r="F26" s="256">
        <f>-Trackers!F181</f>
        <v>0</v>
      </c>
      <c r="G26" s="256">
        <f>-Trackers!G181</f>
        <v>0</v>
      </c>
      <c r="H26" s="256">
        <f>-Trackers!H181</f>
        <v>0</v>
      </c>
      <c r="I26" s="256">
        <f>-Trackers!I181</f>
        <v>0</v>
      </c>
      <c r="J26" s="256">
        <f>-Trackers!J181</f>
        <v>0</v>
      </c>
      <c r="K26" s="256">
        <f>-Trackers!K181</f>
        <v>0</v>
      </c>
      <c r="L26" s="256">
        <f>-Trackers!L181</f>
        <v>0</v>
      </c>
      <c r="M26" s="256">
        <f>-Trackers!M181</f>
        <v>0</v>
      </c>
      <c r="N26" s="256">
        <f>-Trackers!N181</f>
        <v>0</v>
      </c>
      <c r="O26" s="256">
        <f>-Trackers!O181</f>
        <v>0</v>
      </c>
      <c r="P26" s="256">
        <f t="shared" si="0"/>
        <v>0</v>
      </c>
      <c r="Q26" s="257">
        <f t="shared" si="4"/>
        <v>0</v>
      </c>
      <c r="R26" s="256">
        <f t="shared" si="1"/>
        <v>0</v>
      </c>
      <c r="S26" s="256"/>
      <c r="T26" s="538">
        <f t="shared" si="2"/>
        <v>0</v>
      </c>
      <c r="U26" s="256"/>
      <c r="V26" s="256"/>
      <c r="W26" s="256"/>
      <c r="X26" s="256"/>
      <c r="Y26" s="256"/>
      <c r="Z26" s="256"/>
      <c r="AA26" s="256"/>
      <c r="AB26" s="256"/>
      <c r="AC26" s="256"/>
      <c r="AD26" s="256"/>
      <c r="AE26" s="256"/>
      <c r="AF26" s="256"/>
      <c r="AG26" s="256"/>
      <c r="AH26" s="256"/>
      <c r="AI26" s="256"/>
      <c r="AJ26" s="256"/>
      <c r="AK26" s="256"/>
      <c r="AL26" s="256"/>
      <c r="AM26" s="256"/>
      <c r="AN26" s="256"/>
    </row>
    <row r="27" spans="1:40" x14ac:dyDescent="0.2">
      <c r="A27" s="466" t="s">
        <v>329</v>
      </c>
      <c r="B27" s="262" t="s">
        <v>1094</v>
      </c>
      <c r="D27" s="256">
        <f>OtherInc!C19</f>
        <v>0</v>
      </c>
      <c r="E27" s="256">
        <f>OtherInc!D19</f>
        <v>0</v>
      </c>
      <c r="F27" s="256">
        <f>OtherInc!E19</f>
        <v>0</v>
      </c>
      <c r="G27" s="256">
        <f>OtherInc!F19</f>
        <v>0</v>
      </c>
      <c r="H27" s="256">
        <f>OtherInc!G19</f>
        <v>0</v>
      </c>
      <c r="I27" s="256">
        <f>OtherInc!H19</f>
        <v>0</v>
      </c>
      <c r="J27" s="256">
        <f>OtherInc!I19</f>
        <v>0</v>
      </c>
      <c r="K27" s="256">
        <f>OtherInc!J19</f>
        <v>0</v>
      </c>
      <c r="L27" s="256">
        <f>OtherInc!K19</f>
        <v>0</v>
      </c>
      <c r="M27" s="256">
        <f>OtherInc!L19</f>
        <v>0</v>
      </c>
      <c r="N27" s="256">
        <f>OtherInc!M19</f>
        <v>0</v>
      </c>
      <c r="O27" s="256">
        <f>OtherInc!N19</f>
        <v>0</v>
      </c>
      <c r="P27" s="256">
        <f t="shared" si="0"/>
        <v>0</v>
      </c>
      <c r="Q27" s="257">
        <f t="shared" si="4"/>
        <v>0</v>
      </c>
      <c r="R27" s="256">
        <f t="shared" si="1"/>
        <v>0</v>
      </c>
      <c r="S27" s="257"/>
      <c r="T27" s="538">
        <f t="shared" si="2"/>
        <v>0</v>
      </c>
      <c r="U27" s="256"/>
      <c r="V27" s="256"/>
      <c r="W27" s="256"/>
      <c r="X27" s="256"/>
      <c r="Y27" s="256"/>
      <c r="Z27" s="256"/>
      <c r="AA27" s="256"/>
      <c r="AB27" s="256"/>
      <c r="AC27" s="256"/>
      <c r="AD27" s="256"/>
      <c r="AE27" s="256"/>
      <c r="AF27" s="256"/>
      <c r="AG27" s="256"/>
      <c r="AH27" s="256"/>
      <c r="AI27" s="256"/>
      <c r="AJ27" s="256"/>
      <c r="AK27" s="256"/>
      <c r="AL27" s="256"/>
      <c r="AM27" s="256"/>
      <c r="AN27" s="256"/>
    </row>
    <row r="28" spans="1:40" x14ac:dyDescent="0.2">
      <c r="A28" s="479" t="s">
        <v>337</v>
      </c>
      <c r="B28" s="262" t="s">
        <v>1138</v>
      </c>
      <c r="D28" s="256">
        <f>-Trackers!D316</f>
        <v>0</v>
      </c>
      <c r="E28" s="256">
        <f>-Trackers!E316</f>
        <v>0</v>
      </c>
      <c r="F28" s="256">
        <f>-Trackers!F316</f>
        <v>0</v>
      </c>
      <c r="G28" s="256">
        <f>-Trackers!G316</f>
        <v>0</v>
      </c>
      <c r="H28" s="256">
        <f>-Trackers!H316</f>
        <v>0</v>
      </c>
      <c r="I28" s="256">
        <f>-Trackers!I316</f>
        <v>0</v>
      </c>
      <c r="J28" s="256">
        <f>-Trackers!J316</f>
        <v>0</v>
      </c>
      <c r="K28" s="256">
        <f>-Trackers!K316</f>
        <v>0</v>
      </c>
      <c r="L28" s="256">
        <f>-Trackers!L316</f>
        <v>0</v>
      </c>
      <c r="M28" s="256">
        <f>-Trackers!M316</f>
        <v>0</v>
      </c>
      <c r="N28" s="256">
        <f>-Trackers!N316</f>
        <v>0</v>
      </c>
      <c r="O28" s="256">
        <f>-Trackers!O316</f>
        <v>0</v>
      </c>
      <c r="P28" s="256">
        <f t="shared" si="0"/>
        <v>0</v>
      </c>
      <c r="Q28" s="257">
        <f t="shared" si="4"/>
        <v>0</v>
      </c>
      <c r="R28" s="256">
        <f t="shared" si="1"/>
        <v>0</v>
      </c>
      <c r="S28" s="256"/>
      <c r="T28" s="538">
        <f t="shared" si="2"/>
        <v>0</v>
      </c>
      <c r="U28" s="256"/>
      <c r="V28" s="256"/>
      <c r="W28" s="256"/>
      <c r="X28" s="256"/>
      <c r="Y28" s="256"/>
      <c r="Z28" s="256"/>
      <c r="AA28" s="256"/>
      <c r="AB28" s="256"/>
      <c r="AC28" s="256"/>
      <c r="AD28" s="256"/>
      <c r="AE28" s="256"/>
      <c r="AF28" s="256"/>
      <c r="AG28" s="256"/>
      <c r="AH28" s="256"/>
      <c r="AI28" s="256"/>
      <c r="AJ28" s="256"/>
      <c r="AK28" s="256"/>
      <c r="AL28" s="256"/>
      <c r="AM28" s="256"/>
      <c r="AN28" s="256"/>
    </row>
    <row r="29" spans="1:40" x14ac:dyDescent="0.2">
      <c r="A29" s="479" t="s">
        <v>337</v>
      </c>
      <c r="B29" s="460" t="s">
        <v>1135</v>
      </c>
      <c r="D29" s="256">
        <f>Trackers!D319</f>
        <v>0</v>
      </c>
      <c r="E29" s="256">
        <f>Trackers!E319</f>
        <v>0</v>
      </c>
      <c r="F29" s="256">
        <f>Trackers!F319</f>
        <v>0</v>
      </c>
      <c r="G29" s="256">
        <f>Trackers!G319</f>
        <v>0</v>
      </c>
      <c r="H29" s="256">
        <f>Trackers!H319</f>
        <v>0</v>
      </c>
      <c r="I29" s="256">
        <f>Trackers!I319</f>
        <v>0</v>
      </c>
      <c r="J29" s="256">
        <f>Trackers!J319</f>
        <v>0</v>
      </c>
      <c r="K29" s="256">
        <f>Trackers!K319</f>
        <v>0</v>
      </c>
      <c r="L29" s="256">
        <f>Trackers!L319</f>
        <v>0</v>
      </c>
      <c r="M29" s="256">
        <f>Trackers!M319</f>
        <v>0</v>
      </c>
      <c r="N29" s="256">
        <f>Trackers!N319</f>
        <v>0</v>
      </c>
      <c r="O29" s="256">
        <f>Trackers!O319</f>
        <v>0</v>
      </c>
      <c r="P29" s="256">
        <f t="shared" si="0"/>
        <v>0</v>
      </c>
      <c r="Q29" s="257">
        <f t="shared" si="4"/>
        <v>0</v>
      </c>
      <c r="R29" s="256">
        <f t="shared" si="1"/>
        <v>0</v>
      </c>
      <c r="S29" s="257"/>
      <c r="T29" s="538">
        <f t="shared" si="2"/>
        <v>0</v>
      </c>
      <c r="U29" s="256"/>
      <c r="V29" s="256"/>
      <c r="W29" s="256"/>
      <c r="X29" s="256"/>
      <c r="Y29" s="256"/>
      <c r="Z29" s="256"/>
      <c r="AA29" s="256"/>
      <c r="AB29" s="256"/>
      <c r="AC29" s="256"/>
      <c r="AD29" s="256"/>
      <c r="AE29" s="256"/>
      <c r="AF29" s="256"/>
      <c r="AG29" s="256"/>
      <c r="AH29" s="256"/>
      <c r="AI29" s="256"/>
      <c r="AJ29" s="256"/>
      <c r="AK29" s="256"/>
      <c r="AL29" s="256"/>
      <c r="AM29" s="256"/>
      <c r="AN29" s="256"/>
    </row>
    <row r="30" spans="1:40" x14ac:dyDescent="0.2">
      <c r="A30" s="466" t="s">
        <v>636</v>
      </c>
      <c r="B30" s="262" t="s">
        <v>1139</v>
      </c>
      <c r="D30" s="256">
        <f>-IntDeduct!C10</f>
        <v>0</v>
      </c>
      <c r="E30" s="256">
        <f>-IntDeduct!D10</f>
        <v>0</v>
      </c>
      <c r="F30" s="256">
        <f>-IntDeduct!E10</f>
        <v>0</v>
      </c>
      <c r="G30" s="256">
        <f>-IntDeduct!F10</f>
        <v>0</v>
      </c>
      <c r="H30" s="256">
        <f>-IntDeduct!G10</f>
        <v>0</v>
      </c>
      <c r="I30" s="256">
        <f>-IntDeduct!H10</f>
        <v>0</v>
      </c>
      <c r="J30" s="256">
        <f>-IntDeduct!I10</f>
        <v>0</v>
      </c>
      <c r="K30" s="256">
        <f>-IntDeduct!J10</f>
        <v>0</v>
      </c>
      <c r="L30" s="256">
        <f>-IntDeduct!K10</f>
        <v>0</v>
      </c>
      <c r="M30" s="256">
        <f>-IntDeduct!L10</f>
        <v>0</v>
      </c>
      <c r="N30" s="256">
        <f>-IntDeduct!M10</f>
        <v>0</v>
      </c>
      <c r="O30" s="256">
        <f>-IntDeduct!N10</f>
        <v>0</v>
      </c>
      <c r="P30" s="256">
        <f t="shared" si="0"/>
        <v>0</v>
      </c>
      <c r="Q30" s="257">
        <f t="shared" si="4"/>
        <v>0</v>
      </c>
      <c r="R30" s="256">
        <f t="shared" si="1"/>
        <v>0</v>
      </c>
      <c r="S30" s="256"/>
      <c r="T30" s="538">
        <f t="shared" si="2"/>
        <v>0</v>
      </c>
      <c r="U30" s="256"/>
      <c r="V30" s="256"/>
      <c r="W30" s="256"/>
      <c r="X30" s="256"/>
      <c r="Y30" s="256"/>
      <c r="Z30" s="256"/>
      <c r="AA30" s="256"/>
      <c r="AB30" s="256"/>
      <c r="AC30" s="256"/>
      <c r="AD30" s="256"/>
      <c r="AE30" s="256"/>
      <c r="AF30" s="256"/>
      <c r="AG30" s="256"/>
      <c r="AH30" s="256"/>
      <c r="AI30" s="256"/>
      <c r="AJ30" s="256"/>
      <c r="AK30" s="256"/>
      <c r="AL30" s="256"/>
      <c r="AM30" s="256"/>
      <c r="AN30" s="256"/>
    </row>
    <row r="31" spans="1:40" x14ac:dyDescent="0.2">
      <c r="A31" s="466" t="s">
        <v>319</v>
      </c>
      <c r="B31" s="262" t="s">
        <v>1097</v>
      </c>
      <c r="D31" s="256">
        <f>-RegAmort!C51</f>
        <v>0</v>
      </c>
      <c r="E31" s="256">
        <f>-RegAmort!D51</f>
        <v>0</v>
      </c>
      <c r="F31" s="256">
        <f>-RegAmort!E51</f>
        <v>0</v>
      </c>
      <c r="G31" s="256">
        <f>-RegAmort!F51</f>
        <v>0</v>
      </c>
      <c r="H31" s="256">
        <f>-RegAmort!G51</f>
        <v>0</v>
      </c>
      <c r="I31" s="256">
        <f>-RegAmort!H51</f>
        <v>0</v>
      </c>
      <c r="J31" s="256">
        <f>-RegAmort!I51</f>
        <v>0</v>
      </c>
      <c r="K31" s="256">
        <f>-RegAmort!J51</f>
        <v>0</v>
      </c>
      <c r="L31" s="256">
        <f>-RegAmort!K51</f>
        <v>0</v>
      </c>
      <c r="M31" s="256">
        <f>-RegAmort!L51</f>
        <v>0</v>
      </c>
      <c r="N31" s="256">
        <f>-RegAmort!M51</f>
        <v>0</v>
      </c>
      <c r="O31" s="256">
        <f>-RegAmort!N51</f>
        <v>0</v>
      </c>
      <c r="P31" s="256">
        <f t="shared" si="0"/>
        <v>0</v>
      </c>
      <c r="Q31" s="257">
        <f t="shared" si="4"/>
        <v>0</v>
      </c>
      <c r="R31" s="256">
        <f t="shared" si="1"/>
        <v>0</v>
      </c>
      <c r="S31" s="257"/>
      <c r="T31" s="538">
        <f t="shared" si="2"/>
        <v>0</v>
      </c>
      <c r="U31" s="256"/>
      <c r="V31" s="256"/>
      <c r="W31" s="256"/>
      <c r="X31" s="256"/>
      <c r="Y31" s="256"/>
      <c r="Z31" s="256"/>
      <c r="AA31" s="256"/>
      <c r="AB31" s="256"/>
      <c r="AC31" s="256"/>
      <c r="AD31" s="256"/>
      <c r="AE31" s="256"/>
      <c r="AF31" s="256"/>
      <c r="AG31" s="256"/>
      <c r="AH31" s="256"/>
      <c r="AI31" s="256"/>
      <c r="AJ31" s="256"/>
      <c r="AK31" s="256"/>
      <c r="AL31" s="256"/>
      <c r="AM31" s="256"/>
      <c r="AN31" s="256"/>
    </row>
    <row r="32" spans="1:40" x14ac:dyDescent="0.2">
      <c r="A32" s="466" t="s">
        <v>329</v>
      </c>
      <c r="B32" s="262" t="s">
        <v>1098</v>
      </c>
      <c r="D32" s="256">
        <f>OtherInc!C17</f>
        <v>0</v>
      </c>
      <c r="E32" s="256">
        <f>OtherInc!D17</f>
        <v>0</v>
      </c>
      <c r="F32" s="256">
        <f>OtherInc!E17</f>
        <v>0</v>
      </c>
      <c r="G32" s="256">
        <f>OtherInc!F17</f>
        <v>0</v>
      </c>
      <c r="H32" s="256">
        <f>OtherInc!G17</f>
        <v>0</v>
      </c>
      <c r="I32" s="256">
        <f>OtherInc!H17</f>
        <v>0</v>
      </c>
      <c r="J32" s="256">
        <f>OtherInc!I17</f>
        <v>0</v>
      </c>
      <c r="K32" s="256">
        <f>OtherInc!J17</f>
        <v>0</v>
      </c>
      <c r="L32" s="256">
        <f>OtherInc!K17</f>
        <v>0</v>
      </c>
      <c r="M32" s="256">
        <f>OtherInc!L17</f>
        <v>0</v>
      </c>
      <c r="N32" s="256">
        <f>OtherInc!M17</f>
        <v>0</v>
      </c>
      <c r="O32" s="256">
        <f>OtherInc!N17</f>
        <v>0</v>
      </c>
      <c r="P32" s="256">
        <f t="shared" si="0"/>
        <v>0</v>
      </c>
      <c r="Q32" s="257">
        <f t="shared" si="4"/>
        <v>0</v>
      </c>
      <c r="R32" s="256">
        <f t="shared" si="1"/>
        <v>0</v>
      </c>
      <c r="S32" s="257"/>
      <c r="T32" s="538">
        <f t="shared" si="2"/>
        <v>0</v>
      </c>
      <c r="U32" s="256"/>
      <c r="V32" s="256"/>
      <c r="W32" s="256"/>
      <c r="X32" s="256"/>
      <c r="Y32" s="256"/>
      <c r="Z32" s="256"/>
      <c r="AA32" s="256"/>
      <c r="AB32" s="256"/>
      <c r="AC32" s="256"/>
      <c r="AD32" s="256"/>
      <c r="AE32" s="256"/>
      <c r="AF32" s="256"/>
      <c r="AG32" s="256"/>
      <c r="AH32" s="256"/>
      <c r="AI32" s="256"/>
      <c r="AJ32" s="256"/>
      <c r="AK32" s="256"/>
      <c r="AL32" s="256"/>
      <c r="AM32" s="256"/>
      <c r="AN32" s="256"/>
    </row>
    <row r="33" spans="1:40" x14ac:dyDescent="0.2">
      <c r="A33" s="851" t="s">
        <v>331</v>
      </c>
      <c r="B33" s="852" t="s">
        <v>352</v>
      </c>
      <c r="C33" s="819"/>
      <c r="D33" s="853">
        <f>DeferredTax!R129</f>
        <v>21</v>
      </c>
      <c r="E33" s="853">
        <f>DeferredTax!S129</f>
        <v>19</v>
      </c>
      <c r="F33" s="853">
        <f>DeferredTax!T129</f>
        <v>21</v>
      </c>
      <c r="G33" s="853">
        <f>DeferredTax!U129</f>
        <v>21</v>
      </c>
      <c r="H33" s="853">
        <f>DeferredTax!V129</f>
        <v>21</v>
      </c>
      <c r="I33" s="853">
        <f>DeferredTax!W129</f>
        <v>21</v>
      </c>
      <c r="J33" s="853">
        <f>DeferredTax!X129</f>
        <v>22</v>
      </c>
      <c r="K33" s="853">
        <f>DeferredTax!Y129</f>
        <v>22</v>
      </c>
      <c r="L33" s="853">
        <f>DeferredTax!Z129</f>
        <v>21</v>
      </c>
      <c r="M33" s="853">
        <f>DeferredTax!AA129</f>
        <v>22</v>
      </c>
      <c r="N33" s="853">
        <f>DeferredTax!AB129</f>
        <v>22</v>
      </c>
      <c r="O33" s="853">
        <f>DeferredTax!AC129</f>
        <v>22</v>
      </c>
      <c r="P33" s="256">
        <f t="shared" si="0"/>
        <v>255</v>
      </c>
      <c r="Q33" s="257">
        <f t="shared" si="4"/>
        <v>40</v>
      </c>
      <c r="R33" s="256">
        <f t="shared" si="1"/>
        <v>215</v>
      </c>
      <c r="S33" s="257"/>
      <c r="T33" s="538">
        <f t="shared" si="2"/>
        <v>255</v>
      </c>
      <c r="U33" s="256"/>
      <c r="V33" s="256"/>
      <c r="W33" s="256"/>
      <c r="X33" s="256"/>
      <c r="Y33" s="256"/>
      <c r="Z33" s="256"/>
      <c r="AA33" s="256"/>
      <c r="AB33" s="256"/>
      <c r="AC33" s="256"/>
      <c r="AD33" s="256"/>
      <c r="AE33" s="256"/>
      <c r="AF33" s="256"/>
      <c r="AG33" s="256"/>
      <c r="AH33" s="256"/>
      <c r="AI33" s="256"/>
      <c r="AJ33" s="256"/>
      <c r="AK33" s="256"/>
      <c r="AL33" s="256"/>
      <c r="AM33" s="256"/>
      <c r="AN33" s="256"/>
    </row>
    <row r="34" spans="1:40" x14ac:dyDescent="0.2">
      <c r="A34" s="466" t="s">
        <v>331</v>
      </c>
      <c r="B34" s="262" t="s">
        <v>1101</v>
      </c>
      <c r="D34" s="256">
        <f>-DeferredTax!R144</f>
        <v>58</v>
      </c>
      <c r="E34" s="256">
        <f>-DeferredTax!S144</f>
        <v>58</v>
      </c>
      <c r="F34" s="256">
        <f>-DeferredTax!T144</f>
        <v>58</v>
      </c>
      <c r="G34" s="256">
        <f>-DeferredTax!U144</f>
        <v>58</v>
      </c>
      <c r="H34" s="256">
        <f>-DeferredTax!V144</f>
        <v>58</v>
      </c>
      <c r="I34" s="256">
        <f>-DeferredTax!W144</f>
        <v>58</v>
      </c>
      <c r="J34" s="256">
        <f>-DeferredTax!X144</f>
        <v>58</v>
      </c>
      <c r="K34" s="256">
        <f>-DeferredTax!Y144</f>
        <v>58</v>
      </c>
      <c r="L34" s="256">
        <f>-DeferredTax!Z144</f>
        <v>58</v>
      </c>
      <c r="M34" s="256">
        <f>-DeferredTax!AA144</f>
        <v>58</v>
      </c>
      <c r="N34" s="256">
        <f>-DeferredTax!AB144</f>
        <v>58</v>
      </c>
      <c r="O34" s="256">
        <f>-DeferredTax!AC144</f>
        <v>58</v>
      </c>
      <c r="P34" s="256">
        <f t="shared" si="0"/>
        <v>696</v>
      </c>
      <c r="Q34" s="257">
        <f t="shared" si="4"/>
        <v>116</v>
      </c>
      <c r="R34" s="256">
        <f t="shared" si="1"/>
        <v>580</v>
      </c>
      <c r="S34" s="257"/>
      <c r="T34" s="538">
        <f t="shared" si="2"/>
        <v>696</v>
      </c>
      <c r="U34" s="256"/>
      <c r="V34" s="256"/>
      <c r="W34" s="256"/>
      <c r="X34" s="256"/>
      <c r="Y34" s="256"/>
      <c r="Z34" s="256"/>
      <c r="AA34" s="256"/>
      <c r="AB34" s="256"/>
      <c r="AC34" s="256"/>
      <c r="AD34" s="256"/>
      <c r="AE34" s="256"/>
      <c r="AF34" s="256"/>
      <c r="AG34" s="256"/>
      <c r="AH34" s="256"/>
      <c r="AI34" s="256"/>
      <c r="AJ34" s="256"/>
      <c r="AK34" s="256"/>
      <c r="AL34" s="256"/>
      <c r="AM34" s="256"/>
      <c r="AN34" s="256"/>
    </row>
    <row r="35" spans="1:40" x14ac:dyDescent="0.2">
      <c r="A35" s="466" t="s">
        <v>319</v>
      </c>
      <c r="B35" s="262" t="s">
        <v>1113</v>
      </c>
      <c r="D35" s="256">
        <f>RegAmort!C33</f>
        <v>228</v>
      </c>
      <c r="E35" s="256">
        <f>RegAmort!D33</f>
        <v>228</v>
      </c>
      <c r="F35" s="256">
        <f>RegAmort!E33</f>
        <v>228</v>
      </c>
      <c r="G35" s="256">
        <f>RegAmort!F33</f>
        <v>228</v>
      </c>
      <c r="H35" s="256">
        <f>RegAmort!G33</f>
        <v>228</v>
      </c>
      <c r="I35" s="256">
        <f>RegAmort!H33</f>
        <v>228</v>
      </c>
      <c r="J35" s="256">
        <f>RegAmort!I33</f>
        <v>228</v>
      </c>
      <c r="K35" s="256">
        <f>RegAmort!J33</f>
        <v>228</v>
      </c>
      <c r="L35" s="256">
        <f>RegAmort!K33</f>
        <v>229</v>
      </c>
      <c r="M35" s="256">
        <f>RegAmort!L33</f>
        <v>240</v>
      </c>
      <c r="N35" s="256">
        <f>RegAmort!M33</f>
        <v>240</v>
      </c>
      <c r="O35" s="256">
        <f>RegAmort!N33</f>
        <v>240</v>
      </c>
      <c r="P35" s="256">
        <f t="shared" si="0"/>
        <v>2773</v>
      </c>
      <c r="Q35" s="257">
        <f t="shared" si="4"/>
        <v>456</v>
      </c>
      <c r="R35" s="256">
        <f t="shared" si="1"/>
        <v>2317</v>
      </c>
      <c r="S35" s="257"/>
      <c r="T35" s="538">
        <f t="shared" si="2"/>
        <v>2773</v>
      </c>
      <c r="U35" s="256"/>
      <c r="V35" s="256"/>
      <c r="W35" s="256"/>
      <c r="X35" s="256"/>
      <c r="Y35" s="256"/>
      <c r="Z35" s="256"/>
      <c r="AA35" s="256"/>
      <c r="AB35" s="256"/>
      <c r="AC35" s="256"/>
      <c r="AD35" s="256"/>
      <c r="AE35" s="256"/>
      <c r="AF35" s="256"/>
      <c r="AG35" s="256"/>
      <c r="AH35" s="256"/>
      <c r="AI35" s="256"/>
      <c r="AJ35" s="256"/>
      <c r="AK35" s="256"/>
      <c r="AL35" s="256"/>
      <c r="AM35" s="256"/>
      <c r="AN35" s="256"/>
    </row>
    <row r="36" spans="1:40" x14ac:dyDescent="0.2">
      <c r="A36" s="466" t="s">
        <v>331</v>
      </c>
      <c r="B36" s="255" t="s">
        <v>1127</v>
      </c>
      <c r="D36" s="256">
        <f>-DeferredTax!R26</f>
        <v>0</v>
      </c>
      <c r="E36" s="256">
        <f>-DeferredTax!S26</f>
        <v>0</v>
      </c>
      <c r="F36" s="256">
        <f>-DeferredTax!T26</f>
        <v>0</v>
      </c>
      <c r="G36" s="256">
        <f>-DeferredTax!U26</f>
        <v>0</v>
      </c>
      <c r="H36" s="256">
        <f>-DeferredTax!V26</f>
        <v>0</v>
      </c>
      <c r="I36" s="256">
        <f>-DeferredTax!W26</f>
        <v>0</v>
      </c>
      <c r="J36" s="256">
        <f>-DeferredTax!X26</f>
        <v>0</v>
      </c>
      <c r="K36" s="256">
        <f>-DeferredTax!Y26</f>
        <v>0</v>
      </c>
      <c r="L36" s="256">
        <f>-DeferredTax!Z26</f>
        <v>-2880</v>
      </c>
      <c r="M36" s="256">
        <f>-DeferredTax!AA26</f>
        <v>0</v>
      </c>
      <c r="N36" s="256">
        <f>-DeferredTax!AB26</f>
        <v>0</v>
      </c>
      <c r="O36" s="256">
        <f>-DeferredTax!AC26</f>
        <v>0</v>
      </c>
      <c r="P36" s="256">
        <f t="shared" si="0"/>
        <v>-2880</v>
      </c>
      <c r="Q36" s="257">
        <f t="shared" si="4"/>
        <v>0</v>
      </c>
      <c r="R36" s="256">
        <f t="shared" si="1"/>
        <v>-2880</v>
      </c>
      <c r="S36" s="257"/>
      <c r="T36" s="538">
        <f t="shared" si="2"/>
        <v>-2880</v>
      </c>
      <c r="U36" s="256"/>
      <c r="V36" s="256"/>
      <c r="W36" s="256"/>
      <c r="X36" s="256"/>
      <c r="Y36" s="256"/>
      <c r="Z36" s="256"/>
      <c r="AA36" s="256"/>
      <c r="AB36" s="256"/>
      <c r="AC36" s="256"/>
      <c r="AD36" s="256"/>
      <c r="AE36" s="256"/>
      <c r="AF36" s="256"/>
      <c r="AG36" s="256"/>
      <c r="AH36" s="256"/>
      <c r="AI36" s="256"/>
      <c r="AJ36" s="256"/>
      <c r="AK36" s="256"/>
      <c r="AL36" s="256"/>
      <c r="AM36" s="256"/>
      <c r="AN36" s="256"/>
    </row>
    <row r="37" spans="1:40" x14ac:dyDescent="0.2">
      <c r="A37" s="466" t="s">
        <v>319</v>
      </c>
      <c r="B37" s="262" t="s">
        <v>1103</v>
      </c>
      <c r="D37" s="256">
        <f>-RegAmort!C40</f>
        <v>-86</v>
      </c>
      <c r="E37" s="256">
        <f>-RegAmort!D40</f>
        <v>-85</v>
      </c>
      <c r="F37" s="256">
        <f>-RegAmort!E40</f>
        <v>-86</v>
      </c>
      <c r="G37" s="256">
        <f>-RegAmort!F40</f>
        <v>-86</v>
      </c>
      <c r="H37" s="256">
        <f>-RegAmort!G40</f>
        <v>-86</v>
      </c>
      <c r="I37" s="256">
        <f>-RegAmort!H40</f>
        <v>-85</v>
      </c>
      <c r="J37" s="256">
        <f>-RegAmort!I40</f>
        <v>-86</v>
      </c>
      <c r="K37" s="256">
        <f>-RegAmort!J40</f>
        <v>-85</v>
      </c>
      <c r="L37" s="256">
        <f>-RegAmort!K40</f>
        <v>-86</v>
      </c>
      <c r="M37" s="256">
        <f>-RegAmort!L40</f>
        <v>-85</v>
      </c>
      <c r="N37" s="256">
        <f>-RegAmort!M40</f>
        <v>-86</v>
      </c>
      <c r="O37" s="256">
        <f>-RegAmort!N40</f>
        <v>-86</v>
      </c>
      <c r="P37" s="256">
        <f t="shared" si="0"/>
        <v>-1028</v>
      </c>
      <c r="Q37" s="257">
        <f t="shared" si="3"/>
        <v>-171</v>
      </c>
      <c r="R37" s="256">
        <f t="shared" si="1"/>
        <v>-857</v>
      </c>
      <c r="S37" s="257"/>
      <c r="T37" s="538">
        <f t="shared" si="2"/>
        <v>-1028</v>
      </c>
      <c r="U37" s="256"/>
      <c r="V37" s="256"/>
      <c r="W37" s="256"/>
      <c r="X37" s="256"/>
      <c r="Y37" s="256"/>
      <c r="Z37" s="256"/>
      <c r="AA37" s="256"/>
      <c r="AB37" s="256"/>
      <c r="AC37" s="256"/>
      <c r="AD37" s="256"/>
      <c r="AE37" s="256"/>
      <c r="AF37" s="256"/>
      <c r="AG37" s="256"/>
      <c r="AH37" s="256"/>
      <c r="AI37" s="256"/>
      <c r="AJ37" s="256"/>
      <c r="AK37" s="256"/>
      <c r="AL37" s="256"/>
      <c r="AM37" s="256"/>
      <c r="AN37" s="256"/>
    </row>
    <row r="38" spans="1:40" x14ac:dyDescent="0.2">
      <c r="A38" s="466" t="s">
        <v>319</v>
      </c>
      <c r="B38" s="262" t="s">
        <v>1104</v>
      </c>
      <c r="D38" s="256">
        <f>-RegAmort!C42</f>
        <v>-127</v>
      </c>
      <c r="E38" s="256">
        <f>-RegAmort!D42</f>
        <v>-127</v>
      </c>
      <c r="F38" s="256">
        <f>-RegAmort!E42</f>
        <v>-127</v>
      </c>
      <c r="G38" s="256">
        <f>-RegAmort!F42</f>
        <v>-127</v>
      </c>
      <c r="H38" s="256">
        <f>-RegAmort!G42</f>
        <v>-127</v>
      </c>
      <c r="I38" s="256">
        <f>-RegAmort!H42</f>
        <v>-127</v>
      </c>
      <c r="J38" s="256">
        <f>-RegAmort!I42</f>
        <v>-127</v>
      </c>
      <c r="K38" s="256">
        <f>-RegAmort!J42</f>
        <v>-127</v>
      </c>
      <c r="L38" s="256">
        <f>-RegAmort!K42</f>
        <v>-127</v>
      </c>
      <c r="M38" s="256">
        <f>-RegAmort!L42</f>
        <v>-127</v>
      </c>
      <c r="N38" s="256">
        <f>-RegAmort!M42</f>
        <v>-128</v>
      </c>
      <c r="O38" s="256">
        <f>-RegAmort!N42</f>
        <v>-128</v>
      </c>
      <c r="P38" s="256">
        <f t="shared" ref="P38:P53" si="5">SUM(D38:O38)</f>
        <v>-1526</v>
      </c>
      <c r="Q38" s="257">
        <f t="shared" si="3"/>
        <v>-254</v>
      </c>
      <c r="R38" s="256">
        <f t="shared" ref="R38:R53" si="6">P38-Q38</f>
        <v>-1272</v>
      </c>
      <c r="S38" s="257"/>
      <c r="T38" s="538">
        <f t="shared" ref="T38:T53" si="7">SUM(D38:O38)</f>
        <v>-1526</v>
      </c>
      <c r="U38" s="256"/>
      <c r="V38" s="256"/>
      <c r="W38" s="256"/>
      <c r="X38" s="256"/>
      <c r="Y38" s="256"/>
      <c r="Z38" s="256"/>
      <c r="AA38" s="256"/>
      <c r="AB38" s="256"/>
      <c r="AC38" s="256"/>
      <c r="AD38" s="256"/>
      <c r="AE38" s="256"/>
      <c r="AF38" s="256"/>
      <c r="AG38" s="256"/>
      <c r="AH38" s="256"/>
      <c r="AI38" s="256"/>
      <c r="AJ38" s="256"/>
      <c r="AK38" s="256"/>
      <c r="AL38" s="256"/>
      <c r="AM38" s="256"/>
      <c r="AN38" s="256"/>
    </row>
    <row r="39" spans="1:40" x14ac:dyDescent="0.2">
      <c r="A39" s="466" t="s">
        <v>319</v>
      </c>
      <c r="B39" s="262" t="s">
        <v>1112</v>
      </c>
      <c r="D39" s="256">
        <f>-RegAmort!C43</f>
        <v>-28</v>
      </c>
      <c r="E39" s="256">
        <f>-RegAmort!D43</f>
        <v>-28</v>
      </c>
      <c r="F39" s="256">
        <f>-RegAmort!E43</f>
        <v>-28</v>
      </c>
      <c r="G39" s="256">
        <f>-RegAmort!F43</f>
        <v>-28</v>
      </c>
      <c r="H39" s="256">
        <f>-RegAmort!G43</f>
        <v>-28</v>
      </c>
      <c r="I39" s="256">
        <f>-RegAmort!H43</f>
        <v>-28</v>
      </c>
      <c r="J39" s="256">
        <f>-RegAmort!I43</f>
        <v>-28</v>
      </c>
      <c r="K39" s="256">
        <f>-RegAmort!J43</f>
        <v>-28</v>
      </c>
      <c r="L39" s="256">
        <f>-RegAmort!K43</f>
        <v>-28</v>
      </c>
      <c r="M39" s="256">
        <f>-RegAmort!L43</f>
        <v>-28</v>
      </c>
      <c r="N39" s="256">
        <f>-RegAmort!M43</f>
        <v>-28</v>
      </c>
      <c r="O39" s="256">
        <f>-RegAmort!N43</f>
        <v>-29</v>
      </c>
      <c r="P39" s="256">
        <f t="shared" si="5"/>
        <v>-337</v>
      </c>
      <c r="Q39" s="257">
        <f t="shared" si="3"/>
        <v>-56</v>
      </c>
      <c r="R39" s="256">
        <f t="shared" si="6"/>
        <v>-281</v>
      </c>
      <c r="S39" s="257"/>
      <c r="T39" s="538">
        <f t="shared" si="7"/>
        <v>-337</v>
      </c>
      <c r="U39" s="256"/>
      <c r="V39" s="256"/>
      <c r="W39" s="256"/>
      <c r="X39" s="256"/>
      <c r="Y39" s="256"/>
      <c r="Z39" s="256"/>
      <c r="AA39" s="256"/>
      <c r="AB39" s="256"/>
      <c r="AC39" s="256"/>
      <c r="AD39" s="256"/>
      <c r="AE39" s="256"/>
      <c r="AF39" s="256"/>
      <c r="AG39" s="256"/>
      <c r="AH39" s="256"/>
      <c r="AI39" s="256"/>
      <c r="AJ39" s="256"/>
      <c r="AK39" s="256"/>
      <c r="AL39" s="256"/>
      <c r="AM39" s="256"/>
      <c r="AN39" s="256"/>
    </row>
    <row r="40" spans="1:40" x14ac:dyDescent="0.2">
      <c r="A40" s="466" t="s">
        <v>319</v>
      </c>
      <c r="B40" s="262" t="s">
        <v>901</v>
      </c>
      <c r="D40" s="256">
        <f>RegAmort!C52</f>
        <v>349</v>
      </c>
      <c r="E40" s="256">
        <f>RegAmort!D52</f>
        <v>350</v>
      </c>
      <c r="F40" s="256">
        <f>RegAmort!E52</f>
        <v>349</v>
      </c>
      <c r="G40" s="256">
        <f>RegAmort!F52</f>
        <v>350</v>
      </c>
      <c r="H40" s="256">
        <f>RegAmort!G52</f>
        <v>349</v>
      </c>
      <c r="I40" s="256">
        <f>RegAmort!H52</f>
        <v>350</v>
      </c>
      <c r="J40" s="256">
        <f>RegAmort!I52</f>
        <v>349</v>
      </c>
      <c r="K40" s="256">
        <f>RegAmort!J52</f>
        <v>350</v>
      </c>
      <c r="L40" s="256">
        <f>RegAmort!K52</f>
        <v>349</v>
      </c>
      <c r="M40" s="256">
        <f>RegAmort!L52</f>
        <v>350</v>
      </c>
      <c r="N40" s="256">
        <f>RegAmort!M52</f>
        <v>351</v>
      </c>
      <c r="O40" s="256">
        <f>RegAmort!N52</f>
        <v>351</v>
      </c>
      <c r="P40" s="256">
        <f t="shared" si="5"/>
        <v>4197</v>
      </c>
      <c r="Q40" s="257">
        <f t="shared" si="3"/>
        <v>699</v>
      </c>
      <c r="R40" s="256">
        <f t="shared" si="6"/>
        <v>3498</v>
      </c>
      <c r="S40" s="257"/>
      <c r="T40" s="538">
        <f t="shared" si="7"/>
        <v>4197</v>
      </c>
      <c r="U40" s="256"/>
      <c r="V40" s="256"/>
      <c r="W40" s="256"/>
      <c r="X40" s="256"/>
      <c r="Y40" s="256"/>
      <c r="Z40" s="256"/>
      <c r="AA40" s="256"/>
      <c r="AB40" s="256"/>
      <c r="AC40" s="256"/>
      <c r="AD40" s="256"/>
      <c r="AE40" s="256"/>
      <c r="AF40" s="256"/>
      <c r="AG40" s="256"/>
      <c r="AH40" s="256"/>
      <c r="AI40" s="256"/>
      <c r="AJ40" s="256"/>
      <c r="AK40" s="256"/>
      <c r="AL40" s="256"/>
      <c r="AM40" s="256"/>
      <c r="AN40" s="256"/>
    </row>
    <row r="41" spans="1:40" x14ac:dyDescent="0.2">
      <c r="A41" s="466" t="s">
        <v>319</v>
      </c>
      <c r="B41" s="262" t="s">
        <v>1134</v>
      </c>
      <c r="D41" s="256">
        <f>RegAmort!C53</f>
        <v>2</v>
      </c>
      <c r="E41" s="256">
        <f>RegAmort!D53</f>
        <v>3</v>
      </c>
      <c r="F41" s="256">
        <f>RegAmort!E53</f>
        <v>2</v>
      </c>
      <c r="G41" s="256">
        <f>RegAmort!F53</f>
        <v>3</v>
      </c>
      <c r="H41" s="256">
        <f>RegAmort!G53</f>
        <v>2</v>
      </c>
      <c r="I41" s="256">
        <f>RegAmort!H53</f>
        <v>3</v>
      </c>
      <c r="J41" s="256">
        <f>RegAmort!I53</f>
        <v>2</v>
      </c>
      <c r="K41" s="256">
        <f>RegAmort!J53</f>
        <v>3</v>
      </c>
      <c r="L41" s="256">
        <f>RegAmort!K53</f>
        <v>3</v>
      </c>
      <c r="M41" s="256">
        <f>RegAmort!L53</f>
        <v>3</v>
      </c>
      <c r="N41" s="256">
        <f>RegAmort!M53</f>
        <v>2</v>
      </c>
      <c r="O41" s="256">
        <f>RegAmort!N53</f>
        <v>3</v>
      </c>
      <c r="P41" s="256">
        <f>SUM(D41:O41)</f>
        <v>31</v>
      </c>
      <c r="Q41" s="257">
        <f>SUM(D41:E41)</f>
        <v>5</v>
      </c>
      <c r="R41" s="256">
        <f>P41-Q41</f>
        <v>26</v>
      </c>
      <c r="S41" s="257"/>
      <c r="T41" s="538">
        <f>SUM(D41:O41)</f>
        <v>31</v>
      </c>
      <c r="U41" s="256"/>
      <c r="V41" s="256"/>
      <c r="W41" s="256"/>
      <c r="X41" s="256"/>
      <c r="Y41" s="256"/>
      <c r="Z41" s="256"/>
      <c r="AA41" s="256"/>
      <c r="AB41" s="256"/>
      <c r="AC41" s="256"/>
      <c r="AD41" s="256"/>
      <c r="AE41" s="256"/>
      <c r="AF41" s="256"/>
      <c r="AG41" s="256"/>
      <c r="AH41" s="256"/>
      <c r="AI41" s="256"/>
      <c r="AJ41" s="256"/>
      <c r="AK41" s="256"/>
      <c r="AL41" s="256"/>
      <c r="AM41" s="256"/>
      <c r="AN41" s="256"/>
    </row>
    <row r="42" spans="1:40" x14ac:dyDescent="0.2">
      <c r="A42" s="466" t="s">
        <v>319</v>
      </c>
      <c r="B42" s="262" t="s">
        <v>1136</v>
      </c>
      <c r="D42" s="256">
        <f>-RegAmort!C41</f>
        <v>-31</v>
      </c>
      <c r="E42" s="256">
        <f>-RegAmort!D41</f>
        <v>-31</v>
      </c>
      <c r="F42" s="256">
        <f>-RegAmort!E41</f>
        <v>-32</v>
      </c>
      <c r="G42" s="256">
        <f>-RegAmort!F41</f>
        <v>-31</v>
      </c>
      <c r="H42" s="256">
        <f>-RegAmort!G41</f>
        <v>-31</v>
      </c>
      <c r="I42" s="256">
        <f>-RegAmort!H41</f>
        <v>-32</v>
      </c>
      <c r="J42" s="256">
        <f>-RegAmort!I41</f>
        <v>-31</v>
      </c>
      <c r="K42" s="256">
        <f>-RegAmort!J41</f>
        <v>-31</v>
      </c>
      <c r="L42" s="256">
        <f>-RegAmort!K41</f>
        <v>-32</v>
      </c>
      <c r="M42" s="256">
        <f>-RegAmort!L41</f>
        <v>-32</v>
      </c>
      <c r="N42" s="256">
        <f>-RegAmort!M41</f>
        <v>-32</v>
      </c>
      <c r="O42" s="256">
        <f>-RegAmort!N41</f>
        <v>-32</v>
      </c>
      <c r="P42" s="256">
        <f>SUM(D42:O42)</f>
        <v>-378</v>
      </c>
      <c r="Q42" s="257">
        <f>SUM(D42:E42)</f>
        <v>-62</v>
      </c>
      <c r="R42" s="256">
        <f>P42-Q42</f>
        <v>-316</v>
      </c>
      <c r="S42" s="257"/>
      <c r="T42" s="538">
        <f>SUM(D42:O42)</f>
        <v>-378</v>
      </c>
      <c r="U42" s="256"/>
      <c r="V42" s="256"/>
      <c r="W42" s="256"/>
      <c r="X42" s="256"/>
      <c r="Y42" s="256"/>
      <c r="Z42" s="256"/>
      <c r="AA42" s="256"/>
      <c r="AB42" s="256"/>
      <c r="AC42" s="256"/>
      <c r="AD42" s="256"/>
      <c r="AE42" s="256"/>
      <c r="AF42" s="256"/>
      <c r="AG42" s="256"/>
      <c r="AH42" s="256"/>
      <c r="AI42" s="256"/>
      <c r="AJ42" s="256"/>
      <c r="AK42" s="256"/>
      <c r="AL42" s="256"/>
      <c r="AM42" s="256"/>
      <c r="AN42" s="256"/>
    </row>
    <row r="43" spans="1:40" x14ac:dyDescent="0.2">
      <c r="A43" s="466" t="s">
        <v>319</v>
      </c>
      <c r="B43" s="255" t="s">
        <v>1137</v>
      </c>
      <c r="D43" s="256">
        <f>-RegAmort!C44</f>
        <v>-219</v>
      </c>
      <c r="E43" s="256">
        <f>-RegAmort!D44</f>
        <v>-219</v>
      </c>
      <c r="F43" s="256">
        <f>-RegAmort!E44</f>
        <v>-219</v>
      </c>
      <c r="G43" s="256">
        <f>-RegAmort!F44</f>
        <v>-219</v>
      </c>
      <c r="H43" s="256">
        <f>-RegAmort!G44</f>
        <v>-219</v>
      </c>
      <c r="I43" s="256">
        <f>-RegAmort!H44</f>
        <v>-219</v>
      </c>
      <c r="J43" s="256">
        <f>-RegAmort!I44</f>
        <v>-219</v>
      </c>
      <c r="K43" s="256">
        <f>-RegAmort!J44</f>
        <v>-219</v>
      </c>
      <c r="L43" s="256">
        <f>-RegAmort!K44</f>
        <v>-219</v>
      </c>
      <c r="M43" s="256">
        <f>-RegAmort!L44</f>
        <v>-219</v>
      </c>
      <c r="N43" s="256">
        <f>-RegAmort!M44</f>
        <v>-219</v>
      </c>
      <c r="O43" s="256">
        <f>-RegAmort!N44</f>
        <v>-219</v>
      </c>
      <c r="P43" s="256">
        <f>SUM(D43:O43)</f>
        <v>-2628</v>
      </c>
      <c r="Q43" s="257">
        <f>SUM(D43:E43)</f>
        <v>-438</v>
      </c>
      <c r="R43" s="256">
        <f>P43-Q43</f>
        <v>-2190</v>
      </c>
      <c r="S43" s="257"/>
      <c r="T43" s="538">
        <f>SUM(D43:O43)</f>
        <v>-2628</v>
      </c>
      <c r="U43" s="256"/>
      <c r="V43" s="256"/>
      <c r="W43" s="256"/>
      <c r="X43" s="256"/>
      <c r="Y43" s="256"/>
      <c r="Z43" s="256"/>
      <c r="AA43" s="256"/>
      <c r="AB43" s="256"/>
      <c r="AC43" s="256"/>
      <c r="AD43" s="256"/>
      <c r="AE43" s="256"/>
      <c r="AF43" s="256"/>
      <c r="AG43" s="256"/>
      <c r="AH43" s="256"/>
      <c r="AI43" s="256"/>
      <c r="AJ43" s="256"/>
      <c r="AK43" s="256"/>
      <c r="AL43" s="256"/>
      <c r="AM43" s="256"/>
      <c r="AN43" s="256"/>
    </row>
    <row r="44" spans="1:40" x14ac:dyDescent="0.2">
      <c r="A44" s="466" t="s">
        <v>319</v>
      </c>
      <c r="B44" s="647" t="s">
        <v>387</v>
      </c>
      <c r="C44" s="258"/>
      <c r="D44" s="639">
        <f>DeferredTax!R152</f>
        <v>0</v>
      </c>
      <c r="E44" s="639">
        <f>DeferredTax!S152</f>
        <v>0</v>
      </c>
      <c r="F44" s="639">
        <f>DeferredTax!T152</f>
        <v>0</v>
      </c>
      <c r="G44" s="639">
        <f>DeferredTax!U152</f>
        <v>0</v>
      </c>
      <c r="H44" s="639">
        <f>DeferredTax!V152</f>
        <v>0</v>
      </c>
      <c r="I44" s="639">
        <f>DeferredTax!W152</f>
        <v>0</v>
      </c>
      <c r="J44" s="639">
        <f>DeferredTax!X152</f>
        <v>0</v>
      </c>
      <c r="K44" s="639">
        <f>DeferredTax!Y152</f>
        <v>0</v>
      </c>
      <c r="L44" s="639">
        <f>DeferredTax!Z152</f>
        <v>0</v>
      </c>
      <c r="M44" s="639">
        <f>DeferredTax!AA152</f>
        <v>0</v>
      </c>
      <c r="N44" s="639">
        <f>DeferredTax!AB152</f>
        <v>0</v>
      </c>
      <c r="O44" s="639">
        <f>DeferredTax!AC152</f>
        <v>0</v>
      </c>
      <c r="P44" s="256">
        <f>SUM(D44:O44)</f>
        <v>0</v>
      </c>
      <c r="Q44" s="257">
        <f>SUM(D44:E44)</f>
        <v>0</v>
      </c>
      <c r="R44" s="256">
        <f>P44-Q44</f>
        <v>0</v>
      </c>
      <c r="S44" s="256"/>
      <c r="T44" s="538">
        <f>SUM(D44:O44)</f>
        <v>0</v>
      </c>
      <c r="U44" s="256"/>
      <c r="V44" s="256"/>
      <c r="W44" s="256"/>
      <c r="X44" s="256"/>
      <c r="Y44" s="256"/>
      <c r="Z44" s="256"/>
      <c r="AA44" s="256"/>
      <c r="AB44" s="256"/>
      <c r="AC44" s="256"/>
      <c r="AD44" s="256"/>
      <c r="AE44" s="256"/>
      <c r="AF44" s="256"/>
      <c r="AG44" s="256"/>
      <c r="AH44" s="256"/>
      <c r="AI44" s="256"/>
      <c r="AJ44" s="256"/>
      <c r="AK44" s="256"/>
      <c r="AL44" s="256"/>
      <c r="AM44" s="256"/>
      <c r="AN44" s="256"/>
    </row>
    <row r="45" spans="1:40" x14ac:dyDescent="0.2">
      <c r="A45" s="466" t="s">
        <v>329</v>
      </c>
      <c r="B45" s="262" t="s">
        <v>332</v>
      </c>
      <c r="D45" s="486">
        <f>OtherInc!C29+OtherInc!C30</f>
        <v>15</v>
      </c>
      <c r="E45" s="486">
        <f>OtherInc!D29+OtherInc!D30</f>
        <v>3</v>
      </c>
      <c r="F45" s="486">
        <f>OtherInc!E29+OtherInc!E30</f>
        <v>21</v>
      </c>
      <c r="G45" s="486">
        <f>OtherInc!F29+OtherInc!F30</f>
        <v>58</v>
      </c>
      <c r="H45" s="486">
        <f>OtherInc!G29+OtherInc!G30</f>
        <v>106</v>
      </c>
      <c r="I45" s="486">
        <f>OtherInc!H29+OtherInc!H30</f>
        <v>148</v>
      </c>
      <c r="J45" s="486">
        <f>OtherInc!I29+OtherInc!I30</f>
        <v>-3</v>
      </c>
      <c r="K45" s="486">
        <f>OtherInc!J29+OtherInc!J30</f>
        <v>53</v>
      </c>
      <c r="L45" s="486">
        <f>OtherInc!K29+OtherInc!K30</f>
        <v>102</v>
      </c>
      <c r="M45" s="486">
        <f>OtherInc!L29+OtherInc!L30</f>
        <v>150</v>
      </c>
      <c r="N45" s="486">
        <f>OtherInc!M29+OtherInc!M30</f>
        <v>114</v>
      </c>
      <c r="O45" s="486">
        <f>OtherInc!N29+OtherInc!N30</f>
        <v>110</v>
      </c>
      <c r="P45" s="256">
        <f t="shared" si="5"/>
        <v>877</v>
      </c>
      <c r="Q45" s="257">
        <f t="shared" si="3"/>
        <v>18</v>
      </c>
      <c r="R45" s="256">
        <f t="shared" si="6"/>
        <v>859</v>
      </c>
      <c r="S45" s="257"/>
      <c r="T45" s="538">
        <f t="shared" si="7"/>
        <v>877</v>
      </c>
      <c r="U45" s="256"/>
      <c r="V45" s="256"/>
      <c r="W45" s="256"/>
      <c r="X45" s="256"/>
      <c r="Y45" s="256"/>
      <c r="Z45" s="256"/>
      <c r="AA45" s="256"/>
      <c r="AB45" s="256"/>
      <c r="AC45" s="256"/>
      <c r="AD45" s="256"/>
      <c r="AE45" s="256"/>
      <c r="AF45" s="256"/>
      <c r="AG45" s="256"/>
      <c r="AH45" s="256"/>
      <c r="AI45" s="256"/>
      <c r="AJ45" s="256"/>
      <c r="AK45" s="256"/>
      <c r="AL45" s="256"/>
      <c r="AM45" s="256"/>
      <c r="AN45" s="256"/>
    </row>
    <row r="46" spans="1:40" x14ac:dyDescent="0.2">
      <c r="A46" s="465"/>
      <c r="B46" s="255" t="s">
        <v>333</v>
      </c>
      <c r="C46" s="819" t="s">
        <v>1205</v>
      </c>
      <c r="D46" s="485">
        <v>0</v>
      </c>
      <c r="E46" s="485">
        <v>0</v>
      </c>
      <c r="F46" s="485">
        <v>0</v>
      </c>
      <c r="G46" s="485">
        <v>0</v>
      </c>
      <c r="H46" s="485">
        <v>0</v>
      </c>
      <c r="I46" s="485">
        <v>0</v>
      </c>
      <c r="J46" s="485">
        <v>0</v>
      </c>
      <c r="K46" s="485">
        <v>0</v>
      </c>
      <c r="L46" s="485">
        <v>0</v>
      </c>
      <c r="M46" s="485">
        <v>0</v>
      </c>
      <c r="N46" s="485">
        <v>0</v>
      </c>
      <c r="O46" s="485">
        <v>0</v>
      </c>
      <c r="P46" s="256">
        <f t="shared" si="5"/>
        <v>0</v>
      </c>
      <c r="Q46" s="257">
        <f t="shared" si="3"/>
        <v>0</v>
      </c>
      <c r="R46" s="256">
        <f t="shared" si="6"/>
        <v>0</v>
      </c>
      <c r="S46" s="257"/>
      <c r="T46" s="538">
        <f t="shared" si="7"/>
        <v>0</v>
      </c>
      <c r="U46" s="256"/>
      <c r="V46" s="256"/>
      <c r="W46" s="256"/>
      <c r="X46" s="256"/>
      <c r="Y46" s="256"/>
      <c r="Z46" s="256"/>
      <c r="AA46" s="256"/>
      <c r="AB46" s="256"/>
      <c r="AC46" s="256"/>
      <c r="AD46" s="256"/>
      <c r="AE46" s="256"/>
      <c r="AF46" s="256"/>
      <c r="AG46" s="256"/>
      <c r="AH46" s="256"/>
      <c r="AI46" s="256"/>
      <c r="AJ46" s="256"/>
      <c r="AK46" s="256"/>
      <c r="AL46" s="256"/>
      <c r="AM46" s="256"/>
      <c r="AN46" s="256"/>
    </row>
    <row r="47" spans="1:40" x14ac:dyDescent="0.2">
      <c r="A47" s="466" t="s">
        <v>635</v>
      </c>
      <c r="B47" s="262" t="s">
        <v>1118</v>
      </c>
      <c r="D47" s="256">
        <f>SUM('Fuel-Depr-OtherTax'!C16:C19)</f>
        <v>2881</v>
      </c>
      <c r="E47" s="256">
        <f>SUM('Fuel-Depr-OtherTax'!D16:D19)</f>
        <v>2881</v>
      </c>
      <c r="F47" s="256">
        <f>SUM('Fuel-Depr-OtherTax'!E16:E19)</f>
        <v>2887</v>
      </c>
      <c r="G47" s="256">
        <f>SUM('Fuel-Depr-OtherTax'!F16:F19)</f>
        <v>2934</v>
      </c>
      <c r="H47" s="256">
        <f>SUM('Fuel-Depr-OtherTax'!G16:G19)</f>
        <v>2934</v>
      </c>
      <c r="I47" s="256">
        <f>SUM('Fuel-Depr-OtherTax'!H16:H19)</f>
        <v>2937</v>
      </c>
      <c r="J47" s="256">
        <f>SUM('Fuel-Depr-OtherTax'!I16:I19)</f>
        <v>2939</v>
      </c>
      <c r="K47" s="256">
        <f>SUM('Fuel-Depr-OtherTax'!J16:J19)</f>
        <v>2958</v>
      </c>
      <c r="L47" s="256">
        <f>SUM('Fuel-Depr-OtherTax'!K16:K19)</f>
        <v>2970</v>
      </c>
      <c r="M47" s="256">
        <f>SUM('Fuel-Depr-OtherTax'!L16:L19)</f>
        <v>3065</v>
      </c>
      <c r="N47" s="256">
        <f>SUM('Fuel-Depr-OtherTax'!M16:M19)</f>
        <v>3065</v>
      </c>
      <c r="O47" s="256">
        <f>SUM('Fuel-Depr-OtherTax'!N16:N19)</f>
        <v>3064</v>
      </c>
      <c r="P47" s="256">
        <f t="shared" si="5"/>
        <v>35515</v>
      </c>
      <c r="Q47" s="257">
        <f t="shared" si="3"/>
        <v>5762</v>
      </c>
      <c r="R47" s="256">
        <f t="shared" si="6"/>
        <v>29753</v>
      </c>
      <c r="S47" s="257"/>
      <c r="T47" s="538">
        <f t="shared" si="7"/>
        <v>35515</v>
      </c>
      <c r="U47" s="256"/>
      <c r="V47" s="256"/>
      <c r="W47" s="256"/>
      <c r="X47" s="256"/>
      <c r="Y47" s="256"/>
      <c r="Z47" s="256"/>
      <c r="AA47" s="256"/>
      <c r="AB47" s="256"/>
      <c r="AC47" s="256"/>
      <c r="AD47" s="256"/>
      <c r="AE47" s="256"/>
      <c r="AF47" s="256"/>
      <c r="AG47" s="256"/>
      <c r="AH47" s="256"/>
      <c r="AI47" s="256"/>
      <c r="AJ47" s="256"/>
      <c r="AK47" s="256"/>
      <c r="AL47" s="256"/>
      <c r="AM47" s="256"/>
      <c r="AN47" s="256"/>
    </row>
    <row r="48" spans="1:40" x14ac:dyDescent="0.2">
      <c r="A48" s="466" t="s">
        <v>635</v>
      </c>
      <c r="B48" s="262" t="s">
        <v>1119</v>
      </c>
      <c r="D48" s="256">
        <f>-SUM('Fuel-Depr-OtherTax'!C20:C26)</f>
        <v>-1175</v>
      </c>
      <c r="E48" s="256">
        <f>-SUM('Fuel-Depr-OtherTax'!D20:D26)</f>
        <v>-1175</v>
      </c>
      <c r="F48" s="256">
        <f>-SUM('Fuel-Depr-OtherTax'!E20:E26)</f>
        <v>-1175</v>
      </c>
      <c r="G48" s="256">
        <f>-SUM('Fuel-Depr-OtherTax'!F20:F26)</f>
        <v>-1175</v>
      </c>
      <c r="H48" s="256">
        <f>-SUM('Fuel-Depr-OtherTax'!G20:G26)</f>
        <v>-1175</v>
      </c>
      <c r="I48" s="256">
        <f>-SUM('Fuel-Depr-OtherTax'!H20:H26)</f>
        <v>-1175</v>
      </c>
      <c r="J48" s="256">
        <f>-SUM('Fuel-Depr-OtherTax'!I20:I26)</f>
        <v>-1175</v>
      </c>
      <c r="K48" s="256">
        <f>-SUM('Fuel-Depr-OtherTax'!J20:J26)</f>
        <v>-1175</v>
      </c>
      <c r="L48" s="256">
        <f>-SUM('Fuel-Depr-OtherTax'!K20:K26)</f>
        <v>-1175</v>
      </c>
      <c r="M48" s="256">
        <f>-SUM('Fuel-Depr-OtherTax'!L20:L26)</f>
        <v>-1175</v>
      </c>
      <c r="N48" s="256">
        <f>-SUM('Fuel-Depr-OtherTax'!M20:M26)</f>
        <v>-1175</v>
      </c>
      <c r="O48" s="256">
        <f>-SUM('Fuel-Depr-OtherTax'!N20:N26)</f>
        <v>-1175</v>
      </c>
      <c r="P48" s="256">
        <f t="shared" si="5"/>
        <v>-14100</v>
      </c>
      <c r="Q48" s="257">
        <f t="shared" si="3"/>
        <v>-2350</v>
      </c>
      <c r="R48" s="256">
        <f t="shared" si="6"/>
        <v>-11750</v>
      </c>
      <c r="S48" s="257"/>
      <c r="T48" s="538">
        <f t="shared" si="7"/>
        <v>-14100</v>
      </c>
      <c r="U48" s="256"/>
      <c r="V48" s="256"/>
      <c r="W48" s="256"/>
      <c r="X48" s="256"/>
      <c r="Y48" s="256"/>
      <c r="Z48" s="256"/>
      <c r="AA48" s="256"/>
      <c r="AB48" s="256"/>
      <c r="AC48" s="256"/>
      <c r="AD48" s="256"/>
      <c r="AE48" s="256"/>
      <c r="AF48" s="256"/>
      <c r="AG48" s="256"/>
      <c r="AH48" s="256"/>
      <c r="AI48" s="256"/>
      <c r="AJ48" s="256"/>
      <c r="AK48" s="256"/>
      <c r="AL48" s="256"/>
      <c r="AM48" s="256"/>
      <c r="AN48" s="256"/>
    </row>
    <row r="49" spans="1:40" x14ac:dyDescent="0.2">
      <c r="A49" s="466" t="s">
        <v>635</v>
      </c>
      <c r="B49" s="262" t="s">
        <v>1120</v>
      </c>
      <c r="D49" s="256">
        <f>'Fuel-Depr-OtherTax'!C28</f>
        <v>4056</v>
      </c>
      <c r="E49" s="256">
        <f>'Fuel-Depr-OtherTax'!D28</f>
        <v>4056</v>
      </c>
      <c r="F49" s="256">
        <f>'Fuel-Depr-OtherTax'!E28</f>
        <v>4062</v>
      </c>
      <c r="G49" s="256">
        <f>'Fuel-Depr-OtherTax'!F28</f>
        <v>4109</v>
      </c>
      <c r="H49" s="256">
        <f>'Fuel-Depr-OtherTax'!G28</f>
        <v>4109</v>
      </c>
      <c r="I49" s="256">
        <f>'Fuel-Depr-OtherTax'!H28</f>
        <v>4112</v>
      </c>
      <c r="J49" s="256">
        <f>'Fuel-Depr-OtherTax'!I28</f>
        <v>4114</v>
      </c>
      <c r="K49" s="256">
        <f>'Fuel-Depr-OtherTax'!J28</f>
        <v>4133</v>
      </c>
      <c r="L49" s="256">
        <f>'Fuel-Depr-OtherTax'!K28</f>
        <v>4145</v>
      </c>
      <c r="M49" s="256">
        <f>'Fuel-Depr-OtherTax'!L28</f>
        <v>4240</v>
      </c>
      <c r="N49" s="256">
        <f>'Fuel-Depr-OtherTax'!M28</f>
        <v>4240</v>
      </c>
      <c r="O49" s="256">
        <f>'Fuel-Depr-OtherTax'!N28</f>
        <v>4239</v>
      </c>
      <c r="P49" s="256">
        <f t="shared" si="5"/>
        <v>49615</v>
      </c>
      <c r="Q49" s="257">
        <f t="shared" si="3"/>
        <v>8112</v>
      </c>
      <c r="R49" s="256">
        <f t="shared" si="6"/>
        <v>41503</v>
      </c>
      <c r="S49" s="257"/>
      <c r="T49" s="538">
        <f t="shared" si="7"/>
        <v>49615</v>
      </c>
      <c r="U49" s="256"/>
      <c r="V49" s="256"/>
      <c r="W49" s="256"/>
      <c r="X49" s="256"/>
      <c r="Y49" s="256"/>
      <c r="Z49" s="256"/>
      <c r="AA49" s="256"/>
      <c r="AB49" s="256"/>
      <c r="AC49" s="256"/>
      <c r="AD49" s="256"/>
      <c r="AE49" s="256"/>
      <c r="AF49" s="256"/>
      <c r="AG49" s="256"/>
      <c r="AH49" s="256"/>
      <c r="AI49" s="256"/>
      <c r="AJ49" s="256"/>
      <c r="AK49" s="256"/>
      <c r="AL49" s="256"/>
      <c r="AM49" s="256"/>
      <c r="AN49" s="256"/>
    </row>
    <row r="50" spans="1:40" x14ac:dyDescent="0.2">
      <c r="A50" s="466" t="s">
        <v>635</v>
      </c>
      <c r="B50" s="262" t="s">
        <v>946</v>
      </c>
      <c r="C50" s="258"/>
      <c r="D50" s="256">
        <f>-'Fuel-Depr-OtherTax'!C23</f>
        <v>-27</v>
      </c>
      <c r="E50" s="256">
        <f>-'Fuel-Depr-OtherTax'!D23</f>
        <v>-27</v>
      </c>
      <c r="F50" s="256">
        <f>-'Fuel-Depr-OtherTax'!E23</f>
        <v>-27</v>
      </c>
      <c r="G50" s="256">
        <f>-'Fuel-Depr-OtherTax'!F23</f>
        <v>-27</v>
      </c>
      <c r="H50" s="256">
        <f>-'Fuel-Depr-OtherTax'!G23</f>
        <v>-27</v>
      </c>
      <c r="I50" s="256">
        <f>-'Fuel-Depr-OtherTax'!H23</f>
        <v>-27</v>
      </c>
      <c r="J50" s="256">
        <f>-'Fuel-Depr-OtherTax'!I23</f>
        <v>-27</v>
      </c>
      <c r="K50" s="256">
        <f>-'Fuel-Depr-OtherTax'!J23</f>
        <v>-27</v>
      </c>
      <c r="L50" s="256">
        <f>-'Fuel-Depr-OtherTax'!K23</f>
        <v>-27</v>
      </c>
      <c r="M50" s="256">
        <f>-'Fuel-Depr-OtherTax'!L23</f>
        <v>-27</v>
      </c>
      <c r="N50" s="256">
        <f>-'Fuel-Depr-OtherTax'!M23</f>
        <v>-27</v>
      </c>
      <c r="O50" s="256">
        <f>-'Fuel-Depr-OtherTax'!N23</f>
        <v>-27</v>
      </c>
      <c r="P50" s="256">
        <f>SUM(D50:O50)</f>
        <v>-324</v>
      </c>
      <c r="Q50" s="257">
        <f>SUM(D50:E50)</f>
        <v>-54</v>
      </c>
      <c r="R50" s="256">
        <f>P50-Q50</f>
        <v>-270</v>
      </c>
      <c r="S50" s="257"/>
      <c r="T50" s="538">
        <f>SUM(D50:O50)</f>
        <v>-324</v>
      </c>
      <c r="U50" s="256"/>
      <c r="V50" s="256"/>
      <c r="W50" s="256"/>
      <c r="X50" s="256"/>
      <c r="Y50" s="256"/>
      <c r="Z50" s="256"/>
      <c r="AA50" s="256"/>
      <c r="AB50" s="256"/>
      <c r="AC50" s="256"/>
      <c r="AD50" s="256"/>
      <c r="AE50" s="256"/>
      <c r="AF50" s="256"/>
      <c r="AG50" s="256"/>
      <c r="AH50" s="256"/>
      <c r="AI50" s="256"/>
      <c r="AJ50" s="256"/>
      <c r="AK50" s="256"/>
      <c r="AL50" s="256"/>
      <c r="AM50" s="256"/>
      <c r="AN50" s="256"/>
    </row>
    <row r="51" spans="1:40" x14ac:dyDescent="0.2">
      <c r="A51" s="466" t="s">
        <v>635</v>
      </c>
      <c r="B51" s="262" t="s">
        <v>1121</v>
      </c>
      <c r="D51" s="256">
        <f>-SUM('Fuel-Depr-OtherTax'!C36:C45)</f>
        <v>-446</v>
      </c>
      <c r="E51" s="256">
        <f>-SUM('Fuel-Depr-OtherTax'!D36:D45)</f>
        <v>-753</v>
      </c>
      <c r="F51" s="256">
        <f>-SUM('Fuel-Depr-OtherTax'!E36:E45)</f>
        <v>-446</v>
      </c>
      <c r="G51" s="256">
        <f>-SUM('Fuel-Depr-OtherTax'!F36:F45)</f>
        <v>-446</v>
      </c>
      <c r="H51" s="256">
        <f>-SUM('Fuel-Depr-OtherTax'!G36:G45)</f>
        <v>-421</v>
      </c>
      <c r="I51" s="256">
        <f>-SUM('Fuel-Depr-OtherTax'!H36:H45)</f>
        <v>-421</v>
      </c>
      <c r="J51" s="256">
        <f>-SUM('Fuel-Depr-OtherTax'!I36:I45)</f>
        <v>-421</v>
      </c>
      <c r="K51" s="256">
        <f>-SUM('Fuel-Depr-OtherTax'!J36:J45)</f>
        <v>-420</v>
      </c>
      <c r="L51" s="256">
        <f>-SUM('Fuel-Depr-OtherTax'!K36:K45)</f>
        <v>-419</v>
      </c>
      <c r="M51" s="256">
        <f>-SUM('Fuel-Depr-OtherTax'!L36:L45)</f>
        <v>-419</v>
      </c>
      <c r="N51" s="256">
        <f>-SUM('Fuel-Depr-OtherTax'!M36:M45)</f>
        <v>-421</v>
      </c>
      <c r="O51" s="256">
        <f>-SUM('Fuel-Depr-OtherTax'!N36:N45)</f>
        <v>-421</v>
      </c>
      <c r="P51" s="256">
        <f t="shared" si="5"/>
        <v>-5454</v>
      </c>
      <c r="Q51" s="257">
        <f t="shared" si="3"/>
        <v>-1199</v>
      </c>
      <c r="R51" s="256">
        <f t="shared" si="6"/>
        <v>-4255</v>
      </c>
      <c r="S51" s="257"/>
      <c r="T51" s="538">
        <f t="shared" si="7"/>
        <v>-5454</v>
      </c>
      <c r="U51" s="256"/>
      <c r="V51" s="256"/>
      <c r="W51" s="256"/>
      <c r="X51" s="256"/>
      <c r="Y51" s="256"/>
      <c r="Z51" s="256"/>
      <c r="AA51" s="256"/>
      <c r="AB51" s="256"/>
      <c r="AC51" s="256"/>
      <c r="AD51" s="256"/>
      <c r="AE51" s="256"/>
      <c r="AF51" s="256"/>
      <c r="AG51" s="256"/>
      <c r="AH51" s="256"/>
      <c r="AI51" s="256"/>
      <c r="AJ51" s="256"/>
      <c r="AK51" s="256"/>
      <c r="AL51" s="256"/>
      <c r="AM51" s="256"/>
      <c r="AN51" s="256"/>
    </row>
    <row r="52" spans="1:40" x14ac:dyDescent="0.2">
      <c r="A52" s="466" t="s">
        <v>635</v>
      </c>
      <c r="B52" s="262" t="s">
        <v>1122</v>
      </c>
      <c r="D52" s="256">
        <f>'Fuel-Depr-OtherTax'!C50</f>
        <v>2763</v>
      </c>
      <c r="E52" s="256">
        <f>'Fuel-Depr-OtherTax'!D50</f>
        <v>3070</v>
      </c>
      <c r="F52" s="256">
        <f>'Fuel-Depr-OtherTax'!E50</f>
        <v>2763</v>
      </c>
      <c r="G52" s="256">
        <f>'Fuel-Depr-OtherTax'!F50</f>
        <v>2763</v>
      </c>
      <c r="H52" s="256">
        <f>'Fuel-Depr-OtherTax'!G50</f>
        <v>2738</v>
      </c>
      <c r="I52" s="256">
        <f>'Fuel-Depr-OtherTax'!H50</f>
        <v>2738</v>
      </c>
      <c r="J52" s="256">
        <f>'Fuel-Depr-OtherTax'!I50</f>
        <v>2738</v>
      </c>
      <c r="K52" s="256">
        <f>'Fuel-Depr-OtherTax'!J50</f>
        <v>2737</v>
      </c>
      <c r="L52" s="256">
        <f>'Fuel-Depr-OtherTax'!K50</f>
        <v>2736</v>
      </c>
      <c r="M52" s="256">
        <f>'Fuel-Depr-OtherTax'!L50</f>
        <v>2736</v>
      </c>
      <c r="N52" s="256">
        <f>'Fuel-Depr-OtherTax'!M50</f>
        <v>2738</v>
      </c>
      <c r="O52" s="256">
        <f>'Fuel-Depr-OtherTax'!N50</f>
        <v>2738</v>
      </c>
      <c r="P52" s="256">
        <f t="shared" si="5"/>
        <v>33258</v>
      </c>
      <c r="Q52" s="257">
        <f t="shared" si="3"/>
        <v>5833</v>
      </c>
      <c r="R52" s="256">
        <f t="shared" si="6"/>
        <v>27425</v>
      </c>
      <c r="S52" s="257"/>
      <c r="T52" s="538">
        <f t="shared" si="7"/>
        <v>33258</v>
      </c>
      <c r="U52" s="256"/>
      <c r="V52" s="256"/>
      <c r="W52" s="256"/>
      <c r="X52" s="256"/>
      <c r="Y52" s="256"/>
      <c r="Z52" s="256"/>
      <c r="AA52" s="256"/>
      <c r="AB52" s="256"/>
      <c r="AC52" s="256"/>
      <c r="AD52" s="256"/>
      <c r="AE52" s="256"/>
      <c r="AF52" s="256"/>
      <c r="AG52" s="256"/>
      <c r="AH52" s="256"/>
      <c r="AI52" s="256"/>
      <c r="AJ52" s="256"/>
      <c r="AK52" s="256"/>
      <c r="AL52" s="256"/>
      <c r="AM52" s="256"/>
      <c r="AN52" s="256"/>
    </row>
    <row r="53" spans="1:40" x14ac:dyDescent="0.2">
      <c r="A53" s="466" t="s">
        <v>331</v>
      </c>
      <c r="B53" s="441" t="s">
        <v>911</v>
      </c>
      <c r="D53" s="256">
        <f>DeferredTax!R24</f>
        <v>0</v>
      </c>
      <c r="E53" s="256">
        <f>DeferredTax!S24</f>
        <v>0</v>
      </c>
      <c r="F53" s="256">
        <f>DeferredTax!T24</f>
        <v>0</v>
      </c>
      <c r="G53" s="256">
        <f>DeferredTax!U24</f>
        <v>0</v>
      </c>
      <c r="H53" s="256">
        <f>DeferredTax!V24</f>
        <v>0</v>
      </c>
      <c r="I53" s="256">
        <f>DeferredTax!W24</f>
        <v>0</v>
      </c>
      <c r="J53" s="256">
        <f>DeferredTax!X24</f>
        <v>0</v>
      </c>
      <c r="K53" s="256">
        <f>DeferredTax!Y24</f>
        <v>0</v>
      </c>
      <c r="L53" s="256">
        <f>DeferredTax!Z24</f>
        <v>0</v>
      </c>
      <c r="M53" s="256">
        <f>DeferredTax!AA24</f>
        <v>0</v>
      </c>
      <c r="N53" s="256">
        <f>DeferredTax!AB24</f>
        <v>0</v>
      </c>
      <c r="O53" s="256">
        <f>DeferredTax!AC24</f>
        <v>0</v>
      </c>
      <c r="P53" s="256">
        <f t="shared" si="5"/>
        <v>0</v>
      </c>
      <c r="Q53" s="257">
        <f t="shared" si="3"/>
        <v>0</v>
      </c>
      <c r="R53" s="256">
        <f t="shared" si="6"/>
        <v>0</v>
      </c>
      <c r="S53" s="257"/>
      <c r="T53" s="538">
        <f t="shared" si="7"/>
        <v>0</v>
      </c>
      <c r="U53" s="256"/>
      <c r="V53" s="256"/>
      <c r="W53" s="256"/>
      <c r="X53" s="256"/>
      <c r="Y53" s="256"/>
      <c r="Z53" s="256"/>
      <c r="AA53" s="256"/>
      <c r="AB53" s="256"/>
      <c r="AC53" s="256"/>
      <c r="AD53" s="256"/>
      <c r="AE53" s="256"/>
      <c r="AF53" s="256"/>
      <c r="AG53" s="256"/>
      <c r="AH53" s="256"/>
      <c r="AI53" s="256"/>
      <c r="AJ53" s="256"/>
      <c r="AK53" s="256"/>
      <c r="AL53" s="256"/>
      <c r="AM53" s="256"/>
      <c r="AN53" s="256"/>
    </row>
    <row r="54" spans="1:40" x14ac:dyDescent="0.2">
      <c r="A54" s="466" t="s">
        <v>329</v>
      </c>
      <c r="B54" s="262" t="s">
        <v>1123</v>
      </c>
      <c r="C54" s="258"/>
      <c r="D54" s="256">
        <f>OtherInc!C12</f>
        <v>289</v>
      </c>
      <c r="E54" s="256">
        <f>OtherInc!D12</f>
        <v>287</v>
      </c>
      <c r="F54" s="256">
        <f>OtherInc!E12</f>
        <v>289</v>
      </c>
      <c r="G54" s="256">
        <f>OtherInc!F12</f>
        <v>287</v>
      </c>
      <c r="H54" s="256">
        <f>OtherInc!G12</f>
        <v>285</v>
      </c>
      <c r="I54" s="256">
        <f>OtherInc!H12</f>
        <v>846</v>
      </c>
      <c r="J54" s="256">
        <f>OtherInc!I12</f>
        <v>847</v>
      </c>
      <c r="K54" s="256">
        <f>OtherInc!J12</f>
        <v>711</v>
      </c>
      <c r="L54" s="256">
        <f>OtherInc!K12</f>
        <v>710</v>
      </c>
      <c r="M54" s="256">
        <f>OtherInc!L12</f>
        <v>681</v>
      </c>
      <c r="N54" s="256">
        <f>OtherInc!M12</f>
        <v>703</v>
      </c>
      <c r="O54" s="256">
        <f>OtherInc!N12</f>
        <v>704</v>
      </c>
      <c r="P54" s="256">
        <f>SUM(D54:O54)</f>
        <v>6639</v>
      </c>
      <c r="Q54" s="257">
        <f t="shared" si="3"/>
        <v>576</v>
      </c>
      <c r="R54" s="256">
        <f>P54-Q54</f>
        <v>6063</v>
      </c>
      <c r="S54" s="257"/>
      <c r="T54" s="538">
        <f>SUM(D54:O54)</f>
        <v>6639</v>
      </c>
      <c r="U54" s="256"/>
      <c r="V54" s="256"/>
      <c r="W54" s="256"/>
      <c r="X54" s="256"/>
      <c r="Y54" s="256"/>
      <c r="Z54" s="256"/>
      <c r="AA54" s="256"/>
      <c r="AB54" s="256"/>
      <c r="AC54" s="256"/>
      <c r="AD54" s="256"/>
      <c r="AE54" s="256"/>
      <c r="AF54" s="256"/>
      <c r="AG54" s="256"/>
      <c r="AH54" s="256"/>
      <c r="AI54" s="256"/>
      <c r="AJ54" s="256"/>
      <c r="AK54" s="256"/>
      <c r="AL54" s="256"/>
      <c r="AM54" s="256"/>
      <c r="AN54" s="256"/>
    </row>
    <row r="55" spans="1:40" x14ac:dyDescent="0.2">
      <c r="A55" s="466" t="s">
        <v>331</v>
      </c>
      <c r="B55" s="460" t="s">
        <v>1124</v>
      </c>
      <c r="D55" s="256">
        <f>-DeferredTax!R134</f>
        <v>0</v>
      </c>
      <c r="E55" s="256">
        <f>-DeferredTax!S134</f>
        <v>0</v>
      </c>
      <c r="F55" s="256">
        <f>-DeferredTax!T134</f>
        <v>0</v>
      </c>
      <c r="G55" s="256">
        <f>-DeferredTax!U134</f>
        <v>0</v>
      </c>
      <c r="H55" s="256">
        <f>-DeferredTax!V134</f>
        <v>0</v>
      </c>
      <c r="I55" s="256">
        <f>-DeferredTax!W134</f>
        <v>0</v>
      </c>
      <c r="J55" s="256">
        <f>-DeferredTax!X134</f>
        <v>0</v>
      </c>
      <c r="K55" s="256">
        <f>-DeferredTax!Y134</f>
        <v>0</v>
      </c>
      <c r="L55" s="256">
        <f>-DeferredTax!Z134</f>
        <v>0</v>
      </c>
      <c r="M55" s="256">
        <f>-DeferredTax!AA134</f>
        <v>0</v>
      </c>
      <c r="N55" s="256">
        <f>-DeferredTax!AB134</f>
        <v>0</v>
      </c>
      <c r="O55" s="256">
        <f>-DeferredTax!AC134</f>
        <v>0</v>
      </c>
      <c r="P55" s="256">
        <f t="shared" ref="P55:P65" si="8">SUM(D55:O55)</f>
        <v>0</v>
      </c>
      <c r="Q55" s="257">
        <f t="shared" si="3"/>
        <v>0</v>
      </c>
      <c r="R55" s="256">
        <f t="shared" ref="R55:R65" si="9">P55-Q55</f>
        <v>0</v>
      </c>
      <c r="S55" s="257"/>
      <c r="T55" s="538">
        <f t="shared" ref="T55:T65" si="10">SUM(D55:O55)</f>
        <v>0</v>
      </c>
      <c r="U55" s="256"/>
      <c r="V55" s="256"/>
      <c r="W55" s="256"/>
      <c r="X55" s="256"/>
      <c r="Y55" s="256"/>
      <c r="Z55" s="256"/>
      <c r="AA55" s="256"/>
      <c r="AB55" s="256"/>
      <c r="AC55" s="256"/>
      <c r="AD55" s="256"/>
      <c r="AE55" s="256"/>
      <c r="AF55" s="256"/>
      <c r="AG55" s="256"/>
      <c r="AH55" s="256"/>
      <c r="AI55" s="256"/>
      <c r="AJ55" s="256"/>
      <c r="AK55" s="256"/>
      <c r="AL55" s="256"/>
      <c r="AM55" s="256"/>
      <c r="AN55" s="256"/>
    </row>
    <row r="56" spans="1:40" x14ac:dyDescent="0.2">
      <c r="A56" s="466" t="s">
        <v>331</v>
      </c>
      <c r="B56" s="469" t="s">
        <v>334</v>
      </c>
      <c r="C56" s="258"/>
      <c r="D56" s="256">
        <f>-DeferredTax!R137</f>
        <v>-121</v>
      </c>
      <c r="E56" s="256">
        <f>-DeferredTax!S137</f>
        <v>-182</v>
      </c>
      <c r="F56" s="256">
        <f>-DeferredTax!T137</f>
        <v>-152</v>
      </c>
      <c r="G56" s="256">
        <f>-DeferredTax!U137</f>
        <v>-111</v>
      </c>
      <c r="H56" s="256">
        <f>-DeferredTax!V137</f>
        <v>-220</v>
      </c>
      <c r="I56" s="256">
        <f>-DeferredTax!W137</f>
        <v>-129</v>
      </c>
      <c r="J56" s="256">
        <f>-DeferredTax!X137</f>
        <v>-175</v>
      </c>
      <c r="K56" s="256">
        <f>-DeferredTax!Y137</f>
        <v>-176</v>
      </c>
      <c r="L56" s="256">
        <f>-DeferredTax!Z137</f>
        <v>-209</v>
      </c>
      <c r="M56" s="256">
        <f>-DeferredTax!AA137</f>
        <v>-151</v>
      </c>
      <c r="N56" s="256">
        <f>-DeferredTax!AB137</f>
        <v>-244</v>
      </c>
      <c r="O56" s="256">
        <f>-DeferredTax!AC137</f>
        <v>-138</v>
      </c>
      <c r="P56" s="256">
        <f t="shared" si="8"/>
        <v>-2008</v>
      </c>
      <c r="Q56" s="257">
        <f t="shared" si="3"/>
        <v>-303</v>
      </c>
      <c r="R56" s="256">
        <f t="shared" si="9"/>
        <v>-1705</v>
      </c>
      <c r="S56" s="257"/>
      <c r="T56" s="538">
        <f t="shared" si="10"/>
        <v>-2008</v>
      </c>
      <c r="U56" s="256"/>
      <c r="V56" s="256"/>
      <c r="W56" s="256"/>
      <c r="X56" s="256"/>
      <c r="Y56" s="256"/>
      <c r="Z56" s="256"/>
      <c r="AA56" s="256"/>
      <c r="AB56" s="256"/>
      <c r="AC56" s="256"/>
      <c r="AD56" s="256"/>
      <c r="AE56" s="256"/>
      <c r="AF56" s="256"/>
      <c r="AG56" s="256"/>
      <c r="AH56" s="256"/>
      <c r="AI56" s="256"/>
      <c r="AJ56" s="256"/>
      <c r="AK56" s="256"/>
      <c r="AL56" s="256"/>
      <c r="AM56" s="256"/>
      <c r="AN56" s="256"/>
    </row>
    <row r="57" spans="1:40" x14ac:dyDescent="0.2">
      <c r="A57" s="466" t="s">
        <v>331</v>
      </c>
      <c r="B57" s="262" t="s">
        <v>335</v>
      </c>
      <c r="C57" s="251"/>
      <c r="D57" s="256">
        <f>-DeferredTax!R29+DeferredTax!R137</f>
        <v>0</v>
      </c>
      <c r="E57" s="256">
        <f>-DeferredTax!S29+DeferredTax!S137</f>
        <v>0</v>
      </c>
      <c r="F57" s="256">
        <f>-DeferredTax!T29+DeferredTax!T137</f>
        <v>0</v>
      </c>
      <c r="G57" s="256">
        <f>-DeferredTax!U29+DeferredTax!U137</f>
        <v>0</v>
      </c>
      <c r="H57" s="256">
        <f>-DeferredTax!V29+DeferredTax!V137</f>
        <v>0</v>
      </c>
      <c r="I57" s="256">
        <f>-DeferredTax!W29+DeferredTax!W137</f>
        <v>0</v>
      </c>
      <c r="J57" s="256">
        <f>-DeferredTax!X29+DeferredTax!X137</f>
        <v>0</v>
      </c>
      <c r="K57" s="256">
        <f>-DeferredTax!Y29+DeferredTax!Y137</f>
        <v>0</v>
      </c>
      <c r="L57" s="256">
        <f>-DeferredTax!Z29+DeferredTax!Z137</f>
        <v>0</v>
      </c>
      <c r="M57" s="256">
        <f>-DeferredTax!AA29+DeferredTax!AA137</f>
        <v>0</v>
      </c>
      <c r="N57" s="256">
        <f>-DeferredTax!AB29+DeferredTax!AB137</f>
        <v>0</v>
      </c>
      <c r="O57" s="256">
        <f>-DeferredTax!AC29+DeferredTax!AC137</f>
        <v>0</v>
      </c>
      <c r="P57" s="256">
        <f t="shared" si="8"/>
        <v>0</v>
      </c>
      <c r="Q57" s="257">
        <f t="shared" si="3"/>
        <v>0</v>
      </c>
      <c r="R57" s="256">
        <f t="shared" si="9"/>
        <v>0</v>
      </c>
      <c r="S57" s="257"/>
      <c r="T57" s="538">
        <f t="shared" si="10"/>
        <v>0</v>
      </c>
      <c r="U57" s="256"/>
      <c r="V57" s="256"/>
      <c r="W57" s="256"/>
      <c r="X57" s="256"/>
      <c r="Y57" s="256"/>
      <c r="Z57" s="256"/>
      <c r="AA57" s="256"/>
      <c r="AB57" s="256"/>
      <c r="AC57" s="256"/>
      <c r="AD57" s="256"/>
      <c r="AE57" s="256"/>
      <c r="AF57" s="256"/>
      <c r="AG57" s="256"/>
      <c r="AH57" s="256"/>
      <c r="AI57" s="256"/>
      <c r="AJ57" s="256"/>
      <c r="AK57" s="256"/>
      <c r="AL57" s="256"/>
      <c r="AM57" s="256"/>
      <c r="AN57" s="256"/>
    </row>
    <row r="58" spans="1:40" x14ac:dyDescent="0.2">
      <c r="A58" s="466" t="s">
        <v>636</v>
      </c>
      <c r="B58" s="262" t="s">
        <v>1125</v>
      </c>
      <c r="D58" s="256">
        <f>-IntDeduct!C42</f>
        <v>-39</v>
      </c>
      <c r="E58" s="256">
        <f>-IntDeduct!D42</f>
        <v>-38</v>
      </c>
      <c r="F58" s="256">
        <f>-IntDeduct!E42</f>
        <v>-39</v>
      </c>
      <c r="G58" s="256">
        <f>-IntDeduct!F42</f>
        <v>-38</v>
      </c>
      <c r="H58" s="256">
        <f>-IntDeduct!G42</f>
        <v>-39</v>
      </c>
      <c r="I58" s="256">
        <f>-IntDeduct!H42</f>
        <v>-38</v>
      </c>
      <c r="J58" s="256">
        <f>-IntDeduct!I42</f>
        <v>-39</v>
      </c>
      <c r="K58" s="256">
        <f>-IntDeduct!J42</f>
        <v>-38</v>
      </c>
      <c r="L58" s="256">
        <f>-IntDeduct!K42</f>
        <v>-39</v>
      </c>
      <c r="M58" s="256">
        <f>-IntDeduct!L42</f>
        <v>-33</v>
      </c>
      <c r="N58" s="256">
        <f>-IntDeduct!M42</f>
        <v>-28</v>
      </c>
      <c r="O58" s="256">
        <f>-IntDeduct!N42</f>
        <v>-28</v>
      </c>
      <c r="P58" s="256">
        <f t="shared" si="8"/>
        <v>-436</v>
      </c>
      <c r="Q58" s="257">
        <f t="shared" si="3"/>
        <v>-77</v>
      </c>
      <c r="R58" s="256">
        <f t="shared" si="9"/>
        <v>-359</v>
      </c>
      <c r="S58" s="257"/>
      <c r="T58" s="538">
        <f t="shared" si="10"/>
        <v>-436</v>
      </c>
      <c r="U58" s="256"/>
      <c r="V58" s="256"/>
      <c r="W58" s="256"/>
      <c r="X58" s="256"/>
      <c r="Y58" s="256"/>
      <c r="Z58" s="256"/>
      <c r="AA58" s="256"/>
      <c r="AB58" s="256"/>
      <c r="AC58" s="256"/>
      <c r="AD58" s="256"/>
      <c r="AE58" s="256"/>
      <c r="AF58" s="256"/>
      <c r="AG58" s="256"/>
      <c r="AH58" s="256"/>
      <c r="AI58" s="256"/>
      <c r="AJ58" s="256"/>
      <c r="AK58" s="256"/>
      <c r="AL58" s="256"/>
      <c r="AM58" s="256"/>
      <c r="AN58" s="256"/>
    </row>
    <row r="59" spans="1:40" x14ac:dyDescent="0.2">
      <c r="A59" s="466" t="s">
        <v>636</v>
      </c>
      <c r="B59" s="262" t="s">
        <v>1126</v>
      </c>
      <c r="D59" s="256">
        <f>-IntDeduct!C43</f>
        <v>1</v>
      </c>
      <c r="E59" s="256">
        <f>-IntDeduct!D43</f>
        <v>0</v>
      </c>
      <c r="F59" s="256">
        <f>-IntDeduct!E43</f>
        <v>1</v>
      </c>
      <c r="G59" s="256">
        <f>-IntDeduct!F43</f>
        <v>0</v>
      </c>
      <c r="H59" s="256">
        <f>-IntDeduct!G43</f>
        <v>1</v>
      </c>
      <c r="I59" s="256">
        <f>-IntDeduct!H43</f>
        <v>1</v>
      </c>
      <c r="J59" s="256">
        <f>-IntDeduct!I43</f>
        <v>0</v>
      </c>
      <c r="K59" s="256">
        <f>-IntDeduct!J43</f>
        <v>1</v>
      </c>
      <c r="L59" s="256">
        <f>-IntDeduct!K43</f>
        <v>0</v>
      </c>
      <c r="M59" s="256">
        <f>-IntDeduct!L43</f>
        <v>1</v>
      </c>
      <c r="N59" s="256">
        <f>-IntDeduct!M43</f>
        <v>0</v>
      </c>
      <c r="O59" s="256">
        <f>-IntDeduct!N43</f>
        <v>1</v>
      </c>
      <c r="P59" s="256">
        <f t="shared" si="8"/>
        <v>7</v>
      </c>
      <c r="Q59" s="257">
        <f t="shared" si="3"/>
        <v>1</v>
      </c>
      <c r="R59" s="256">
        <f t="shared" si="9"/>
        <v>6</v>
      </c>
      <c r="S59" s="257"/>
      <c r="T59" s="538">
        <f t="shared" si="10"/>
        <v>7</v>
      </c>
      <c r="U59" s="256"/>
      <c r="V59" s="256"/>
      <c r="W59" s="256"/>
      <c r="X59" s="256"/>
      <c r="Y59" s="256"/>
      <c r="Z59" s="256"/>
      <c r="AA59" s="256"/>
      <c r="AB59" s="256"/>
      <c r="AC59" s="256"/>
      <c r="AD59" s="256"/>
      <c r="AE59" s="256"/>
      <c r="AF59" s="256"/>
      <c r="AG59" s="256"/>
      <c r="AH59" s="256"/>
      <c r="AI59" s="256"/>
      <c r="AJ59" s="256"/>
      <c r="AK59" s="256"/>
      <c r="AL59" s="256"/>
      <c r="AM59" s="256"/>
      <c r="AN59" s="256"/>
    </row>
    <row r="60" spans="1:40" x14ac:dyDescent="0.2">
      <c r="A60" s="466" t="s">
        <v>331</v>
      </c>
      <c r="B60" s="262" t="s">
        <v>1128</v>
      </c>
      <c r="C60" s="258"/>
      <c r="D60" s="256">
        <f>-IncomeState!C52-SUM(DeferredTax!R69:R72)-DeferredTax!R78</f>
        <v>-11329</v>
      </c>
      <c r="E60" s="256">
        <f>-IncomeState!D52-SUM(DeferredTax!S69:S72)-DeferredTax!S78</f>
        <v>-10831</v>
      </c>
      <c r="F60" s="256">
        <f>-IncomeState!E52-SUM(DeferredTax!T69:T72)-DeferredTax!T78</f>
        <v>-12552</v>
      </c>
      <c r="G60" s="256">
        <f>-IncomeState!F52-SUM(DeferredTax!U69:U72)-DeferredTax!U78</f>
        <v>1185</v>
      </c>
      <c r="H60" s="256">
        <f>-IncomeState!G52-SUM(DeferredTax!V69:V72)-DeferredTax!V78</f>
        <v>2103</v>
      </c>
      <c r="I60" s="256">
        <f>-IncomeState!H52-SUM(DeferredTax!W69:W72)-DeferredTax!W78</f>
        <v>-3812</v>
      </c>
      <c r="J60" s="256">
        <f>-IncomeState!I52-SUM(DeferredTax!X69:X72)-DeferredTax!X78</f>
        <v>636</v>
      </c>
      <c r="K60" s="256">
        <f>-IncomeState!J52-SUM(DeferredTax!Y69:Y72)-DeferredTax!Y78</f>
        <v>308</v>
      </c>
      <c r="L60" s="256">
        <f>-IncomeState!K52-SUM(DeferredTax!Z69:Z72)-DeferredTax!Z78</f>
        <v>1660</v>
      </c>
      <c r="M60" s="256">
        <f>-IncomeState!L52-SUM(DeferredTax!AA69:AA72)-DeferredTax!AA78</f>
        <v>1017</v>
      </c>
      <c r="N60" s="256">
        <f>-IncomeState!M52-SUM(DeferredTax!AB69:AB72)-DeferredTax!AB78</f>
        <v>-11215</v>
      </c>
      <c r="O60" s="256">
        <f>-IncomeState!N52-SUM(DeferredTax!AC69:AC72)-DeferredTax!AC78</f>
        <v>-13162</v>
      </c>
      <c r="P60" s="256">
        <f t="shared" si="8"/>
        <v>-55992</v>
      </c>
      <c r="Q60" s="257">
        <f t="shared" si="3"/>
        <v>-22160</v>
      </c>
      <c r="R60" s="256">
        <f t="shared" si="9"/>
        <v>-33832</v>
      </c>
      <c r="S60" s="257"/>
      <c r="T60" s="538">
        <f t="shared" si="10"/>
        <v>-55992</v>
      </c>
      <c r="U60" s="256"/>
      <c r="V60" s="256"/>
      <c r="W60" s="256"/>
      <c r="X60" s="256"/>
      <c r="Y60" s="256"/>
      <c r="Z60" s="256"/>
      <c r="AA60" s="256"/>
      <c r="AB60" s="256"/>
      <c r="AC60" s="256"/>
      <c r="AD60" s="256"/>
      <c r="AE60" s="256"/>
      <c r="AF60" s="256"/>
      <c r="AG60" s="256"/>
      <c r="AH60" s="256"/>
      <c r="AI60" s="256"/>
      <c r="AJ60" s="256"/>
      <c r="AK60" s="256"/>
      <c r="AL60" s="256"/>
      <c r="AM60" s="256"/>
      <c r="AN60" s="256"/>
    </row>
    <row r="61" spans="1:40" x14ac:dyDescent="0.2">
      <c r="A61" s="466" t="s">
        <v>331</v>
      </c>
      <c r="B61" s="262" t="s">
        <v>1129</v>
      </c>
      <c r="D61" s="256">
        <f>DeferredTax!R82</f>
        <v>0</v>
      </c>
      <c r="E61" s="256">
        <f>DeferredTax!S82</f>
        <v>0</v>
      </c>
      <c r="F61" s="256">
        <f>DeferredTax!T82</f>
        <v>0</v>
      </c>
      <c r="G61" s="256">
        <f>DeferredTax!U82</f>
        <v>0</v>
      </c>
      <c r="H61" s="256">
        <f>DeferredTax!V82</f>
        <v>0</v>
      </c>
      <c r="I61" s="256">
        <f>DeferredTax!W82</f>
        <v>0</v>
      </c>
      <c r="J61" s="256">
        <f>DeferredTax!X82</f>
        <v>0</v>
      </c>
      <c r="K61" s="256">
        <f>DeferredTax!Y82</f>
        <v>0</v>
      </c>
      <c r="L61" s="256">
        <f>DeferredTax!Z82</f>
        <v>0</v>
      </c>
      <c r="M61" s="256">
        <f>DeferredTax!AA82</f>
        <v>0</v>
      </c>
      <c r="N61" s="256">
        <f>DeferredTax!AB82</f>
        <v>0</v>
      </c>
      <c r="O61" s="256">
        <f>DeferredTax!AC82</f>
        <v>0</v>
      </c>
      <c r="P61" s="256">
        <f t="shared" si="8"/>
        <v>0</v>
      </c>
      <c r="Q61" s="257">
        <f t="shared" si="3"/>
        <v>0</v>
      </c>
      <c r="R61" s="256">
        <f t="shared" si="9"/>
        <v>0</v>
      </c>
      <c r="S61" s="257"/>
      <c r="T61" s="538">
        <f t="shared" si="10"/>
        <v>0</v>
      </c>
      <c r="U61" s="256"/>
      <c r="V61" s="256"/>
      <c r="W61" s="256"/>
      <c r="X61" s="256"/>
      <c r="Y61" s="256"/>
      <c r="Z61" s="256"/>
      <c r="AA61" s="256"/>
      <c r="AB61" s="256"/>
      <c r="AC61" s="256"/>
      <c r="AD61" s="256"/>
      <c r="AE61" s="256"/>
      <c r="AF61" s="256"/>
      <c r="AG61" s="256"/>
      <c r="AH61" s="256"/>
      <c r="AI61" s="256"/>
      <c r="AJ61" s="256"/>
      <c r="AK61" s="256"/>
      <c r="AL61" s="256"/>
      <c r="AM61" s="256"/>
      <c r="AN61" s="256"/>
    </row>
    <row r="62" spans="1:40" x14ac:dyDescent="0.2">
      <c r="A62" s="466" t="s">
        <v>331</v>
      </c>
      <c r="B62" s="262" t="s">
        <v>1130</v>
      </c>
      <c r="D62" s="256">
        <f>DeferredTax!R83</f>
        <v>643</v>
      </c>
      <c r="E62" s="256">
        <f>DeferredTax!S83</f>
        <v>672</v>
      </c>
      <c r="F62" s="256">
        <f>DeferredTax!T83</f>
        <v>691</v>
      </c>
      <c r="G62" s="256">
        <f>DeferredTax!U83</f>
        <v>488</v>
      </c>
      <c r="H62" s="256">
        <f>DeferredTax!V83</f>
        <v>1398</v>
      </c>
      <c r="I62" s="256">
        <f>DeferredTax!W83</f>
        <v>1010</v>
      </c>
      <c r="J62" s="256">
        <f>DeferredTax!X83</f>
        <v>82</v>
      </c>
      <c r="K62" s="256">
        <f>DeferredTax!Y83</f>
        <v>186</v>
      </c>
      <c r="L62" s="256">
        <f>DeferredTax!Z83</f>
        <v>1494</v>
      </c>
      <c r="M62" s="256">
        <f>DeferredTax!AA83</f>
        <v>358</v>
      </c>
      <c r="N62" s="256">
        <f>DeferredTax!AB83</f>
        <v>-126</v>
      </c>
      <c r="O62" s="256">
        <f>DeferredTax!AC83</f>
        <v>516</v>
      </c>
      <c r="P62" s="256">
        <f t="shared" si="8"/>
        <v>7412</v>
      </c>
      <c r="Q62" s="257">
        <f t="shared" si="3"/>
        <v>1315</v>
      </c>
      <c r="R62" s="256">
        <f t="shared" si="9"/>
        <v>6097</v>
      </c>
      <c r="S62" s="257"/>
      <c r="T62" s="538">
        <f t="shared" si="10"/>
        <v>7412</v>
      </c>
      <c r="U62" s="256"/>
      <c r="V62" s="256"/>
      <c r="W62" s="256"/>
      <c r="X62" s="256"/>
      <c r="Y62" s="256"/>
      <c r="Z62" s="256"/>
      <c r="AA62" s="256"/>
      <c r="AB62" s="256"/>
      <c r="AC62" s="256"/>
      <c r="AD62" s="256"/>
      <c r="AE62" s="256"/>
      <c r="AF62" s="256"/>
      <c r="AG62" s="256"/>
      <c r="AH62" s="256"/>
      <c r="AI62" s="256"/>
      <c r="AJ62" s="256"/>
      <c r="AK62" s="256"/>
      <c r="AL62" s="256"/>
      <c r="AM62" s="256"/>
      <c r="AN62" s="256"/>
    </row>
    <row r="63" spans="1:40" x14ac:dyDescent="0.2">
      <c r="A63" s="466" t="s">
        <v>331</v>
      </c>
      <c r="B63" s="262" t="s">
        <v>1131</v>
      </c>
      <c r="D63" s="256">
        <f>DeferredTax!R80</f>
        <v>643</v>
      </c>
      <c r="E63" s="256">
        <f>DeferredTax!S80</f>
        <v>672</v>
      </c>
      <c r="F63" s="256">
        <f>DeferredTax!T80</f>
        <v>691</v>
      </c>
      <c r="G63" s="256">
        <f>DeferredTax!U80</f>
        <v>488</v>
      </c>
      <c r="H63" s="256">
        <f>DeferredTax!V80</f>
        <v>1398</v>
      </c>
      <c r="I63" s="256">
        <f>DeferredTax!W80</f>
        <v>1010</v>
      </c>
      <c r="J63" s="256">
        <f>DeferredTax!X80</f>
        <v>82</v>
      </c>
      <c r="K63" s="256">
        <f>DeferredTax!Y80</f>
        <v>186</v>
      </c>
      <c r="L63" s="256">
        <f>DeferredTax!Z80</f>
        <v>1494</v>
      </c>
      <c r="M63" s="256">
        <f>DeferredTax!AA80</f>
        <v>358</v>
      </c>
      <c r="N63" s="256">
        <f>DeferredTax!AB80</f>
        <v>-126</v>
      </c>
      <c r="O63" s="256">
        <f>DeferredTax!AC80</f>
        <v>516</v>
      </c>
      <c r="P63" s="256">
        <f t="shared" si="8"/>
        <v>7412</v>
      </c>
      <c r="Q63" s="257">
        <f t="shared" si="3"/>
        <v>1315</v>
      </c>
      <c r="R63" s="256">
        <f t="shared" si="9"/>
        <v>6097</v>
      </c>
      <c r="S63" s="257"/>
      <c r="T63" s="538">
        <f t="shared" si="10"/>
        <v>7412</v>
      </c>
      <c r="U63" s="256"/>
      <c r="V63" s="256"/>
      <c r="W63" s="256"/>
      <c r="X63" s="256"/>
      <c r="Y63" s="256"/>
      <c r="Z63" s="256"/>
      <c r="AA63" s="256"/>
      <c r="AB63" s="256"/>
      <c r="AC63" s="256"/>
      <c r="AD63" s="256"/>
      <c r="AE63" s="256"/>
      <c r="AF63" s="256"/>
      <c r="AG63" s="256"/>
      <c r="AH63" s="256"/>
      <c r="AI63" s="256"/>
      <c r="AJ63" s="256"/>
      <c r="AK63" s="256"/>
      <c r="AL63" s="256"/>
      <c r="AM63" s="256"/>
      <c r="AN63" s="256"/>
    </row>
    <row r="64" spans="1:40" x14ac:dyDescent="0.2">
      <c r="A64" s="466" t="s">
        <v>336</v>
      </c>
      <c r="B64" s="262" t="s">
        <v>1132</v>
      </c>
      <c r="D64" s="256">
        <f>IncomeState!C55</f>
        <v>12070</v>
      </c>
      <c r="E64" s="256">
        <f>IncomeState!D55</f>
        <v>11600</v>
      </c>
      <c r="F64" s="256">
        <f>IncomeState!E55</f>
        <v>13341</v>
      </c>
      <c r="G64" s="256">
        <f>IncomeState!F55</f>
        <v>-600</v>
      </c>
      <c r="H64" s="256">
        <f>IncomeState!G55</f>
        <v>-607</v>
      </c>
      <c r="I64" s="256">
        <f>IncomeState!H55</f>
        <v>5141</v>
      </c>
      <c r="J64" s="256">
        <f>IncomeState!I55</f>
        <v>-236</v>
      </c>
      <c r="K64" s="256">
        <f>IncomeState!J55</f>
        <v>143</v>
      </c>
      <c r="L64" s="256">
        <f>IncomeState!K55</f>
        <v>98</v>
      </c>
      <c r="M64" s="256">
        <f>IncomeState!L55</f>
        <v>-406</v>
      </c>
      <c r="N64" s="256">
        <f>IncomeState!M55</f>
        <v>11350</v>
      </c>
      <c r="O64" s="256">
        <f>IncomeState!N55</f>
        <v>13939</v>
      </c>
      <c r="P64" s="256">
        <f t="shared" si="8"/>
        <v>65833</v>
      </c>
      <c r="Q64" s="257">
        <f t="shared" si="3"/>
        <v>23670</v>
      </c>
      <c r="R64" s="256">
        <f t="shared" si="9"/>
        <v>42163</v>
      </c>
      <c r="S64" s="257"/>
      <c r="T64" s="538">
        <f t="shared" si="10"/>
        <v>65833</v>
      </c>
      <c r="U64" s="256"/>
      <c r="V64" s="256"/>
      <c r="W64" s="256"/>
      <c r="X64" s="256"/>
      <c r="Y64" s="256"/>
      <c r="Z64" s="256"/>
      <c r="AA64" s="256"/>
      <c r="AB64" s="256"/>
      <c r="AC64" s="256"/>
      <c r="AD64" s="256"/>
      <c r="AE64" s="256"/>
      <c r="AF64" s="256"/>
      <c r="AG64" s="256"/>
      <c r="AH64" s="256"/>
      <c r="AI64" s="256"/>
      <c r="AJ64" s="256"/>
      <c r="AK64" s="256"/>
      <c r="AL64" s="256"/>
      <c r="AM64" s="256"/>
      <c r="AN64" s="256"/>
    </row>
    <row r="65" spans="1:40" x14ac:dyDescent="0.2">
      <c r="A65" s="466" t="s">
        <v>336</v>
      </c>
      <c r="B65" s="262" t="s">
        <v>1133</v>
      </c>
      <c r="D65" s="256">
        <f>IncomeState!C57</f>
        <v>18505</v>
      </c>
      <c r="E65" s="256">
        <f>IncomeState!D57</f>
        <v>17785</v>
      </c>
      <c r="F65" s="256">
        <f>IncomeState!E57</f>
        <v>20453</v>
      </c>
      <c r="G65" s="256">
        <f>IncomeState!F57</f>
        <v>-922</v>
      </c>
      <c r="H65" s="256">
        <f>IncomeState!G57</f>
        <v>-935</v>
      </c>
      <c r="I65" s="256">
        <f>IncomeState!H57</f>
        <v>7912</v>
      </c>
      <c r="J65" s="256">
        <f>IncomeState!I57</f>
        <v>-333</v>
      </c>
      <c r="K65" s="256">
        <f>IncomeState!J57</f>
        <v>240</v>
      </c>
      <c r="L65" s="256">
        <f>IncomeState!K57</f>
        <v>171</v>
      </c>
      <c r="M65" s="256">
        <f>IncomeState!L57</f>
        <v>-604</v>
      </c>
      <c r="N65" s="256">
        <f>IncomeState!M57</f>
        <v>17426</v>
      </c>
      <c r="O65" s="256">
        <f>IncomeState!N57</f>
        <v>21396</v>
      </c>
      <c r="P65" s="256">
        <f t="shared" si="8"/>
        <v>101094</v>
      </c>
      <c r="Q65" s="257">
        <f t="shared" si="3"/>
        <v>36290</v>
      </c>
      <c r="R65" s="256">
        <f t="shared" si="9"/>
        <v>64804</v>
      </c>
      <c r="S65" s="257"/>
      <c r="T65" s="538">
        <f t="shared" si="10"/>
        <v>101094</v>
      </c>
      <c r="U65" s="256"/>
      <c r="V65" s="256"/>
      <c r="W65" s="256"/>
      <c r="X65" s="256"/>
      <c r="Y65" s="256"/>
      <c r="Z65" s="256"/>
      <c r="AA65" s="256"/>
      <c r="AB65" s="256"/>
      <c r="AC65" s="256"/>
      <c r="AD65" s="256"/>
      <c r="AE65" s="256"/>
      <c r="AF65" s="256"/>
      <c r="AG65" s="256"/>
      <c r="AH65" s="256"/>
      <c r="AI65" s="256"/>
      <c r="AJ65" s="256"/>
      <c r="AK65" s="256"/>
      <c r="AL65" s="256"/>
      <c r="AM65" s="256"/>
      <c r="AN65" s="256"/>
    </row>
    <row r="66" spans="1:40" x14ac:dyDescent="0.2">
      <c r="A66" s="466" t="s">
        <v>773</v>
      </c>
      <c r="B66" s="262" t="s">
        <v>1143</v>
      </c>
      <c r="D66" s="256">
        <f>-Transport!C15</f>
        <v>0</v>
      </c>
      <c r="E66" s="256">
        <f>-Transport!D15</f>
        <v>0</v>
      </c>
      <c r="F66" s="256">
        <f>-Transport!E15</f>
        <v>0</v>
      </c>
      <c r="G66" s="256">
        <f>-Transport!F15</f>
        <v>0</v>
      </c>
      <c r="H66" s="256">
        <f>-Transport!G15</f>
        <v>0</v>
      </c>
      <c r="I66" s="256">
        <f>-Transport!H15</f>
        <v>0</v>
      </c>
      <c r="J66" s="256">
        <f>-Transport!I15</f>
        <v>0</v>
      </c>
      <c r="K66" s="256">
        <f>-Transport!J15</f>
        <v>0</v>
      </c>
      <c r="L66" s="256">
        <f>-Transport!K15</f>
        <v>0</v>
      </c>
      <c r="M66" s="256">
        <f>-Transport!L15</f>
        <v>0</v>
      </c>
      <c r="N66" s="256">
        <f>-Transport!M15</f>
        <v>0</v>
      </c>
      <c r="O66" s="256">
        <f>-Transport!N15</f>
        <v>0</v>
      </c>
      <c r="P66" s="256">
        <f t="shared" ref="P66:P74" si="11">SUM(D66:O66)</f>
        <v>0</v>
      </c>
      <c r="Q66" s="257">
        <f t="shared" si="3"/>
        <v>0</v>
      </c>
      <c r="R66" s="256">
        <f t="shared" ref="R66:R74" si="12">P66-Q66</f>
        <v>0</v>
      </c>
      <c r="S66" s="257"/>
      <c r="T66" s="538">
        <f t="shared" ref="T66:T74" si="13">SUM(D66:O66)</f>
        <v>0</v>
      </c>
      <c r="U66" s="256"/>
      <c r="V66" s="256"/>
      <c r="W66" s="256"/>
      <c r="X66" s="256"/>
      <c r="Y66" s="256"/>
      <c r="Z66" s="256"/>
      <c r="AA66" s="256"/>
      <c r="AB66" s="256"/>
      <c r="AC66" s="256"/>
      <c r="AD66" s="256"/>
      <c r="AE66" s="256"/>
      <c r="AF66" s="256"/>
      <c r="AG66" s="256"/>
      <c r="AH66" s="256"/>
      <c r="AI66" s="256"/>
      <c r="AJ66" s="256"/>
      <c r="AK66" s="256"/>
      <c r="AL66" s="256"/>
      <c r="AM66" s="256"/>
      <c r="AN66" s="256"/>
    </row>
    <row r="67" spans="1:40" x14ac:dyDescent="0.2">
      <c r="A67" s="479" t="s">
        <v>337</v>
      </c>
      <c r="B67" s="262" t="s">
        <v>1154</v>
      </c>
      <c r="D67" s="256">
        <f>Trackers!D376-Trackers!D380</f>
        <v>0</v>
      </c>
      <c r="E67" s="256">
        <f>Trackers!E376-Trackers!E380</f>
        <v>0</v>
      </c>
      <c r="F67" s="256">
        <f>Trackers!F376-Trackers!F380</f>
        <v>0</v>
      </c>
      <c r="G67" s="256">
        <f>Trackers!G376-Trackers!G380</f>
        <v>0</v>
      </c>
      <c r="H67" s="256">
        <f>Trackers!H376-Trackers!H380</f>
        <v>0</v>
      </c>
      <c r="I67" s="256">
        <f>Trackers!I376-Trackers!I380</f>
        <v>0</v>
      </c>
      <c r="J67" s="256">
        <f>Trackers!J376-Trackers!J380</f>
        <v>0</v>
      </c>
      <c r="K67" s="256">
        <f>Trackers!K376-Trackers!K380</f>
        <v>0</v>
      </c>
      <c r="L67" s="256">
        <f>Trackers!L376-Trackers!L380</f>
        <v>0</v>
      </c>
      <c r="M67" s="256">
        <f>Trackers!M376-Trackers!M380</f>
        <v>0</v>
      </c>
      <c r="N67" s="256">
        <f>Trackers!N376-Trackers!N380</f>
        <v>0</v>
      </c>
      <c r="O67" s="256">
        <f>Trackers!O376-Trackers!O380</f>
        <v>0</v>
      </c>
      <c r="P67" s="256">
        <f t="shared" si="11"/>
        <v>0</v>
      </c>
      <c r="Q67" s="257">
        <f t="shared" si="3"/>
        <v>0</v>
      </c>
      <c r="R67" s="256">
        <f t="shared" si="12"/>
        <v>0</v>
      </c>
      <c r="S67" s="257"/>
      <c r="T67" s="538">
        <f t="shared" si="13"/>
        <v>0</v>
      </c>
      <c r="U67" s="256"/>
      <c r="V67" s="256"/>
      <c r="W67" s="256"/>
      <c r="X67" s="256"/>
      <c r="Y67" s="256"/>
      <c r="Z67" s="256"/>
      <c r="AA67" s="256"/>
      <c r="AB67" s="256"/>
      <c r="AC67" s="256"/>
      <c r="AD67" s="256"/>
      <c r="AE67" s="256"/>
      <c r="AF67" s="256"/>
      <c r="AG67" s="256"/>
      <c r="AH67" s="256"/>
      <c r="AI67" s="256"/>
      <c r="AJ67" s="256"/>
      <c r="AK67" s="256"/>
      <c r="AL67" s="256"/>
      <c r="AM67" s="256"/>
      <c r="AN67" s="256"/>
    </row>
    <row r="68" spans="1:40" x14ac:dyDescent="0.2">
      <c r="A68" s="466" t="s">
        <v>636</v>
      </c>
      <c r="B68" s="262" t="s">
        <v>1093</v>
      </c>
      <c r="D68" s="256">
        <f>-IntDeduct!C7</f>
        <v>0</v>
      </c>
      <c r="E68" s="256">
        <f>-IntDeduct!D7</f>
        <v>0</v>
      </c>
      <c r="F68" s="256">
        <f>-IntDeduct!E7</f>
        <v>0</v>
      </c>
      <c r="G68" s="256">
        <f>-IntDeduct!F7</f>
        <v>0</v>
      </c>
      <c r="H68" s="256">
        <f>-IntDeduct!G7</f>
        <v>0</v>
      </c>
      <c r="I68" s="256">
        <f>-IntDeduct!H7</f>
        <v>0</v>
      </c>
      <c r="J68" s="256">
        <f>-IntDeduct!I7</f>
        <v>0</v>
      </c>
      <c r="K68" s="256">
        <f>-IntDeduct!J7</f>
        <v>0</v>
      </c>
      <c r="L68" s="256">
        <f>-IntDeduct!K7</f>
        <v>0</v>
      </c>
      <c r="M68" s="256">
        <f>-IntDeduct!L7</f>
        <v>0</v>
      </c>
      <c r="N68" s="256">
        <f>-IntDeduct!M7</f>
        <v>0</v>
      </c>
      <c r="O68" s="256">
        <f>-IntDeduct!N7</f>
        <v>0</v>
      </c>
      <c r="P68" s="256">
        <f>SUM(D68:O68)</f>
        <v>0</v>
      </c>
      <c r="Q68" s="257">
        <f>SUM(D68:E68)</f>
        <v>0</v>
      </c>
      <c r="R68" s="256">
        <f>P68-Q68</f>
        <v>0</v>
      </c>
      <c r="S68" s="257"/>
      <c r="T68" s="538">
        <f>SUM(D68:O68)</f>
        <v>0</v>
      </c>
      <c r="U68" s="256"/>
      <c r="V68" s="256"/>
      <c r="W68" s="256"/>
      <c r="X68" s="256"/>
      <c r="Y68" s="256"/>
      <c r="Z68" s="256"/>
      <c r="AA68" s="256"/>
      <c r="AB68" s="256"/>
      <c r="AC68" s="256"/>
      <c r="AD68" s="256"/>
      <c r="AE68" s="256"/>
      <c r="AF68" s="256"/>
      <c r="AG68" s="256"/>
      <c r="AH68" s="256"/>
      <c r="AI68" s="256"/>
      <c r="AJ68" s="256"/>
      <c r="AK68" s="256"/>
      <c r="AL68" s="256"/>
      <c r="AM68" s="256"/>
      <c r="AN68" s="256"/>
    </row>
    <row r="69" spans="1:40" x14ac:dyDescent="0.2">
      <c r="A69" s="466" t="s">
        <v>773</v>
      </c>
      <c r="B69" s="262" t="s">
        <v>1155</v>
      </c>
      <c r="D69" s="256">
        <f>-Transport!C16</f>
        <v>0</v>
      </c>
      <c r="E69" s="256">
        <f>-Transport!D16</f>
        <v>0</v>
      </c>
      <c r="F69" s="256">
        <f>-Transport!E16</f>
        <v>0</v>
      </c>
      <c r="G69" s="256">
        <f>-Transport!F16</f>
        <v>0</v>
      </c>
      <c r="H69" s="256">
        <f>-Transport!G16</f>
        <v>0</v>
      </c>
      <c r="I69" s="256">
        <f>-Transport!H16</f>
        <v>0</v>
      </c>
      <c r="J69" s="256">
        <f>-Transport!I16</f>
        <v>0</v>
      </c>
      <c r="K69" s="256">
        <f>-Transport!J16</f>
        <v>0</v>
      </c>
      <c r="L69" s="256">
        <f>-Transport!K16</f>
        <v>0</v>
      </c>
      <c r="M69" s="256">
        <f>-Transport!L16</f>
        <v>0</v>
      </c>
      <c r="N69" s="256">
        <f>-Transport!M16</f>
        <v>0</v>
      </c>
      <c r="O69" s="256">
        <f>-Transport!N16</f>
        <v>0</v>
      </c>
      <c r="P69" s="256">
        <f t="shared" si="11"/>
        <v>0</v>
      </c>
      <c r="Q69" s="257">
        <f t="shared" si="3"/>
        <v>0</v>
      </c>
      <c r="R69" s="256">
        <f t="shared" si="12"/>
        <v>0</v>
      </c>
      <c r="S69" s="257"/>
      <c r="T69" s="538">
        <f t="shared" si="13"/>
        <v>0</v>
      </c>
      <c r="U69" s="256"/>
      <c r="V69" s="256"/>
      <c r="W69" s="256"/>
      <c r="X69" s="256"/>
      <c r="Y69" s="256"/>
      <c r="Z69" s="256"/>
      <c r="AA69" s="256"/>
      <c r="AB69" s="256"/>
      <c r="AC69" s="256"/>
      <c r="AD69" s="256"/>
      <c r="AE69" s="256"/>
      <c r="AF69" s="256"/>
      <c r="AG69" s="256"/>
      <c r="AH69" s="256"/>
      <c r="AI69" s="256"/>
      <c r="AJ69" s="256"/>
      <c r="AK69" s="256"/>
      <c r="AL69" s="256"/>
      <c r="AM69" s="256"/>
      <c r="AN69" s="256"/>
    </row>
    <row r="70" spans="1:40" x14ac:dyDescent="0.2">
      <c r="A70" s="465" t="s">
        <v>1096</v>
      </c>
      <c r="B70" s="262" t="s">
        <v>1154</v>
      </c>
      <c r="D70" s="256">
        <f>'TC&amp;S'!C45</f>
        <v>0</v>
      </c>
      <c r="E70" s="256">
        <f>'TC&amp;S'!D45</f>
        <v>0</v>
      </c>
      <c r="F70" s="256">
        <f>'TC&amp;S'!E45</f>
        <v>0</v>
      </c>
      <c r="G70" s="256">
        <f>'TC&amp;S'!F45</f>
        <v>0</v>
      </c>
      <c r="H70" s="256">
        <f>'TC&amp;S'!G45</f>
        <v>0</v>
      </c>
      <c r="I70" s="256">
        <f>'TC&amp;S'!H45</f>
        <v>0</v>
      </c>
      <c r="J70" s="256">
        <f>'TC&amp;S'!I45</f>
        <v>0</v>
      </c>
      <c r="K70" s="256">
        <f>'TC&amp;S'!J45</f>
        <v>0</v>
      </c>
      <c r="L70" s="256">
        <f>'TC&amp;S'!K45</f>
        <v>0</v>
      </c>
      <c r="M70" s="256">
        <f>'TC&amp;S'!L45</f>
        <v>985</v>
      </c>
      <c r="N70" s="256">
        <f>'TC&amp;S'!M45</f>
        <v>0</v>
      </c>
      <c r="O70" s="256">
        <f>'TC&amp;S'!N45</f>
        <v>0</v>
      </c>
      <c r="P70" s="256">
        <f t="shared" si="11"/>
        <v>985</v>
      </c>
      <c r="Q70" s="257">
        <f t="shared" si="3"/>
        <v>0</v>
      </c>
      <c r="R70" s="256">
        <f t="shared" si="12"/>
        <v>985</v>
      </c>
      <c r="S70" s="257"/>
      <c r="T70" s="538">
        <f t="shared" si="13"/>
        <v>985</v>
      </c>
      <c r="U70" s="256"/>
      <c r="V70" s="256"/>
      <c r="W70" s="256"/>
      <c r="X70" s="256"/>
      <c r="Y70" s="256"/>
      <c r="Z70" s="256"/>
      <c r="AA70" s="256"/>
      <c r="AB70" s="256"/>
      <c r="AC70" s="256"/>
      <c r="AD70" s="256"/>
      <c r="AE70" s="256"/>
      <c r="AF70" s="256"/>
      <c r="AG70" s="256"/>
      <c r="AH70" s="256"/>
      <c r="AI70" s="256"/>
      <c r="AJ70" s="256"/>
      <c r="AK70" s="256"/>
      <c r="AL70" s="256"/>
      <c r="AM70" s="256"/>
      <c r="AN70" s="256"/>
    </row>
    <row r="71" spans="1:40" x14ac:dyDescent="0.2">
      <c r="A71" s="466" t="s">
        <v>636</v>
      </c>
      <c r="B71" s="262" t="s">
        <v>1141</v>
      </c>
      <c r="D71" s="256">
        <f>-IntDeduct!C8</f>
        <v>-12</v>
      </c>
      <c r="E71" s="256">
        <f>-IntDeduct!D8</f>
        <v>-10</v>
      </c>
      <c r="F71" s="256">
        <f>-IntDeduct!E8</f>
        <v>-12</v>
      </c>
      <c r="G71" s="256">
        <f>-IntDeduct!F8</f>
        <v>-11</v>
      </c>
      <c r="H71" s="256">
        <f>-IntDeduct!G8</f>
        <v>-12</v>
      </c>
      <c r="I71" s="256">
        <f>-IntDeduct!H8</f>
        <v>-12</v>
      </c>
      <c r="J71" s="256">
        <f>-IntDeduct!I8</f>
        <v>-12</v>
      </c>
      <c r="K71" s="256">
        <f>-IntDeduct!J8</f>
        <v>-12</v>
      </c>
      <c r="L71" s="256">
        <f>-IntDeduct!K8</f>
        <v>-12</v>
      </c>
      <c r="M71" s="256">
        <f>-IntDeduct!L8</f>
        <v>-6</v>
      </c>
      <c r="N71" s="256">
        <f>-IntDeduct!M8</f>
        <v>-6</v>
      </c>
      <c r="O71" s="256">
        <f>-IntDeduct!N8</f>
        <v>-6</v>
      </c>
      <c r="P71" s="256">
        <f>SUM(D71:O71)</f>
        <v>-123</v>
      </c>
      <c r="Q71" s="257">
        <f>SUM(D71:E71)</f>
        <v>-22</v>
      </c>
      <c r="R71" s="256">
        <f>P71-Q71</f>
        <v>-101</v>
      </c>
      <c r="S71" s="256"/>
      <c r="T71" s="538">
        <f>SUM(D71:O71)</f>
        <v>-123</v>
      </c>
      <c r="U71" s="256"/>
      <c r="V71" s="256"/>
      <c r="W71" s="256"/>
      <c r="X71" s="256"/>
      <c r="Y71" s="256"/>
      <c r="Z71" s="256"/>
      <c r="AA71" s="256"/>
      <c r="AB71" s="256"/>
      <c r="AC71" s="256"/>
      <c r="AD71" s="256"/>
      <c r="AE71" s="256"/>
      <c r="AF71" s="256"/>
      <c r="AG71" s="256"/>
      <c r="AH71" s="256"/>
      <c r="AI71" s="256"/>
      <c r="AJ71" s="256"/>
      <c r="AK71" s="256"/>
      <c r="AL71" s="256"/>
      <c r="AM71" s="256"/>
      <c r="AN71" s="256"/>
    </row>
    <row r="72" spans="1:40" x14ac:dyDescent="0.2">
      <c r="A72" s="466" t="s">
        <v>773</v>
      </c>
      <c r="B72" s="262" t="s">
        <v>1156</v>
      </c>
      <c r="D72" s="256">
        <f>-Transport!C17</f>
        <v>0</v>
      </c>
      <c r="E72" s="256">
        <f>-Transport!D17</f>
        <v>0</v>
      </c>
      <c r="F72" s="256">
        <f>-Transport!E17</f>
        <v>0</v>
      </c>
      <c r="G72" s="256">
        <f>-Transport!F17</f>
        <v>0</v>
      </c>
      <c r="H72" s="256">
        <f>-Transport!G17</f>
        <v>0</v>
      </c>
      <c r="I72" s="256">
        <f>-Transport!H17</f>
        <v>0</v>
      </c>
      <c r="J72" s="256">
        <f>-Transport!I17</f>
        <v>0</v>
      </c>
      <c r="K72" s="256">
        <f>-Transport!J17</f>
        <v>0</v>
      </c>
      <c r="L72" s="256">
        <f>-Transport!K17</f>
        <v>0</v>
      </c>
      <c r="M72" s="256">
        <f>-Transport!L17</f>
        <v>0</v>
      </c>
      <c r="N72" s="256">
        <f>-Transport!M17</f>
        <v>0</v>
      </c>
      <c r="O72" s="256">
        <f>-Transport!N17</f>
        <v>0</v>
      </c>
      <c r="P72" s="256">
        <f t="shared" si="11"/>
        <v>0</v>
      </c>
      <c r="Q72" s="257">
        <f t="shared" si="3"/>
        <v>0</v>
      </c>
      <c r="R72" s="256">
        <f t="shared" si="12"/>
        <v>0</v>
      </c>
      <c r="S72" s="257"/>
      <c r="T72" s="538">
        <f t="shared" si="13"/>
        <v>0</v>
      </c>
      <c r="U72" s="256"/>
      <c r="V72" s="256"/>
      <c r="W72" s="256"/>
      <c r="X72" s="256"/>
      <c r="Y72" s="256"/>
      <c r="Z72" s="256"/>
      <c r="AA72" s="256"/>
      <c r="AB72" s="256"/>
      <c r="AC72" s="256"/>
      <c r="AD72" s="256"/>
      <c r="AE72" s="256"/>
      <c r="AF72" s="256"/>
      <c r="AG72" s="256"/>
      <c r="AH72" s="256"/>
      <c r="AI72" s="256"/>
      <c r="AJ72" s="256"/>
      <c r="AK72" s="256"/>
      <c r="AL72" s="256"/>
      <c r="AM72" s="256"/>
      <c r="AN72" s="256"/>
    </row>
    <row r="73" spans="1:40" x14ac:dyDescent="0.2">
      <c r="A73" s="465" t="s">
        <v>1096</v>
      </c>
      <c r="B73" s="262" t="s">
        <v>1154</v>
      </c>
      <c r="D73" s="256">
        <f>'TC&amp;S'!C46</f>
        <v>0</v>
      </c>
      <c r="E73" s="256">
        <f>'TC&amp;S'!D46</f>
        <v>0</v>
      </c>
      <c r="F73" s="256">
        <f>'TC&amp;S'!E46</f>
        <v>0</v>
      </c>
      <c r="G73" s="256">
        <f>'TC&amp;S'!F46</f>
        <v>0</v>
      </c>
      <c r="H73" s="256">
        <f>'TC&amp;S'!G46</f>
        <v>0</v>
      </c>
      <c r="I73" s="256">
        <f>'TC&amp;S'!H46</f>
        <v>0</v>
      </c>
      <c r="J73" s="256">
        <f>'TC&amp;S'!I46</f>
        <v>0</v>
      </c>
      <c r="K73" s="256">
        <f>'TC&amp;S'!J46</f>
        <v>0</v>
      </c>
      <c r="L73" s="256">
        <f>'TC&amp;S'!K46</f>
        <v>0</v>
      </c>
      <c r="M73" s="256">
        <f>'TC&amp;S'!L46</f>
        <v>0</v>
      </c>
      <c r="N73" s="256">
        <f>'TC&amp;S'!M46</f>
        <v>0</v>
      </c>
      <c r="O73" s="256">
        <f>'TC&amp;S'!N46</f>
        <v>0</v>
      </c>
      <c r="P73" s="256">
        <f t="shared" si="11"/>
        <v>0</v>
      </c>
      <c r="Q73" s="257">
        <f>SUM(D73:E73)</f>
        <v>0</v>
      </c>
      <c r="R73" s="256">
        <f t="shared" si="12"/>
        <v>0</v>
      </c>
      <c r="S73" s="257"/>
      <c r="T73" s="538">
        <f t="shared" si="13"/>
        <v>0</v>
      </c>
      <c r="U73" s="256"/>
      <c r="V73" s="256"/>
      <c r="W73" s="256"/>
      <c r="X73" s="256"/>
      <c r="Y73" s="256"/>
      <c r="Z73" s="256"/>
      <c r="AA73" s="256"/>
      <c r="AB73" s="256"/>
      <c r="AC73" s="256"/>
      <c r="AD73" s="256"/>
      <c r="AE73" s="256"/>
      <c r="AF73" s="256"/>
      <c r="AG73" s="256"/>
      <c r="AH73" s="256"/>
      <c r="AI73" s="256"/>
      <c r="AJ73" s="256"/>
      <c r="AK73" s="256"/>
      <c r="AL73" s="256"/>
      <c r="AM73" s="256"/>
      <c r="AN73" s="256"/>
    </row>
    <row r="74" spans="1:40" x14ac:dyDescent="0.2">
      <c r="A74" s="466" t="s">
        <v>636</v>
      </c>
      <c r="B74" s="262" t="s">
        <v>1157</v>
      </c>
      <c r="D74" s="259">
        <f>-IntDeduct!C9</f>
        <v>0</v>
      </c>
      <c r="E74" s="259">
        <f>-IntDeduct!D9</f>
        <v>0</v>
      </c>
      <c r="F74" s="259">
        <f>-IntDeduct!E9</f>
        <v>0</v>
      </c>
      <c r="G74" s="259">
        <f>-IntDeduct!F9</f>
        <v>0</v>
      </c>
      <c r="H74" s="259">
        <f>-IntDeduct!G9</f>
        <v>0</v>
      </c>
      <c r="I74" s="259">
        <f>-IntDeduct!H9</f>
        <v>0</v>
      </c>
      <c r="J74" s="259">
        <f>-IntDeduct!I9</f>
        <v>0</v>
      </c>
      <c r="K74" s="259">
        <f>-IntDeduct!J9</f>
        <v>0</v>
      </c>
      <c r="L74" s="259">
        <f>-IntDeduct!K9</f>
        <v>0</v>
      </c>
      <c r="M74" s="259">
        <f>-IntDeduct!L9</f>
        <v>0</v>
      </c>
      <c r="N74" s="259">
        <f>-IntDeduct!M9</f>
        <v>0</v>
      </c>
      <c r="O74" s="259">
        <f>-IntDeduct!N9</f>
        <v>0</v>
      </c>
      <c r="P74" s="259">
        <f t="shared" si="11"/>
        <v>0</v>
      </c>
      <c r="Q74" s="278">
        <f>SUM(D74:E74)</f>
        <v>0</v>
      </c>
      <c r="R74" s="259">
        <f t="shared" si="12"/>
        <v>0</v>
      </c>
      <c r="S74" s="257"/>
      <c r="T74" s="538">
        <f t="shared" si="13"/>
        <v>0</v>
      </c>
      <c r="U74" s="256"/>
      <c r="V74" s="256"/>
      <c r="W74" s="256"/>
      <c r="X74" s="256"/>
      <c r="Y74" s="256"/>
      <c r="Z74" s="256"/>
      <c r="AA74" s="256"/>
      <c r="AB74" s="256"/>
      <c r="AC74" s="256"/>
      <c r="AD74" s="256"/>
      <c r="AE74" s="256"/>
      <c r="AF74" s="256"/>
      <c r="AG74" s="256"/>
      <c r="AH74" s="256"/>
      <c r="AI74" s="256"/>
      <c r="AJ74" s="256"/>
      <c r="AK74" s="256"/>
      <c r="AL74" s="256"/>
      <c r="AM74" s="256"/>
      <c r="AN74" s="256"/>
    </row>
    <row r="75" spans="1:40" ht="3.95" customHeight="1" x14ac:dyDescent="0.2">
      <c r="A75" s="465"/>
      <c r="B75" s="262"/>
      <c r="D75" s="259"/>
      <c r="E75" s="259"/>
      <c r="F75" s="259"/>
      <c r="G75" s="259"/>
      <c r="H75" s="259"/>
      <c r="I75" s="259"/>
      <c r="J75" s="259"/>
      <c r="K75" s="259"/>
      <c r="L75" s="259"/>
      <c r="M75" s="259"/>
      <c r="N75" s="259"/>
      <c r="O75" s="259"/>
      <c r="P75" s="259"/>
      <c r="Q75" s="278"/>
      <c r="R75" s="259"/>
      <c r="S75" s="257"/>
      <c r="T75" s="538"/>
      <c r="U75" s="256"/>
      <c r="V75" s="256"/>
      <c r="W75" s="256"/>
      <c r="X75" s="256"/>
      <c r="Y75" s="256"/>
      <c r="Z75" s="256"/>
      <c r="AA75" s="256"/>
      <c r="AB75" s="256"/>
      <c r="AC75" s="256"/>
      <c r="AD75" s="256"/>
      <c r="AE75" s="256"/>
      <c r="AF75" s="256"/>
      <c r="AG75" s="256"/>
      <c r="AH75" s="256"/>
      <c r="AI75" s="256"/>
      <c r="AJ75" s="256"/>
      <c r="AK75" s="256"/>
      <c r="AL75" s="256"/>
      <c r="AM75" s="256"/>
      <c r="AN75" s="256"/>
    </row>
    <row r="76" spans="1:40" x14ac:dyDescent="0.2">
      <c r="A76" s="465"/>
      <c r="B76" s="471" t="s">
        <v>1158</v>
      </c>
      <c r="C76" s="249"/>
      <c r="D76" s="470">
        <f t="shared" ref="D76:P76" si="14">SUM(D9:D74)</f>
        <v>85860</v>
      </c>
      <c r="E76" s="470">
        <f t="shared" si="14"/>
        <v>84159</v>
      </c>
      <c r="F76" s="470">
        <f t="shared" si="14"/>
        <v>90457</v>
      </c>
      <c r="G76" s="470">
        <f t="shared" si="14"/>
        <v>32601</v>
      </c>
      <c r="H76" s="470">
        <f t="shared" si="14"/>
        <v>36333</v>
      </c>
      <c r="I76" s="470">
        <f t="shared" si="14"/>
        <v>45195</v>
      </c>
      <c r="J76" s="470">
        <f t="shared" si="14"/>
        <v>33912</v>
      </c>
      <c r="K76" s="470">
        <f t="shared" si="14"/>
        <v>34293</v>
      </c>
      <c r="L76" s="470">
        <f t="shared" si="14"/>
        <v>35645</v>
      </c>
      <c r="M76" s="470">
        <f t="shared" si="14"/>
        <v>35414</v>
      </c>
      <c r="N76" s="470">
        <f t="shared" si="14"/>
        <v>79016</v>
      </c>
      <c r="O76" s="470">
        <f t="shared" si="14"/>
        <v>87508</v>
      </c>
      <c r="P76" s="470">
        <f t="shared" si="14"/>
        <v>680393</v>
      </c>
      <c r="Q76" s="470">
        <f>SUM(Q9:Q74)</f>
        <v>170019</v>
      </c>
      <c r="R76" s="470">
        <f>SUM(R9:R74)</f>
        <v>510374</v>
      </c>
      <c r="S76" s="261"/>
      <c r="T76" s="538">
        <f>SUM(T9:T74)</f>
        <v>680393</v>
      </c>
      <c r="U76" s="256"/>
      <c r="V76" s="256"/>
      <c r="W76" s="256"/>
      <c r="X76" s="256"/>
      <c r="Y76" s="256"/>
      <c r="Z76" s="256"/>
      <c r="AA76" s="256"/>
      <c r="AB76" s="256"/>
      <c r="AC76" s="256"/>
      <c r="AD76" s="256"/>
      <c r="AE76" s="256"/>
      <c r="AF76" s="256"/>
      <c r="AG76" s="256"/>
      <c r="AH76" s="256"/>
      <c r="AI76" s="256"/>
      <c r="AJ76" s="256"/>
      <c r="AK76" s="256"/>
      <c r="AL76" s="256"/>
      <c r="AM76" s="256"/>
      <c r="AN76" s="256"/>
    </row>
    <row r="77" spans="1:40" ht="3.95" customHeight="1" x14ac:dyDescent="0.2">
      <c r="A77" s="249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 s="539"/>
      <c r="U77" s="260"/>
      <c r="V77" s="260"/>
      <c r="W77" s="260"/>
      <c r="X77" s="260"/>
      <c r="Y77" s="256"/>
      <c r="Z77" s="256"/>
      <c r="AA77" s="256"/>
      <c r="AB77" s="256"/>
      <c r="AC77" s="256"/>
      <c r="AD77" s="256"/>
      <c r="AE77" s="256"/>
      <c r="AF77" s="256"/>
      <c r="AG77" s="256"/>
      <c r="AH77" s="256"/>
      <c r="AI77" s="256"/>
      <c r="AJ77" s="256"/>
      <c r="AK77" s="256"/>
      <c r="AL77" s="256"/>
      <c r="AM77" s="256"/>
      <c r="AN77" s="256"/>
    </row>
    <row r="78" spans="1:40" x14ac:dyDescent="0.2">
      <c r="A78" s="258"/>
      <c r="D78" s="256"/>
      <c r="E78" s="256"/>
      <c r="F78" s="256"/>
      <c r="G78" s="256"/>
      <c r="H78" s="256"/>
      <c r="I78" s="256"/>
      <c r="J78" s="256"/>
      <c r="K78" s="256"/>
      <c r="L78" s="256"/>
      <c r="M78" s="256"/>
      <c r="N78" s="256"/>
      <c r="O78" s="256"/>
      <c r="P78" s="257">
        <f>SUM(D76:O76)</f>
        <v>680393</v>
      </c>
      <c r="Q78" s="257"/>
      <c r="R78" s="256"/>
      <c r="S78" s="256"/>
      <c r="T78" s="256"/>
      <c r="U78" s="256"/>
      <c r="V78" s="256"/>
      <c r="W78" s="256"/>
      <c r="X78" s="256"/>
      <c r="Y78" s="256"/>
      <c r="Z78" s="256"/>
      <c r="AA78" s="256"/>
      <c r="AB78" s="256"/>
      <c r="AC78" s="256"/>
      <c r="AD78" s="256"/>
      <c r="AE78" s="256"/>
      <c r="AF78" s="256"/>
      <c r="AG78" s="256"/>
      <c r="AH78" s="256"/>
      <c r="AI78" s="256"/>
      <c r="AJ78" s="256"/>
      <c r="AK78" s="256"/>
      <c r="AL78" s="256"/>
      <c r="AM78" s="256"/>
      <c r="AN78" s="256"/>
    </row>
    <row r="79" spans="1:40" ht="8.1" customHeight="1" x14ac:dyDescent="0.2">
      <c r="D79" s="256"/>
      <c r="E79" s="256"/>
      <c r="F79" s="256"/>
      <c r="G79" s="256"/>
      <c r="H79" s="256"/>
      <c r="I79" s="256"/>
      <c r="J79" s="256"/>
      <c r="K79" s="256"/>
      <c r="L79" s="256"/>
      <c r="M79" s="256"/>
      <c r="N79" s="256"/>
      <c r="O79" s="256"/>
      <c r="P79" s="256"/>
      <c r="Q79" s="256"/>
      <c r="R79" s="256"/>
      <c r="S79" s="256"/>
      <c r="T79" s="256"/>
      <c r="U79" s="256"/>
      <c r="V79" s="256"/>
      <c r="W79" s="256"/>
      <c r="X79" s="256"/>
      <c r="Y79" s="256"/>
      <c r="Z79" s="256"/>
      <c r="AA79" s="256"/>
      <c r="AB79" s="256"/>
      <c r="AC79" s="256"/>
      <c r="AD79" s="256"/>
      <c r="AE79" s="256"/>
      <c r="AF79" s="256"/>
      <c r="AG79" s="256"/>
      <c r="AH79" s="256"/>
      <c r="AI79" s="256"/>
      <c r="AJ79" s="256"/>
      <c r="AK79" s="256"/>
      <c r="AL79" s="256"/>
      <c r="AM79" s="256"/>
      <c r="AN79" s="256"/>
    </row>
    <row r="80" spans="1:40" x14ac:dyDescent="0.2">
      <c r="A80" s="258"/>
      <c r="D80" s="256"/>
      <c r="E80" s="256"/>
      <c r="F80" s="256"/>
      <c r="G80" s="256"/>
      <c r="H80" s="256"/>
      <c r="I80" s="256"/>
      <c r="J80" s="256"/>
      <c r="K80" s="256"/>
      <c r="L80" s="256"/>
      <c r="M80" s="256"/>
      <c r="N80" s="256"/>
      <c r="O80" s="256"/>
      <c r="P80" s="256"/>
      <c r="Q80" s="256"/>
      <c r="R80" s="256"/>
      <c r="S80" s="256"/>
      <c r="T80" s="256"/>
      <c r="U80" s="256"/>
      <c r="V80" s="256"/>
      <c r="W80" s="256"/>
      <c r="X80" s="256"/>
      <c r="Y80" s="256"/>
      <c r="Z80" s="256"/>
      <c r="AA80" s="256"/>
      <c r="AB80" s="256"/>
      <c r="AC80" s="256"/>
      <c r="AD80" s="256"/>
      <c r="AE80" s="256"/>
      <c r="AF80" s="256"/>
      <c r="AG80" s="256"/>
      <c r="AH80" s="256"/>
      <c r="AI80" s="256"/>
      <c r="AJ80" s="256"/>
      <c r="AK80" s="256"/>
      <c r="AL80" s="256"/>
      <c r="AM80" s="256"/>
      <c r="AN80" s="256"/>
    </row>
    <row r="81" spans="1:40" x14ac:dyDescent="0.2">
      <c r="A81" s="255"/>
      <c r="D81" s="256"/>
      <c r="E81" s="256"/>
      <c r="F81" s="256"/>
      <c r="G81" s="256"/>
      <c r="H81" s="256"/>
      <c r="I81" s="256"/>
      <c r="J81" s="256"/>
      <c r="K81" s="256"/>
      <c r="L81" s="256"/>
      <c r="M81" s="256"/>
      <c r="N81" s="256"/>
      <c r="O81" s="256"/>
      <c r="P81" s="256"/>
      <c r="Q81" s="256"/>
      <c r="R81" s="256"/>
      <c r="S81" s="256"/>
      <c r="T81" s="256"/>
      <c r="U81" s="256"/>
      <c r="V81" s="256"/>
      <c r="W81" s="256"/>
      <c r="X81" s="256"/>
      <c r="Y81" s="256"/>
      <c r="Z81" s="256"/>
      <c r="AA81" s="256"/>
      <c r="AB81" s="256"/>
      <c r="AC81" s="256"/>
      <c r="AD81" s="256"/>
      <c r="AE81" s="256"/>
      <c r="AF81" s="256"/>
      <c r="AG81" s="256"/>
      <c r="AH81" s="256"/>
      <c r="AI81" s="256"/>
      <c r="AJ81" s="256"/>
      <c r="AK81" s="256"/>
      <c r="AL81" s="256"/>
      <c r="AM81" s="256"/>
      <c r="AN81" s="256"/>
    </row>
    <row r="82" spans="1:40" x14ac:dyDescent="0.2">
      <c r="A82" s="258"/>
      <c r="D82" s="256"/>
      <c r="E82" s="256"/>
      <c r="F82" s="256"/>
      <c r="G82" s="256"/>
      <c r="H82" s="256"/>
      <c r="I82" s="256"/>
      <c r="J82" s="256"/>
      <c r="K82" s="256"/>
      <c r="L82" s="256"/>
      <c r="M82" s="256"/>
      <c r="N82" s="256"/>
      <c r="O82" s="256"/>
      <c r="P82" s="256"/>
      <c r="Q82" s="256"/>
      <c r="R82" s="256"/>
      <c r="S82" s="256"/>
      <c r="T82" s="256"/>
      <c r="U82" s="256"/>
      <c r="V82" s="256"/>
      <c r="W82" s="256"/>
      <c r="X82" s="256"/>
      <c r="Y82" s="256"/>
      <c r="Z82" s="256"/>
      <c r="AA82" s="256"/>
      <c r="AB82" s="256"/>
      <c r="AC82" s="256"/>
      <c r="AD82" s="256"/>
      <c r="AE82" s="256"/>
      <c r="AF82" s="256"/>
      <c r="AG82" s="256"/>
      <c r="AH82" s="256"/>
      <c r="AI82" s="256"/>
      <c r="AJ82" s="256"/>
      <c r="AK82" s="256"/>
      <c r="AL82" s="256"/>
      <c r="AM82" s="256"/>
      <c r="AN82" s="256"/>
    </row>
    <row r="83" spans="1:40" x14ac:dyDescent="0.2">
      <c r="A83" s="258"/>
      <c r="D83" s="256"/>
      <c r="E83" s="256"/>
      <c r="F83" s="256"/>
      <c r="G83" s="256"/>
      <c r="H83" s="256"/>
      <c r="I83" s="256"/>
      <c r="J83" s="256"/>
      <c r="K83" s="256"/>
      <c r="L83" s="256"/>
      <c r="M83" s="256"/>
      <c r="N83" s="256"/>
      <c r="O83" s="256"/>
      <c r="P83" s="256"/>
      <c r="Q83" s="256"/>
      <c r="R83" s="256"/>
      <c r="S83" s="256"/>
      <c r="T83" s="256"/>
      <c r="U83" s="256"/>
      <c r="V83" s="256"/>
      <c r="W83" s="256"/>
      <c r="X83" s="256"/>
      <c r="Y83" s="256"/>
      <c r="Z83" s="256"/>
      <c r="AA83" s="256"/>
      <c r="AB83" s="256"/>
      <c r="AC83" s="256"/>
      <c r="AD83" s="256"/>
      <c r="AE83" s="256"/>
      <c r="AF83" s="256"/>
      <c r="AG83" s="256"/>
      <c r="AH83" s="256"/>
      <c r="AI83" s="256"/>
      <c r="AJ83" s="256"/>
      <c r="AK83" s="256"/>
      <c r="AL83" s="256"/>
      <c r="AM83" s="256"/>
      <c r="AN83" s="256"/>
    </row>
    <row r="84" spans="1:40" x14ac:dyDescent="0.2">
      <c r="A84" s="258"/>
      <c r="D84" s="256"/>
      <c r="E84" s="256"/>
      <c r="F84" s="256"/>
      <c r="G84" s="256"/>
      <c r="H84" s="256"/>
      <c r="I84" s="256"/>
      <c r="J84" s="256"/>
      <c r="K84" s="256"/>
      <c r="L84" s="256"/>
      <c r="M84" s="256"/>
      <c r="N84" s="256"/>
      <c r="O84" s="256"/>
      <c r="P84" s="256"/>
      <c r="Q84" s="256"/>
      <c r="R84" s="256"/>
      <c r="S84" s="256"/>
      <c r="T84" s="256"/>
      <c r="U84" s="256"/>
      <c r="V84" s="256"/>
      <c r="W84" s="256"/>
      <c r="X84" s="256"/>
      <c r="Y84" s="256"/>
      <c r="Z84" s="256"/>
      <c r="AA84" s="256"/>
      <c r="AB84" s="256"/>
      <c r="AC84" s="256"/>
      <c r="AD84" s="256"/>
      <c r="AE84" s="256"/>
      <c r="AF84" s="256"/>
      <c r="AG84" s="256"/>
      <c r="AH84" s="256"/>
      <c r="AI84" s="256"/>
      <c r="AJ84" s="256"/>
      <c r="AK84" s="256"/>
      <c r="AL84" s="256"/>
      <c r="AM84" s="256"/>
      <c r="AN84" s="256"/>
    </row>
    <row r="85" spans="1:40" x14ac:dyDescent="0.2">
      <c r="A85" s="258"/>
      <c r="D85" s="256"/>
      <c r="E85" s="256"/>
      <c r="F85" s="256"/>
      <c r="G85" s="256"/>
      <c r="H85" s="256"/>
      <c r="I85" s="256"/>
      <c r="J85" s="256"/>
      <c r="K85" s="256"/>
      <c r="L85" s="256"/>
      <c r="M85" s="256"/>
      <c r="N85" s="256"/>
      <c r="O85" s="256"/>
      <c r="P85" s="256"/>
      <c r="Q85" s="256"/>
      <c r="R85" s="256"/>
      <c r="S85" s="256"/>
      <c r="T85" s="256"/>
      <c r="U85" s="256"/>
      <c r="V85" s="256"/>
      <c r="W85" s="256"/>
      <c r="X85" s="256"/>
      <c r="Y85" s="256"/>
      <c r="Z85" s="256"/>
      <c r="AA85" s="256"/>
      <c r="AB85" s="256"/>
      <c r="AC85" s="256"/>
      <c r="AD85" s="256"/>
      <c r="AE85" s="256"/>
      <c r="AF85" s="256"/>
      <c r="AG85" s="256"/>
      <c r="AH85" s="256"/>
      <c r="AI85" s="256"/>
      <c r="AJ85" s="256"/>
      <c r="AK85" s="256"/>
      <c r="AL85" s="256"/>
      <c r="AM85" s="256"/>
      <c r="AN85" s="256"/>
    </row>
    <row r="86" spans="1:40" x14ac:dyDescent="0.2">
      <c r="A86" s="258"/>
      <c r="D86" s="256"/>
      <c r="E86" s="256"/>
      <c r="F86" s="256"/>
      <c r="G86" s="256"/>
      <c r="H86" s="256"/>
      <c r="I86" s="256"/>
      <c r="J86" s="256"/>
      <c r="K86" s="256"/>
      <c r="L86" s="256"/>
      <c r="M86" s="256"/>
      <c r="N86" s="256"/>
      <c r="O86" s="256"/>
      <c r="P86" s="256"/>
      <c r="Q86" s="256"/>
      <c r="R86" s="256"/>
      <c r="S86" s="256"/>
      <c r="T86" s="256"/>
      <c r="U86" s="256"/>
      <c r="V86" s="256"/>
      <c r="W86" s="256"/>
      <c r="X86" s="256"/>
      <c r="Y86" s="256"/>
      <c r="Z86" s="256"/>
      <c r="AA86" s="256"/>
      <c r="AB86" s="256"/>
      <c r="AC86" s="256"/>
      <c r="AD86" s="256"/>
      <c r="AE86" s="256"/>
      <c r="AF86" s="256"/>
      <c r="AG86" s="256"/>
      <c r="AH86" s="256"/>
      <c r="AI86" s="256"/>
      <c r="AJ86" s="256"/>
      <c r="AK86" s="256"/>
      <c r="AL86" s="256"/>
      <c r="AM86" s="256"/>
      <c r="AN86" s="256"/>
    </row>
    <row r="87" spans="1:40" x14ac:dyDescent="0.2">
      <c r="A87" s="258"/>
      <c r="D87" s="256"/>
      <c r="E87" s="256"/>
      <c r="F87" s="256"/>
      <c r="G87" s="256"/>
      <c r="H87" s="256"/>
      <c r="I87" s="256"/>
      <c r="J87" s="256"/>
      <c r="K87" s="256"/>
      <c r="L87" s="256"/>
      <c r="M87" s="256"/>
      <c r="N87" s="256"/>
      <c r="O87" s="256"/>
      <c r="P87" s="256"/>
      <c r="Q87" s="256"/>
      <c r="R87" s="256"/>
      <c r="S87" s="256"/>
      <c r="T87" s="256"/>
      <c r="U87" s="256"/>
      <c r="V87" s="256"/>
      <c r="W87" s="256"/>
      <c r="X87" s="256"/>
      <c r="Y87" s="256"/>
      <c r="Z87" s="256"/>
      <c r="AA87" s="256"/>
      <c r="AB87" s="256"/>
      <c r="AC87" s="256"/>
      <c r="AD87" s="256"/>
      <c r="AE87" s="256"/>
      <c r="AF87" s="256"/>
      <c r="AG87" s="256"/>
      <c r="AH87" s="256"/>
      <c r="AI87" s="256"/>
      <c r="AJ87" s="256"/>
      <c r="AK87" s="256"/>
      <c r="AL87" s="256"/>
      <c r="AM87" s="256"/>
      <c r="AN87" s="256"/>
    </row>
    <row r="88" spans="1:40" x14ac:dyDescent="0.2">
      <c r="A88" s="258"/>
      <c r="D88" s="256"/>
      <c r="E88" s="256"/>
      <c r="F88" s="256"/>
      <c r="G88" s="256"/>
      <c r="H88" s="256"/>
      <c r="I88" s="256"/>
      <c r="J88" s="256"/>
      <c r="K88" s="256"/>
      <c r="L88" s="256"/>
      <c r="M88" s="256"/>
      <c r="N88" s="256"/>
      <c r="O88" s="256"/>
      <c r="P88" s="256"/>
      <c r="Q88" s="256"/>
      <c r="R88" s="256"/>
      <c r="S88" s="256"/>
      <c r="T88" s="256"/>
      <c r="U88" s="256"/>
      <c r="V88" s="256"/>
      <c r="W88" s="256"/>
      <c r="X88" s="256"/>
      <c r="Y88" s="256"/>
      <c r="Z88" s="256"/>
      <c r="AA88" s="256"/>
      <c r="AB88" s="256"/>
      <c r="AC88" s="256"/>
      <c r="AD88" s="256"/>
      <c r="AE88" s="256"/>
      <c r="AF88" s="256"/>
      <c r="AG88" s="256"/>
      <c r="AH88" s="256"/>
      <c r="AI88" s="256"/>
      <c r="AJ88" s="256"/>
      <c r="AK88" s="256"/>
      <c r="AL88" s="256"/>
      <c r="AM88" s="256"/>
      <c r="AN88" s="256"/>
    </row>
    <row r="89" spans="1:40" x14ac:dyDescent="0.2">
      <c r="A89" s="258"/>
      <c r="D89" s="256"/>
      <c r="E89" s="256"/>
      <c r="F89" s="256"/>
      <c r="G89" s="256"/>
      <c r="H89" s="256"/>
      <c r="I89" s="256"/>
      <c r="J89" s="256"/>
      <c r="K89" s="256"/>
      <c r="L89" s="256"/>
      <c r="M89" s="256"/>
      <c r="N89" s="256"/>
      <c r="O89" s="256"/>
      <c r="P89" s="256"/>
      <c r="Q89" s="256"/>
      <c r="R89" s="256"/>
      <c r="S89" s="256"/>
      <c r="T89" s="256"/>
      <c r="U89" s="256"/>
      <c r="V89" s="256"/>
      <c r="W89" s="256"/>
      <c r="X89" s="256"/>
      <c r="Y89" s="256"/>
      <c r="Z89" s="256"/>
      <c r="AA89" s="256"/>
      <c r="AB89" s="256"/>
      <c r="AC89" s="256"/>
      <c r="AD89" s="256"/>
      <c r="AE89" s="256"/>
      <c r="AF89" s="256"/>
      <c r="AG89" s="256"/>
      <c r="AH89" s="256"/>
      <c r="AI89" s="256"/>
      <c r="AJ89" s="256"/>
      <c r="AK89" s="256"/>
      <c r="AL89" s="256"/>
      <c r="AM89" s="256"/>
      <c r="AN89" s="256"/>
    </row>
    <row r="90" spans="1:40" x14ac:dyDescent="0.2">
      <c r="A90" s="258"/>
      <c r="D90" s="256"/>
      <c r="E90" s="256"/>
      <c r="F90" s="256"/>
      <c r="G90" s="256"/>
      <c r="H90" s="256"/>
      <c r="I90" s="256"/>
      <c r="J90" s="256"/>
      <c r="K90" s="256"/>
      <c r="L90" s="256"/>
      <c r="M90" s="256"/>
      <c r="N90" s="256"/>
      <c r="O90" s="256"/>
      <c r="P90" s="256"/>
      <c r="Q90" s="256"/>
      <c r="R90" s="256"/>
      <c r="S90" s="256"/>
      <c r="T90" s="256"/>
      <c r="U90" s="256"/>
      <c r="V90" s="256"/>
      <c r="W90" s="256"/>
      <c r="X90" s="256"/>
      <c r="Y90" s="256"/>
      <c r="Z90" s="256"/>
      <c r="AA90" s="256"/>
      <c r="AB90" s="256"/>
      <c r="AC90" s="256"/>
      <c r="AD90" s="256"/>
      <c r="AE90" s="256"/>
      <c r="AF90" s="256"/>
      <c r="AG90" s="256"/>
      <c r="AH90" s="256"/>
      <c r="AI90" s="256"/>
      <c r="AJ90" s="256"/>
      <c r="AK90" s="256"/>
      <c r="AL90" s="256"/>
      <c r="AM90" s="256"/>
      <c r="AN90" s="256"/>
    </row>
    <row r="91" spans="1:40" x14ac:dyDescent="0.2">
      <c r="A91" s="258"/>
      <c r="D91" s="256"/>
      <c r="E91" s="256"/>
      <c r="F91" s="256"/>
      <c r="G91" s="256"/>
      <c r="H91" s="256"/>
      <c r="I91" s="256"/>
      <c r="J91" s="256"/>
      <c r="K91" s="256"/>
      <c r="L91" s="256"/>
      <c r="M91" s="256"/>
      <c r="N91" s="256"/>
      <c r="O91" s="256"/>
      <c r="P91" s="256"/>
      <c r="Q91" s="256"/>
      <c r="R91" s="256"/>
      <c r="S91" s="256"/>
      <c r="T91" s="256"/>
      <c r="U91" s="256"/>
      <c r="V91" s="256"/>
      <c r="W91" s="256"/>
      <c r="X91" s="256"/>
      <c r="Y91" s="256"/>
      <c r="Z91" s="256"/>
      <c r="AA91" s="256"/>
      <c r="AB91" s="256"/>
      <c r="AC91" s="256"/>
      <c r="AD91" s="256"/>
      <c r="AE91" s="256"/>
      <c r="AF91" s="256"/>
      <c r="AG91" s="256"/>
      <c r="AH91" s="256"/>
      <c r="AI91" s="256"/>
      <c r="AJ91" s="256"/>
      <c r="AK91" s="256"/>
      <c r="AL91" s="256"/>
      <c r="AM91" s="256"/>
      <c r="AN91" s="256"/>
    </row>
    <row r="92" spans="1:40" x14ac:dyDescent="0.2">
      <c r="D92" s="256"/>
      <c r="E92" s="256"/>
      <c r="F92" s="256"/>
      <c r="G92" s="256"/>
      <c r="H92" s="256"/>
      <c r="I92" s="256"/>
      <c r="J92" s="256"/>
      <c r="K92" s="256"/>
      <c r="L92" s="256"/>
      <c r="M92" s="256"/>
      <c r="N92" s="256"/>
      <c r="O92" s="256"/>
      <c r="P92" s="256"/>
      <c r="Q92" s="256"/>
      <c r="R92" s="256"/>
      <c r="S92" s="256"/>
      <c r="T92" s="256"/>
      <c r="U92" s="256"/>
      <c r="V92" s="256"/>
      <c r="W92" s="256"/>
      <c r="X92" s="256"/>
      <c r="Y92" s="256"/>
      <c r="Z92" s="256"/>
      <c r="AA92" s="256"/>
      <c r="AB92" s="256"/>
      <c r="AC92" s="256"/>
      <c r="AD92" s="256"/>
      <c r="AE92" s="256"/>
      <c r="AF92" s="256"/>
      <c r="AG92" s="256"/>
      <c r="AH92" s="256"/>
      <c r="AI92" s="256"/>
      <c r="AJ92" s="256"/>
      <c r="AK92" s="256"/>
      <c r="AL92" s="256"/>
      <c r="AM92" s="256"/>
      <c r="AN92" s="256"/>
    </row>
    <row r="93" spans="1:40" x14ac:dyDescent="0.2">
      <c r="D93" s="256"/>
      <c r="E93" s="256"/>
      <c r="F93" s="256"/>
      <c r="G93" s="256"/>
      <c r="H93" s="256"/>
      <c r="I93" s="256"/>
      <c r="J93" s="256"/>
      <c r="K93" s="256"/>
      <c r="L93" s="256"/>
      <c r="M93" s="256"/>
      <c r="N93" s="256"/>
      <c r="O93" s="256"/>
      <c r="P93" s="256"/>
      <c r="Q93" s="256"/>
      <c r="R93" s="256"/>
      <c r="S93" s="256"/>
      <c r="T93" s="256"/>
      <c r="U93" s="256"/>
      <c r="V93" s="256"/>
      <c r="W93" s="256"/>
      <c r="X93" s="256"/>
      <c r="Y93" s="256"/>
      <c r="Z93" s="256"/>
      <c r="AA93" s="256"/>
      <c r="AB93" s="256"/>
      <c r="AC93" s="256"/>
      <c r="AD93" s="256"/>
      <c r="AE93" s="256"/>
      <c r="AF93" s="256"/>
      <c r="AG93" s="256"/>
      <c r="AH93" s="256"/>
      <c r="AI93" s="256"/>
      <c r="AJ93" s="256"/>
      <c r="AK93" s="256"/>
      <c r="AL93" s="256"/>
      <c r="AM93" s="256"/>
      <c r="AN93" s="256"/>
    </row>
    <row r="94" spans="1:40" x14ac:dyDescent="0.2">
      <c r="D94" s="256"/>
      <c r="E94" s="256"/>
      <c r="F94" s="256"/>
      <c r="G94" s="256"/>
      <c r="H94" s="256"/>
      <c r="I94" s="256"/>
      <c r="J94" s="256"/>
      <c r="K94" s="256"/>
      <c r="L94" s="256"/>
      <c r="M94" s="256"/>
      <c r="N94" s="256"/>
      <c r="O94" s="256"/>
      <c r="P94" s="256"/>
      <c r="Q94" s="256"/>
      <c r="R94" s="256"/>
      <c r="S94" s="256"/>
      <c r="T94" s="256"/>
      <c r="U94" s="256"/>
      <c r="V94" s="256"/>
      <c r="W94" s="256"/>
      <c r="X94" s="256"/>
      <c r="Y94" s="256"/>
      <c r="Z94" s="256"/>
      <c r="AA94" s="256"/>
      <c r="AB94" s="256"/>
      <c r="AC94" s="256"/>
      <c r="AD94" s="256"/>
      <c r="AE94" s="256"/>
      <c r="AF94" s="256"/>
      <c r="AG94" s="256"/>
      <c r="AH94" s="256"/>
      <c r="AI94" s="256"/>
      <c r="AJ94" s="256"/>
      <c r="AK94" s="256"/>
      <c r="AL94" s="256"/>
      <c r="AM94" s="256"/>
      <c r="AN94" s="256"/>
    </row>
    <row r="95" spans="1:40" x14ac:dyDescent="0.2">
      <c r="D95" s="256"/>
      <c r="E95" s="256"/>
      <c r="F95" s="256"/>
      <c r="G95" s="256"/>
      <c r="H95" s="256"/>
      <c r="I95" s="256"/>
      <c r="J95" s="256"/>
      <c r="K95" s="256"/>
      <c r="L95" s="256"/>
      <c r="M95" s="256"/>
      <c r="N95" s="256"/>
      <c r="O95" s="256"/>
      <c r="P95" s="256"/>
      <c r="Q95" s="256"/>
      <c r="R95" s="256"/>
      <c r="S95" s="256"/>
      <c r="T95" s="256"/>
      <c r="U95" s="256"/>
      <c r="V95" s="256"/>
      <c r="W95" s="256"/>
      <c r="X95" s="256"/>
      <c r="Y95" s="256"/>
      <c r="Z95" s="256"/>
      <c r="AA95" s="256"/>
      <c r="AB95" s="256"/>
      <c r="AC95" s="256"/>
      <c r="AD95" s="256"/>
      <c r="AE95" s="256"/>
      <c r="AF95" s="256"/>
      <c r="AG95" s="256"/>
      <c r="AH95" s="256"/>
      <c r="AI95" s="256"/>
      <c r="AJ95" s="256"/>
      <c r="AK95" s="256"/>
      <c r="AL95" s="256"/>
      <c r="AM95" s="256"/>
      <c r="AN95" s="256"/>
    </row>
    <row r="96" spans="1:40" x14ac:dyDescent="0.2">
      <c r="D96" s="256"/>
      <c r="E96" s="256"/>
      <c r="F96" s="256"/>
      <c r="G96" s="256"/>
      <c r="H96" s="256"/>
      <c r="I96" s="256"/>
      <c r="J96" s="256"/>
      <c r="K96" s="256"/>
      <c r="L96" s="256"/>
      <c r="M96" s="256"/>
      <c r="N96" s="256"/>
      <c r="O96" s="256"/>
      <c r="P96" s="256"/>
      <c r="Q96" s="256"/>
      <c r="R96" s="256"/>
      <c r="S96" s="256"/>
      <c r="T96" s="256"/>
      <c r="U96" s="256"/>
      <c r="V96" s="256"/>
      <c r="W96" s="256"/>
      <c r="X96" s="256"/>
      <c r="Y96" s="256"/>
      <c r="Z96" s="256"/>
      <c r="AA96" s="256"/>
      <c r="AB96" s="256"/>
      <c r="AC96" s="256"/>
      <c r="AD96" s="256"/>
      <c r="AE96" s="256"/>
      <c r="AF96" s="256"/>
      <c r="AG96" s="256"/>
      <c r="AH96" s="256"/>
      <c r="AI96" s="256"/>
      <c r="AJ96" s="256"/>
      <c r="AK96" s="256"/>
      <c r="AL96" s="256"/>
      <c r="AM96" s="256"/>
      <c r="AN96" s="256"/>
    </row>
    <row r="97" spans="4:40" x14ac:dyDescent="0.2">
      <c r="D97" s="256"/>
      <c r="E97" s="256"/>
      <c r="F97" s="256"/>
      <c r="G97" s="256"/>
      <c r="H97" s="256"/>
      <c r="I97" s="256"/>
      <c r="J97" s="256"/>
      <c r="K97" s="256"/>
      <c r="L97" s="256"/>
      <c r="M97" s="256"/>
      <c r="N97" s="256"/>
      <c r="O97" s="256"/>
      <c r="P97" s="256"/>
      <c r="Q97" s="256"/>
      <c r="R97" s="256"/>
      <c r="S97" s="256"/>
      <c r="T97" s="256"/>
      <c r="U97" s="256"/>
      <c r="V97" s="256"/>
      <c r="W97" s="256"/>
      <c r="X97" s="256"/>
      <c r="Y97" s="256"/>
      <c r="Z97" s="256"/>
      <c r="AA97" s="256"/>
      <c r="AB97" s="256"/>
      <c r="AC97" s="256"/>
      <c r="AD97" s="256"/>
      <c r="AE97" s="256"/>
      <c r="AF97" s="256"/>
      <c r="AG97" s="256"/>
      <c r="AH97" s="256"/>
      <c r="AI97" s="256"/>
      <c r="AJ97" s="256"/>
      <c r="AK97" s="256"/>
      <c r="AL97" s="256"/>
      <c r="AM97" s="256"/>
      <c r="AN97" s="256"/>
    </row>
    <row r="98" spans="4:40" x14ac:dyDescent="0.2">
      <c r="D98" s="256"/>
      <c r="E98" s="256"/>
      <c r="F98" s="256"/>
      <c r="G98" s="256"/>
      <c r="H98" s="256"/>
      <c r="I98" s="256"/>
      <c r="J98" s="256"/>
      <c r="K98" s="256"/>
      <c r="L98" s="256"/>
      <c r="M98" s="256"/>
      <c r="N98" s="256"/>
      <c r="O98" s="256"/>
      <c r="P98" s="256"/>
      <c r="Q98" s="256"/>
      <c r="R98" s="256"/>
      <c r="S98" s="256"/>
      <c r="T98" s="256"/>
      <c r="U98" s="256"/>
      <c r="V98" s="256"/>
      <c r="W98" s="256"/>
      <c r="X98" s="256"/>
      <c r="Y98" s="256"/>
      <c r="Z98" s="256"/>
      <c r="AA98" s="256"/>
      <c r="AB98" s="256"/>
      <c r="AC98" s="256"/>
      <c r="AD98" s="256"/>
      <c r="AE98" s="256"/>
      <c r="AF98" s="256"/>
      <c r="AG98" s="256"/>
      <c r="AH98" s="256"/>
      <c r="AI98" s="256"/>
      <c r="AJ98" s="256"/>
      <c r="AK98" s="256"/>
      <c r="AL98" s="256"/>
      <c r="AM98" s="256"/>
      <c r="AN98" s="256"/>
    </row>
    <row r="99" spans="4:40" x14ac:dyDescent="0.2">
      <c r="D99" s="256"/>
      <c r="E99" s="256"/>
      <c r="F99" s="256"/>
      <c r="G99" s="256"/>
      <c r="H99" s="256"/>
      <c r="I99" s="256"/>
      <c r="J99" s="256"/>
      <c r="K99" s="256"/>
      <c r="L99" s="256"/>
      <c r="M99" s="256"/>
      <c r="N99" s="256"/>
      <c r="O99" s="256"/>
      <c r="P99" s="256"/>
      <c r="Q99" s="256"/>
      <c r="R99" s="256"/>
      <c r="S99" s="256"/>
      <c r="T99" s="256"/>
      <c r="U99" s="256"/>
      <c r="V99" s="256"/>
      <c r="W99" s="256"/>
      <c r="X99" s="256"/>
      <c r="Y99" s="256"/>
      <c r="Z99" s="256"/>
      <c r="AA99" s="256"/>
      <c r="AB99" s="256"/>
      <c r="AC99" s="256"/>
      <c r="AD99" s="256"/>
      <c r="AE99" s="256"/>
      <c r="AF99" s="256"/>
      <c r="AG99" s="256"/>
      <c r="AH99" s="256"/>
      <c r="AI99" s="256"/>
      <c r="AJ99" s="256"/>
      <c r="AK99" s="256"/>
      <c r="AL99" s="256"/>
      <c r="AM99" s="256"/>
      <c r="AN99" s="256"/>
    </row>
    <row r="100" spans="4:40" x14ac:dyDescent="0.2">
      <c r="D100" s="256"/>
      <c r="E100" s="256"/>
      <c r="F100" s="256"/>
      <c r="G100" s="256"/>
      <c r="H100" s="256"/>
      <c r="I100" s="256"/>
      <c r="J100" s="256"/>
      <c r="K100" s="256"/>
      <c r="L100" s="256"/>
      <c r="M100" s="256"/>
      <c r="N100" s="256"/>
      <c r="O100" s="256"/>
      <c r="P100" s="256"/>
      <c r="Q100" s="256"/>
      <c r="R100" s="256"/>
      <c r="S100" s="256"/>
      <c r="T100" s="256"/>
      <c r="U100" s="256"/>
      <c r="V100" s="256"/>
      <c r="W100" s="256"/>
      <c r="X100" s="256"/>
      <c r="Y100" s="256"/>
      <c r="Z100" s="256"/>
      <c r="AA100" s="256"/>
      <c r="AB100" s="256"/>
      <c r="AC100" s="256"/>
      <c r="AD100" s="256"/>
      <c r="AE100" s="256"/>
      <c r="AF100" s="256"/>
      <c r="AG100" s="256"/>
      <c r="AH100" s="256"/>
      <c r="AI100" s="256"/>
      <c r="AJ100" s="256"/>
      <c r="AK100" s="256"/>
      <c r="AL100" s="256"/>
      <c r="AM100" s="256"/>
      <c r="AN100" s="256"/>
    </row>
    <row r="101" spans="4:40" x14ac:dyDescent="0.2">
      <c r="D101" s="256"/>
      <c r="E101" s="256"/>
      <c r="F101" s="256"/>
      <c r="G101" s="256"/>
      <c r="H101" s="256"/>
      <c r="I101" s="256"/>
      <c r="J101" s="256"/>
      <c r="K101" s="256"/>
      <c r="L101" s="256"/>
      <c r="M101" s="256"/>
      <c r="N101" s="256"/>
      <c r="O101" s="256"/>
      <c r="P101" s="256"/>
      <c r="Q101" s="256"/>
      <c r="R101" s="256"/>
      <c r="S101" s="256"/>
      <c r="T101" s="256"/>
      <c r="U101" s="256"/>
      <c r="V101" s="256"/>
      <c r="W101" s="256"/>
      <c r="X101" s="256"/>
      <c r="Y101" s="256"/>
      <c r="Z101" s="256"/>
      <c r="AA101" s="256"/>
      <c r="AB101" s="256"/>
      <c r="AC101" s="256"/>
      <c r="AD101" s="256"/>
      <c r="AE101" s="256"/>
      <c r="AF101" s="256"/>
      <c r="AG101" s="256"/>
      <c r="AH101" s="256"/>
      <c r="AI101" s="256"/>
      <c r="AJ101" s="256"/>
      <c r="AK101" s="256"/>
      <c r="AL101" s="256"/>
      <c r="AM101" s="256"/>
      <c r="AN101" s="256"/>
    </row>
    <row r="102" spans="4:40" x14ac:dyDescent="0.2">
      <c r="D102" s="256"/>
      <c r="E102" s="256"/>
      <c r="F102" s="256"/>
      <c r="G102" s="256"/>
      <c r="H102" s="256"/>
      <c r="I102" s="256"/>
      <c r="J102" s="256"/>
      <c r="K102" s="256"/>
      <c r="L102" s="256"/>
      <c r="M102" s="256"/>
      <c r="N102" s="256"/>
      <c r="O102" s="256"/>
      <c r="P102" s="256"/>
      <c r="Q102" s="256"/>
      <c r="R102" s="256"/>
      <c r="S102" s="256"/>
      <c r="T102" s="256"/>
      <c r="U102" s="256"/>
      <c r="V102" s="256"/>
      <c r="W102" s="256"/>
      <c r="X102" s="256"/>
      <c r="Y102" s="256"/>
      <c r="Z102" s="256"/>
      <c r="AA102" s="256"/>
      <c r="AB102" s="256"/>
      <c r="AC102" s="256"/>
      <c r="AD102" s="256"/>
      <c r="AE102" s="256"/>
      <c r="AF102" s="256"/>
      <c r="AG102" s="256"/>
      <c r="AH102" s="256"/>
      <c r="AI102" s="256"/>
      <c r="AJ102" s="256"/>
      <c r="AK102" s="256"/>
      <c r="AL102" s="256"/>
      <c r="AM102" s="256"/>
      <c r="AN102" s="256"/>
    </row>
    <row r="103" spans="4:40" x14ac:dyDescent="0.2">
      <c r="D103" s="256"/>
      <c r="E103" s="256"/>
      <c r="F103" s="256"/>
      <c r="G103" s="256"/>
      <c r="H103" s="256"/>
      <c r="I103" s="256"/>
      <c r="J103" s="256"/>
      <c r="K103" s="256"/>
      <c r="L103" s="256"/>
      <c r="M103" s="256"/>
      <c r="N103" s="256"/>
      <c r="O103" s="256"/>
      <c r="P103" s="256"/>
      <c r="Q103" s="256"/>
      <c r="R103" s="256"/>
      <c r="S103" s="256"/>
      <c r="T103" s="256"/>
      <c r="U103" s="256"/>
      <c r="V103" s="256"/>
      <c r="W103" s="256"/>
      <c r="X103" s="256"/>
      <c r="Y103" s="256"/>
      <c r="Z103" s="256"/>
      <c r="AA103" s="256"/>
      <c r="AB103" s="256"/>
      <c r="AC103" s="256"/>
      <c r="AD103" s="256"/>
      <c r="AE103" s="256"/>
      <c r="AF103" s="256"/>
      <c r="AG103" s="256"/>
      <c r="AH103" s="256"/>
      <c r="AI103" s="256"/>
      <c r="AJ103" s="256"/>
      <c r="AK103" s="256"/>
      <c r="AL103" s="256"/>
      <c r="AM103" s="256"/>
      <c r="AN103" s="256"/>
    </row>
    <row r="104" spans="4:40" x14ac:dyDescent="0.2">
      <c r="D104" s="256"/>
      <c r="E104" s="256"/>
      <c r="F104" s="256"/>
      <c r="G104" s="256"/>
      <c r="H104" s="256"/>
      <c r="I104" s="256"/>
      <c r="J104" s="256"/>
      <c r="K104" s="256"/>
      <c r="L104" s="256"/>
      <c r="M104" s="256"/>
      <c r="N104" s="256"/>
      <c r="O104" s="256"/>
      <c r="P104" s="256"/>
      <c r="Q104" s="256"/>
      <c r="R104" s="256"/>
      <c r="S104" s="256"/>
      <c r="T104" s="256"/>
      <c r="U104" s="256"/>
      <c r="V104" s="256"/>
      <c r="W104" s="256"/>
      <c r="X104" s="256"/>
      <c r="Y104" s="256"/>
      <c r="Z104" s="256"/>
      <c r="AA104" s="256"/>
      <c r="AB104" s="256"/>
      <c r="AC104" s="256"/>
      <c r="AD104" s="256"/>
      <c r="AE104" s="256"/>
      <c r="AF104" s="256"/>
      <c r="AG104" s="256"/>
      <c r="AH104" s="256"/>
      <c r="AI104" s="256"/>
      <c r="AJ104" s="256"/>
      <c r="AK104" s="256"/>
      <c r="AL104" s="256"/>
      <c r="AM104" s="256"/>
      <c r="AN104" s="256"/>
    </row>
    <row r="105" spans="4:40" x14ac:dyDescent="0.2">
      <c r="D105" s="256"/>
      <c r="E105" s="256"/>
      <c r="F105" s="256"/>
      <c r="G105" s="256"/>
      <c r="H105" s="256"/>
      <c r="I105" s="256"/>
      <c r="J105" s="256"/>
      <c r="K105" s="256"/>
      <c r="L105" s="256"/>
      <c r="M105" s="256"/>
      <c r="N105" s="256"/>
      <c r="O105" s="256"/>
      <c r="P105" s="256"/>
      <c r="Q105" s="256"/>
      <c r="R105" s="256"/>
      <c r="S105" s="256"/>
      <c r="T105" s="256"/>
      <c r="U105" s="256"/>
      <c r="V105" s="256"/>
      <c r="W105" s="256"/>
      <c r="X105" s="256"/>
      <c r="Y105" s="256"/>
      <c r="Z105" s="256"/>
      <c r="AA105" s="256"/>
      <c r="AB105" s="256"/>
      <c r="AC105" s="256"/>
      <c r="AD105" s="256"/>
      <c r="AE105" s="256"/>
      <c r="AF105" s="256"/>
      <c r="AG105" s="256"/>
      <c r="AH105" s="256"/>
      <c r="AI105" s="256"/>
      <c r="AJ105" s="256"/>
      <c r="AK105" s="256"/>
      <c r="AL105" s="256"/>
      <c r="AM105" s="256"/>
      <c r="AN105" s="256"/>
    </row>
    <row r="106" spans="4:40" x14ac:dyDescent="0.2">
      <c r="D106" s="256"/>
      <c r="E106" s="256"/>
      <c r="F106" s="256"/>
      <c r="G106" s="256"/>
      <c r="H106" s="256"/>
      <c r="I106" s="256"/>
      <c r="J106" s="256"/>
      <c r="K106" s="256"/>
      <c r="L106" s="256"/>
      <c r="M106" s="256"/>
      <c r="N106" s="256"/>
      <c r="O106" s="256"/>
      <c r="P106" s="256"/>
      <c r="Q106" s="256"/>
      <c r="R106" s="256"/>
      <c r="S106" s="256"/>
      <c r="T106" s="256"/>
      <c r="U106" s="256"/>
      <c r="V106" s="256"/>
      <c r="W106" s="256"/>
      <c r="X106" s="256"/>
      <c r="Y106" s="256"/>
      <c r="Z106" s="256"/>
      <c r="AA106" s="256"/>
      <c r="AB106" s="256"/>
      <c r="AC106" s="256"/>
      <c r="AD106" s="256"/>
      <c r="AE106" s="256"/>
      <c r="AF106" s="256"/>
      <c r="AG106" s="256"/>
      <c r="AH106" s="256"/>
      <c r="AI106" s="256"/>
      <c r="AJ106" s="256"/>
      <c r="AK106" s="256"/>
      <c r="AL106" s="256"/>
      <c r="AM106" s="256"/>
      <c r="AN106" s="256"/>
    </row>
    <row r="107" spans="4:40" x14ac:dyDescent="0.2">
      <c r="D107" s="256"/>
      <c r="E107" s="256"/>
      <c r="F107" s="256"/>
      <c r="G107" s="256"/>
      <c r="H107" s="256"/>
      <c r="I107" s="256"/>
      <c r="J107" s="256"/>
      <c r="K107" s="256"/>
      <c r="L107" s="256"/>
      <c r="M107" s="256"/>
      <c r="N107" s="256"/>
      <c r="O107" s="256"/>
      <c r="P107" s="256"/>
      <c r="Q107" s="256"/>
      <c r="R107" s="256"/>
      <c r="S107" s="256"/>
      <c r="T107" s="256"/>
      <c r="U107" s="256"/>
      <c r="V107" s="256"/>
      <c r="W107" s="256"/>
      <c r="X107" s="256"/>
      <c r="Y107" s="256"/>
      <c r="Z107" s="256"/>
      <c r="AA107" s="256"/>
      <c r="AB107" s="256"/>
      <c r="AC107" s="256"/>
      <c r="AD107" s="256"/>
      <c r="AE107" s="256"/>
      <c r="AF107" s="256"/>
      <c r="AG107" s="256"/>
      <c r="AH107" s="256"/>
      <c r="AI107" s="256"/>
      <c r="AJ107" s="256"/>
      <c r="AK107" s="256"/>
      <c r="AL107" s="256"/>
      <c r="AM107" s="256"/>
      <c r="AN107" s="256"/>
    </row>
    <row r="108" spans="4:40" x14ac:dyDescent="0.2">
      <c r="D108" s="256"/>
      <c r="E108" s="256"/>
      <c r="F108" s="256"/>
      <c r="G108" s="256"/>
      <c r="H108" s="256"/>
      <c r="I108" s="256"/>
      <c r="J108" s="256"/>
      <c r="K108" s="256"/>
      <c r="L108" s="256"/>
      <c r="M108" s="256"/>
      <c r="N108" s="256"/>
      <c r="O108" s="256"/>
      <c r="P108" s="256"/>
      <c r="Q108" s="256"/>
      <c r="R108" s="256"/>
      <c r="S108" s="256"/>
      <c r="T108" s="256"/>
      <c r="U108" s="256"/>
      <c r="V108" s="256"/>
      <c r="W108" s="256"/>
      <c r="X108" s="256"/>
      <c r="Y108" s="256"/>
      <c r="Z108" s="256"/>
      <c r="AA108" s="256"/>
      <c r="AB108" s="256"/>
      <c r="AC108" s="256"/>
      <c r="AD108" s="256"/>
      <c r="AE108" s="256"/>
      <c r="AF108" s="256"/>
      <c r="AG108" s="256"/>
      <c r="AH108" s="256"/>
      <c r="AI108" s="256"/>
      <c r="AJ108" s="256"/>
      <c r="AK108" s="256"/>
      <c r="AL108" s="256"/>
      <c r="AM108" s="256"/>
      <c r="AN108" s="256"/>
    </row>
    <row r="109" spans="4:40" x14ac:dyDescent="0.2">
      <c r="D109" s="256"/>
      <c r="E109" s="256"/>
      <c r="F109" s="256"/>
      <c r="G109" s="256"/>
      <c r="H109" s="256"/>
      <c r="I109" s="256"/>
      <c r="J109" s="256"/>
      <c r="K109" s="256"/>
      <c r="L109" s="256"/>
      <c r="M109" s="256"/>
      <c r="N109" s="256"/>
      <c r="O109" s="256"/>
      <c r="P109" s="256"/>
      <c r="Q109" s="256"/>
      <c r="R109" s="256"/>
      <c r="S109" s="256"/>
      <c r="T109" s="256"/>
      <c r="U109" s="256"/>
      <c r="V109" s="256"/>
      <c r="W109" s="256"/>
      <c r="X109" s="256"/>
      <c r="Y109" s="256"/>
      <c r="Z109" s="256"/>
      <c r="AA109" s="256"/>
      <c r="AB109" s="256"/>
      <c r="AC109" s="256"/>
      <c r="AD109" s="256"/>
      <c r="AE109" s="256"/>
      <c r="AF109" s="256"/>
      <c r="AG109" s="256"/>
      <c r="AH109" s="256"/>
      <c r="AI109" s="256"/>
      <c r="AJ109" s="256"/>
      <c r="AK109" s="256"/>
      <c r="AL109" s="256"/>
      <c r="AM109" s="256"/>
      <c r="AN109" s="256"/>
    </row>
    <row r="110" spans="4:40" x14ac:dyDescent="0.2">
      <c r="D110" s="256"/>
      <c r="E110" s="256"/>
      <c r="F110" s="256"/>
      <c r="G110" s="256"/>
      <c r="H110" s="256"/>
      <c r="I110" s="256"/>
      <c r="J110" s="256"/>
      <c r="K110" s="256"/>
      <c r="L110" s="256"/>
      <c r="M110" s="256"/>
      <c r="N110" s="256"/>
      <c r="O110" s="256"/>
      <c r="P110" s="256"/>
      <c r="Q110" s="256"/>
      <c r="R110" s="256"/>
      <c r="S110" s="256"/>
      <c r="T110" s="256"/>
      <c r="U110" s="256"/>
      <c r="V110" s="256"/>
      <c r="W110" s="256"/>
      <c r="X110" s="256"/>
      <c r="Y110" s="256"/>
      <c r="Z110" s="256"/>
      <c r="AA110" s="256"/>
      <c r="AB110" s="256"/>
      <c r="AC110" s="256"/>
      <c r="AD110" s="256"/>
      <c r="AE110" s="256"/>
      <c r="AF110" s="256"/>
      <c r="AG110" s="256"/>
      <c r="AH110" s="256"/>
      <c r="AI110" s="256"/>
      <c r="AJ110" s="256"/>
      <c r="AK110" s="256"/>
      <c r="AL110" s="256"/>
      <c r="AM110" s="256"/>
      <c r="AN110" s="256"/>
    </row>
    <row r="111" spans="4:40" x14ac:dyDescent="0.2">
      <c r="D111" s="256"/>
      <c r="E111" s="256"/>
      <c r="F111" s="256"/>
      <c r="G111" s="256"/>
      <c r="H111" s="256"/>
      <c r="I111" s="256"/>
      <c r="J111" s="256"/>
      <c r="K111" s="256"/>
      <c r="L111" s="256"/>
      <c r="M111" s="256"/>
      <c r="N111" s="256"/>
      <c r="O111" s="256"/>
      <c r="P111" s="256"/>
      <c r="Q111" s="256"/>
      <c r="R111" s="256"/>
      <c r="S111" s="256"/>
      <c r="T111" s="256"/>
      <c r="U111" s="256"/>
      <c r="V111" s="256"/>
      <c r="W111" s="256"/>
      <c r="X111" s="256"/>
      <c r="Y111" s="256"/>
      <c r="Z111" s="256"/>
      <c r="AA111" s="256"/>
      <c r="AB111" s="256"/>
      <c r="AC111" s="256"/>
      <c r="AD111" s="256"/>
      <c r="AE111" s="256"/>
      <c r="AF111" s="256"/>
      <c r="AG111" s="256"/>
      <c r="AH111" s="256"/>
      <c r="AI111" s="256"/>
      <c r="AJ111" s="256"/>
      <c r="AK111" s="256"/>
      <c r="AL111" s="256"/>
      <c r="AM111" s="256"/>
      <c r="AN111" s="256"/>
    </row>
    <row r="112" spans="4:40" x14ac:dyDescent="0.2">
      <c r="D112" s="256"/>
      <c r="E112" s="256"/>
      <c r="F112" s="256"/>
      <c r="G112" s="256"/>
      <c r="H112" s="256"/>
      <c r="I112" s="256"/>
      <c r="J112" s="256"/>
      <c r="K112" s="256"/>
      <c r="L112" s="256"/>
      <c r="M112" s="256"/>
      <c r="N112" s="256"/>
      <c r="O112" s="256"/>
      <c r="P112" s="256"/>
      <c r="Q112" s="256"/>
      <c r="R112" s="256"/>
      <c r="S112" s="256"/>
      <c r="T112" s="256"/>
      <c r="U112" s="256"/>
      <c r="V112" s="256"/>
      <c r="W112" s="256"/>
      <c r="X112" s="256"/>
      <c r="Y112" s="256"/>
      <c r="Z112" s="256"/>
      <c r="AA112" s="256"/>
      <c r="AB112" s="256"/>
      <c r="AC112" s="256"/>
      <c r="AD112" s="256"/>
      <c r="AE112" s="256"/>
      <c r="AF112" s="256"/>
      <c r="AG112" s="256"/>
      <c r="AH112" s="256"/>
      <c r="AI112" s="256"/>
      <c r="AJ112" s="256"/>
      <c r="AK112" s="256"/>
      <c r="AL112" s="256"/>
      <c r="AM112" s="256"/>
      <c r="AN112" s="256"/>
    </row>
    <row r="113" spans="4:40" x14ac:dyDescent="0.2">
      <c r="D113" s="256"/>
      <c r="E113" s="256"/>
      <c r="F113" s="256"/>
      <c r="G113" s="256"/>
      <c r="H113" s="256"/>
      <c r="I113" s="256"/>
      <c r="J113" s="256"/>
      <c r="K113" s="256"/>
      <c r="L113" s="256"/>
      <c r="M113" s="256"/>
      <c r="N113" s="256"/>
      <c r="O113" s="256"/>
      <c r="P113" s="256"/>
      <c r="Q113" s="256"/>
      <c r="R113" s="256"/>
      <c r="S113" s="256"/>
      <c r="T113" s="256"/>
      <c r="U113" s="256"/>
      <c r="V113" s="256"/>
      <c r="W113" s="256"/>
      <c r="X113" s="256"/>
      <c r="Y113" s="256"/>
      <c r="Z113" s="256"/>
      <c r="AA113" s="256"/>
      <c r="AB113" s="256"/>
      <c r="AC113" s="256"/>
      <c r="AD113" s="256"/>
      <c r="AE113" s="256"/>
      <c r="AF113" s="256"/>
      <c r="AG113" s="256"/>
      <c r="AH113" s="256"/>
      <c r="AI113" s="256"/>
      <c r="AJ113" s="256"/>
      <c r="AK113" s="256"/>
      <c r="AL113" s="256"/>
      <c r="AM113" s="256"/>
      <c r="AN113" s="256"/>
    </row>
    <row r="114" spans="4:40" x14ac:dyDescent="0.2">
      <c r="D114" s="256"/>
      <c r="E114" s="256"/>
      <c r="F114" s="256"/>
      <c r="G114" s="256"/>
      <c r="H114" s="256"/>
      <c r="I114" s="256"/>
      <c r="J114" s="256"/>
      <c r="K114" s="256"/>
      <c r="L114" s="256"/>
      <c r="M114" s="256"/>
      <c r="N114" s="256"/>
      <c r="O114" s="256"/>
      <c r="P114" s="256"/>
      <c r="Q114" s="256"/>
      <c r="R114" s="256"/>
      <c r="S114" s="256"/>
      <c r="T114" s="256"/>
      <c r="U114" s="256"/>
      <c r="V114" s="256"/>
      <c r="W114" s="256"/>
      <c r="X114" s="256"/>
      <c r="Y114" s="256"/>
      <c r="Z114" s="256"/>
      <c r="AA114" s="256"/>
      <c r="AB114" s="256"/>
      <c r="AC114" s="256"/>
      <c r="AD114" s="256"/>
      <c r="AE114" s="256"/>
      <c r="AF114" s="256"/>
      <c r="AG114" s="256"/>
      <c r="AH114" s="256"/>
      <c r="AI114" s="256"/>
      <c r="AJ114" s="256"/>
      <c r="AK114" s="256"/>
      <c r="AL114" s="256"/>
      <c r="AM114" s="256"/>
      <c r="AN114" s="256"/>
    </row>
    <row r="115" spans="4:40" x14ac:dyDescent="0.2">
      <c r="D115" s="256"/>
      <c r="E115" s="256"/>
      <c r="F115" s="256"/>
      <c r="G115" s="256"/>
      <c r="H115" s="256"/>
      <c r="I115" s="256"/>
      <c r="J115" s="256"/>
      <c r="K115" s="256"/>
      <c r="L115" s="256"/>
      <c r="M115" s="256"/>
      <c r="N115" s="256"/>
      <c r="O115" s="256"/>
      <c r="P115" s="256"/>
      <c r="Q115" s="256"/>
      <c r="R115" s="256"/>
      <c r="S115" s="256"/>
      <c r="T115" s="256"/>
      <c r="U115" s="256"/>
      <c r="V115" s="256"/>
      <c r="W115" s="256"/>
      <c r="X115" s="256"/>
      <c r="Y115" s="256"/>
      <c r="Z115" s="256"/>
      <c r="AA115" s="256"/>
      <c r="AB115" s="256"/>
      <c r="AC115" s="256"/>
      <c r="AD115" s="256"/>
      <c r="AE115" s="256"/>
      <c r="AF115" s="256"/>
      <c r="AG115" s="256"/>
      <c r="AH115" s="256"/>
      <c r="AI115" s="256"/>
      <c r="AJ115" s="256"/>
      <c r="AK115" s="256"/>
      <c r="AL115" s="256"/>
      <c r="AM115" s="256"/>
      <c r="AN115" s="256"/>
    </row>
    <row r="116" spans="4:40" x14ac:dyDescent="0.2">
      <c r="D116" s="256"/>
      <c r="E116" s="256"/>
      <c r="F116" s="256"/>
      <c r="G116" s="256"/>
      <c r="H116" s="256"/>
      <c r="I116" s="256"/>
      <c r="J116" s="256"/>
      <c r="K116" s="256"/>
      <c r="L116" s="256"/>
      <c r="M116" s="256"/>
      <c r="N116" s="256"/>
      <c r="O116" s="256"/>
      <c r="P116" s="256"/>
      <c r="Q116" s="256"/>
      <c r="R116" s="256"/>
      <c r="S116" s="256"/>
      <c r="T116" s="256"/>
      <c r="U116" s="256"/>
      <c r="V116" s="256"/>
      <c r="W116" s="256"/>
      <c r="X116" s="256"/>
      <c r="Y116" s="256"/>
      <c r="Z116" s="256"/>
      <c r="AA116" s="256"/>
      <c r="AB116" s="256"/>
      <c r="AC116" s="256"/>
      <c r="AD116" s="256"/>
      <c r="AE116" s="256"/>
      <c r="AF116" s="256"/>
      <c r="AG116" s="256"/>
      <c r="AH116" s="256"/>
      <c r="AI116" s="256"/>
      <c r="AJ116" s="256"/>
      <c r="AK116" s="256"/>
      <c r="AL116" s="256"/>
      <c r="AM116" s="256"/>
      <c r="AN116" s="256"/>
    </row>
    <row r="117" spans="4:40" x14ac:dyDescent="0.2">
      <c r="D117" s="256"/>
      <c r="E117" s="256"/>
      <c r="F117" s="256"/>
      <c r="G117" s="256"/>
      <c r="H117" s="256"/>
      <c r="I117" s="256"/>
      <c r="J117" s="256"/>
      <c r="K117" s="256"/>
      <c r="L117" s="256"/>
      <c r="M117" s="256"/>
      <c r="N117" s="256"/>
      <c r="O117" s="256"/>
      <c r="P117" s="256"/>
      <c r="Q117" s="256"/>
      <c r="R117" s="256"/>
      <c r="S117" s="256"/>
      <c r="T117" s="256"/>
      <c r="U117" s="256"/>
      <c r="V117" s="256"/>
      <c r="W117" s="256"/>
      <c r="X117" s="256"/>
      <c r="Y117" s="256"/>
      <c r="Z117" s="256"/>
      <c r="AA117" s="256"/>
      <c r="AB117" s="256"/>
      <c r="AC117" s="256"/>
      <c r="AD117" s="256"/>
      <c r="AE117" s="256"/>
      <c r="AF117" s="256"/>
      <c r="AG117" s="256"/>
      <c r="AH117" s="256"/>
      <c r="AI117" s="256"/>
      <c r="AJ117" s="256"/>
      <c r="AK117" s="256"/>
      <c r="AL117" s="256"/>
      <c r="AM117" s="256"/>
      <c r="AN117" s="256"/>
    </row>
    <row r="118" spans="4:40" x14ac:dyDescent="0.2">
      <c r="D118" s="256"/>
      <c r="E118" s="256"/>
      <c r="F118" s="256"/>
      <c r="G118" s="256"/>
      <c r="H118" s="256"/>
      <c r="I118" s="256"/>
      <c r="J118" s="256"/>
      <c r="K118" s="256"/>
      <c r="L118" s="256"/>
      <c r="M118" s="256"/>
      <c r="N118" s="256"/>
      <c r="O118" s="256"/>
      <c r="P118" s="256"/>
      <c r="Q118" s="256"/>
      <c r="R118" s="256"/>
      <c r="S118" s="256"/>
      <c r="T118" s="256"/>
      <c r="U118" s="256"/>
      <c r="V118" s="256"/>
      <c r="W118" s="256"/>
      <c r="X118" s="256"/>
      <c r="Y118" s="256"/>
      <c r="Z118" s="256"/>
      <c r="AA118" s="256"/>
      <c r="AB118" s="256"/>
      <c r="AC118" s="256"/>
      <c r="AD118" s="256"/>
      <c r="AE118" s="256"/>
      <c r="AF118" s="256"/>
      <c r="AG118" s="256"/>
      <c r="AH118" s="256"/>
      <c r="AI118" s="256"/>
      <c r="AJ118" s="256"/>
      <c r="AK118" s="256"/>
      <c r="AL118" s="256"/>
      <c r="AM118" s="256"/>
      <c r="AN118" s="256"/>
    </row>
    <row r="119" spans="4:40" x14ac:dyDescent="0.2">
      <c r="D119" s="256"/>
      <c r="E119" s="256"/>
      <c r="F119" s="256"/>
      <c r="G119" s="256"/>
      <c r="H119" s="256"/>
      <c r="I119" s="256"/>
      <c r="J119" s="256"/>
      <c r="K119" s="256"/>
      <c r="L119" s="256"/>
      <c r="M119" s="256"/>
      <c r="N119" s="256"/>
      <c r="O119" s="256"/>
      <c r="P119" s="256"/>
      <c r="Q119" s="256"/>
      <c r="R119" s="256"/>
      <c r="S119" s="256"/>
      <c r="T119" s="256"/>
      <c r="U119" s="256"/>
      <c r="V119" s="256"/>
      <c r="W119" s="256"/>
      <c r="X119" s="256"/>
      <c r="Y119" s="256"/>
      <c r="Z119" s="256"/>
      <c r="AA119" s="256"/>
      <c r="AB119" s="256"/>
      <c r="AC119" s="256"/>
      <c r="AD119" s="256"/>
      <c r="AE119" s="256"/>
      <c r="AF119" s="256"/>
      <c r="AG119" s="256"/>
      <c r="AH119" s="256"/>
      <c r="AI119" s="256"/>
      <c r="AJ119" s="256"/>
      <c r="AK119" s="256"/>
      <c r="AL119" s="256"/>
      <c r="AM119" s="256"/>
      <c r="AN119" s="256"/>
    </row>
    <row r="120" spans="4:40" x14ac:dyDescent="0.2">
      <c r="D120" s="256"/>
      <c r="E120" s="256"/>
      <c r="F120" s="256"/>
      <c r="G120" s="256"/>
      <c r="H120" s="256"/>
      <c r="I120" s="256"/>
      <c r="J120" s="256"/>
      <c r="K120" s="256"/>
      <c r="L120" s="256"/>
      <c r="M120" s="256"/>
      <c r="N120" s="256"/>
      <c r="O120" s="256"/>
      <c r="P120" s="256"/>
      <c r="Q120" s="256"/>
      <c r="R120" s="256"/>
      <c r="S120" s="256"/>
      <c r="T120" s="256"/>
      <c r="U120" s="256"/>
      <c r="V120" s="256"/>
      <c r="W120" s="256"/>
      <c r="X120" s="256"/>
      <c r="Y120" s="256"/>
      <c r="Z120" s="256"/>
      <c r="AA120" s="256"/>
      <c r="AB120" s="256"/>
      <c r="AC120" s="256"/>
      <c r="AD120" s="256"/>
      <c r="AE120" s="256"/>
      <c r="AF120" s="256"/>
      <c r="AG120" s="256"/>
      <c r="AH120" s="256"/>
      <c r="AI120" s="256"/>
      <c r="AJ120" s="256"/>
      <c r="AK120" s="256"/>
      <c r="AL120" s="256"/>
      <c r="AM120" s="256"/>
      <c r="AN120" s="256"/>
    </row>
    <row r="121" spans="4:40" x14ac:dyDescent="0.2">
      <c r="D121" s="256"/>
      <c r="E121" s="256"/>
      <c r="F121" s="256"/>
      <c r="G121" s="256"/>
      <c r="H121" s="256"/>
      <c r="I121" s="256"/>
      <c r="J121" s="256"/>
      <c r="K121" s="256"/>
      <c r="L121" s="256"/>
      <c r="M121" s="256"/>
      <c r="N121" s="256"/>
      <c r="O121" s="256"/>
      <c r="P121" s="256"/>
      <c r="Q121" s="256"/>
      <c r="R121" s="256"/>
      <c r="S121" s="256"/>
      <c r="T121" s="256"/>
      <c r="U121" s="256"/>
      <c r="V121" s="256"/>
      <c r="W121" s="256"/>
      <c r="X121" s="256"/>
      <c r="Y121" s="256"/>
      <c r="Z121" s="256"/>
      <c r="AA121" s="256"/>
      <c r="AB121" s="256"/>
      <c r="AC121" s="256"/>
      <c r="AD121" s="256"/>
      <c r="AE121" s="256"/>
      <c r="AF121" s="256"/>
      <c r="AG121" s="256"/>
      <c r="AH121" s="256"/>
      <c r="AI121" s="256"/>
      <c r="AJ121" s="256"/>
      <c r="AK121" s="256"/>
      <c r="AL121" s="256"/>
      <c r="AM121" s="256"/>
      <c r="AN121" s="256"/>
    </row>
    <row r="122" spans="4:40" x14ac:dyDescent="0.2">
      <c r="D122" s="256"/>
      <c r="E122" s="256"/>
      <c r="F122" s="256"/>
      <c r="G122" s="256"/>
      <c r="H122" s="256"/>
      <c r="I122" s="256"/>
      <c r="J122" s="256"/>
      <c r="K122" s="256"/>
      <c r="L122" s="256"/>
      <c r="M122" s="256"/>
      <c r="N122" s="256"/>
      <c r="O122" s="256"/>
      <c r="P122" s="256"/>
      <c r="Q122" s="256"/>
      <c r="R122" s="256"/>
      <c r="S122" s="256"/>
      <c r="T122" s="256"/>
      <c r="U122" s="256"/>
      <c r="V122" s="256"/>
      <c r="W122" s="256"/>
      <c r="X122" s="256"/>
      <c r="Y122" s="256"/>
      <c r="Z122" s="256"/>
      <c r="AA122" s="256"/>
      <c r="AB122" s="256"/>
      <c r="AC122" s="256"/>
      <c r="AD122" s="256"/>
      <c r="AE122" s="256"/>
      <c r="AF122" s="256"/>
      <c r="AG122" s="256"/>
      <c r="AH122" s="256"/>
      <c r="AI122" s="256"/>
      <c r="AJ122" s="256"/>
      <c r="AK122" s="256"/>
      <c r="AL122" s="256"/>
      <c r="AM122" s="256"/>
      <c r="AN122" s="256"/>
    </row>
    <row r="123" spans="4:40" x14ac:dyDescent="0.2">
      <c r="D123" s="256"/>
      <c r="E123" s="256"/>
      <c r="F123" s="256"/>
      <c r="G123" s="256"/>
      <c r="H123" s="256"/>
      <c r="I123" s="256"/>
      <c r="J123" s="256"/>
      <c r="K123" s="256"/>
      <c r="L123" s="256"/>
      <c r="M123" s="256"/>
      <c r="N123" s="256"/>
      <c r="O123" s="256"/>
      <c r="P123" s="256"/>
      <c r="Q123" s="256"/>
      <c r="R123" s="256"/>
      <c r="S123" s="256"/>
      <c r="T123" s="256"/>
      <c r="U123" s="256"/>
      <c r="V123" s="256"/>
      <c r="W123" s="256"/>
      <c r="X123" s="256"/>
      <c r="Y123" s="256"/>
      <c r="Z123" s="256"/>
      <c r="AA123" s="256"/>
      <c r="AB123" s="256"/>
      <c r="AC123" s="256"/>
      <c r="AD123" s="256"/>
      <c r="AE123" s="256"/>
      <c r="AF123" s="256"/>
      <c r="AG123" s="256"/>
      <c r="AH123" s="256"/>
      <c r="AI123" s="256"/>
      <c r="AJ123" s="256"/>
      <c r="AK123" s="256"/>
      <c r="AL123" s="256"/>
      <c r="AM123" s="256"/>
      <c r="AN123" s="256"/>
    </row>
    <row r="124" spans="4:40" x14ac:dyDescent="0.2">
      <c r="D124" s="256"/>
      <c r="E124" s="256"/>
      <c r="F124" s="256"/>
      <c r="G124" s="256"/>
      <c r="H124" s="256"/>
      <c r="I124" s="256"/>
      <c r="J124" s="256"/>
      <c r="K124" s="256"/>
      <c r="L124" s="256"/>
      <c r="M124" s="256"/>
      <c r="N124" s="256"/>
      <c r="O124" s="256"/>
      <c r="P124" s="256"/>
      <c r="Q124" s="256"/>
      <c r="R124" s="256"/>
      <c r="S124" s="256"/>
      <c r="T124" s="256"/>
      <c r="U124" s="256"/>
      <c r="V124" s="256"/>
      <c r="W124" s="256"/>
      <c r="X124" s="256"/>
      <c r="Y124" s="256"/>
      <c r="Z124" s="256"/>
      <c r="AA124" s="256"/>
      <c r="AB124" s="256"/>
      <c r="AC124" s="256"/>
      <c r="AD124" s="256"/>
      <c r="AE124" s="256"/>
      <c r="AF124" s="256"/>
      <c r="AG124" s="256"/>
      <c r="AH124" s="256"/>
      <c r="AI124" s="256"/>
      <c r="AJ124" s="256"/>
      <c r="AK124" s="256"/>
      <c r="AL124" s="256"/>
      <c r="AM124" s="256"/>
      <c r="AN124" s="256"/>
    </row>
    <row r="125" spans="4:40" x14ac:dyDescent="0.2">
      <c r="D125" s="256"/>
      <c r="E125" s="256"/>
      <c r="F125" s="256"/>
      <c r="G125" s="256"/>
      <c r="H125" s="256"/>
      <c r="I125" s="256"/>
      <c r="J125" s="256"/>
      <c r="K125" s="256"/>
      <c r="L125" s="256"/>
      <c r="M125" s="256"/>
      <c r="N125" s="256"/>
      <c r="O125" s="256"/>
      <c r="P125" s="256"/>
      <c r="Q125" s="256"/>
      <c r="R125" s="256"/>
      <c r="S125" s="256"/>
      <c r="T125" s="256"/>
      <c r="U125" s="256"/>
      <c r="V125" s="256"/>
      <c r="W125" s="256"/>
      <c r="X125" s="256"/>
      <c r="Y125" s="256"/>
      <c r="Z125" s="256"/>
      <c r="AA125" s="256"/>
      <c r="AB125" s="256"/>
      <c r="AC125" s="256"/>
      <c r="AD125" s="256"/>
      <c r="AE125" s="256"/>
      <c r="AF125" s="256"/>
      <c r="AG125" s="256"/>
      <c r="AH125" s="256"/>
      <c r="AI125" s="256"/>
      <c r="AJ125" s="256"/>
      <c r="AK125" s="256"/>
      <c r="AL125" s="256"/>
      <c r="AM125" s="256"/>
      <c r="AN125" s="256"/>
    </row>
    <row r="126" spans="4:40" x14ac:dyDescent="0.2">
      <c r="D126" s="256"/>
      <c r="E126" s="256"/>
      <c r="F126" s="256"/>
      <c r="G126" s="256"/>
      <c r="H126" s="256"/>
      <c r="I126" s="256"/>
      <c r="J126" s="256"/>
      <c r="K126" s="256"/>
      <c r="L126" s="256"/>
      <c r="M126" s="256"/>
      <c r="N126" s="256"/>
      <c r="O126" s="256"/>
      <c r="P126" s="256"/>
      <c r="Q126" s="256"/>
      <c r="R126" s="256"/>
      <c r="S126" s="256"/>
      <c r="T126" s="256"/>
      <c r="U126" s="256"/>
      <c r="V126" s="256"/>
      <c r="W126" s="256"/>
      <c r="X126" s="256"/>
      <c r="Y126" s="256"/>
      <c r="Z126" s="256"/>
      <c r="AA126" s="256"/>
      <c r="AB126" s="256"/>
      <c r="AC126" s="256"/>
      <c r="AD126" s="256"/>
      <c r="AE126" s="256"/>
      <c r="AF126" s="256"/>
      <c r="AG126" s="256"/>
      <c r="AH126" s="256"/>
      <c r="AI126" s="256"/>
      <c r="AJ126" s="256"/>
      <c r="AK126" s="256"/>
      <c r="AL126" s="256"/>
      <c r="AM126" s="256"/>
      <c r="AN126" s="256"/>
    </row>
    <row r="127" spans="4:40" x14ac:dyDescent="0.2">
      <c r="D127" s="256"/>
      <c r="E127" s="256"/>
      <c r="F127" s="256"/>
      <c r="G127" s="256"/>
      <c r="H127" s="256"/>
      <c r="I127" s="256"/>
      <c r="J127" s="256"/>
      <c r="K127" s="256"/>
      <c r="L127" s="256"/>
      <c r="M127" s="256"/>
      <c r="N127" s="256"/>
      <c r="O127" s="256"/>
      <c r="P127" s="256"/>
      <c r="Q127" s="256"/>
      <c r="R127" s="256"/>
      <c r="S127" s="256"/>
      <c r="T127" s="256"/>
      <c r="U127" s="256"/>
      <c r="V127" s="256"/>
      <c r="W127" s="256"/>
      <c r="X127" s="256"/>
      <c r="Y127" s="256"/>
      <c r="Z127" s="256"/>
      <c r="AA127" s="256"/>
      <c r="AB127" s="256"/>
      <c r="AC127" s="256"/>
      <c r="AD127" s="256"/>
      <c r="AE127" s="256"/>
      <c r="AF127" s="256"/>
      <c r="AG127" s="256"/>
      <c r="AH127" s="256"/>
      <c r="AI127" s="256"/>
      <c r="AJ127" s="256"/>
      <c r="AK127" s="256"/>
      <c r="AL127" s="256"/>
      <c r="AM127" s="256"/>
      <c r="AN127" s="256"/>
    </row>
    <row r="128" spans="4:40" x14ac:dyDescent="0.2">
      <c r="D128" s="256"/>
      <c r="E128" s="256"/>
      <c r="F128" s="256"/>
      <c r="G128" s="256"/>
      <c r="H128" s="256"/>
      <c r="I128" s="256"/>
      <c r="J128" s="256"/>
      <c r="K128" s="256"/>
      <c r="L128" s="256"/>
      <c r="M128" s="256"/>
      <c r="N128" s="256"/>
      <c r="O128" s="256"/>
      <c r="P128" s="256"/>
      <c r="Q128" s="256"/>
      <c r="R128" s="256"/>
      <c r="S128" s="256"/>
      <c r="T128" s="256"/>
      <c r="U128" s="256"/>
      <c r="V128" s="256"/>
      <c r="W128" s="256"/>
      <c r="X128" s="256"/>
      <c r="Y128" s="256"/>
      <c r="Z128" s="256"/>
      <c r="AA128" s="256"/>
      <c r="AB128" s="256"/>
      <c r="AC128" s="256"/>
      <c r="AD128" s="256"/>
      <c r="AE128" s="256"/>
      <c r="AF128" s="256"/>
      <c r="AG128" s="256"/>
      <c r="AH128" s="256"/>
      <c r="AI128" s="256"/>
      <c r="AJ128" s="256"/>
      <c r="AK128" s="256"/>
      <c r="AL128" s="256"/>
      <c r="AM128" s="256"/>
      <c r="AN128" s="256"/>
    </row>
    <row r="129" spans="4:40" x14ac:dyDescent="0.2">
      <c r="D129" s="256"/>
      <c r="E129" s="256"/>
      <c r="F129" s="256"/>
      <c r="G129" s="256"/>
      <c r="H129" s="256"/>
      <c r="I129" s="256"/>
      <c r="J129" s="256"/>
      <c r="K129" s="256"/>
      <c r="L129" s="256"/>
      <c r="M129" s="256"/>
      <c r="N129" s="256"/>
      <c r="O129" s="256"/>
      <c r="P129" s="256"/>
      <c r="Q129" s="256"/>
      <c r="R129" s="256"/>
      <c r="S129" s="256"/>
      <c r="T129" s="256"/>
      <c r="U129" s="256"/>
      <c r="V129" s="256"/>
      <c r="W129" s="256"/>
      <c r="X129" s="256"/>
      <c r="Y129" s="256"/>
      <c r="Z129" s="256"/>
      <c r="AA129" s="256"/>
      <c r="AB129" s="256"/>
      <c r="AC129" s="256"/>
      <c r="AD129" s="256"/>
      <c r="AE129" s="256"/>
      <c r="AF129" s="256"/>
      <c r="AG129" s="256"/>
      <c r="AH129" s="256"/>
      <c r="AI129" s="256"/>
      <c r="AJ129" s="256"/>
      <c r="AK129" s="256"/>
      <c r="AL129" s="256"/>
      <c r="AM129" s="256"/>
      <c r="AN129" s="256"/>
    </row>
    <row r="130" spans="4:40" x14ac:dyDescent="0.2">
      <c r="D130" s="256"/>
      <c r="E130" s="256"/>
      <c r="F130" s="256"/>
      <c r="G130" s="256"/>
      <c r="H130" s="256"/>
      <c r="I130" s="256"/>
      <c r="J130" s="256"/>
      <c r="K130" s="256"/>
      <c r="L130" s="256"/>
      <c r="M130" s="256"/>
      <c r="N130" s="256"/>
      <c r="O130" s="256"/>
      <c r="P130" s="256"/>
      <c r="Q130" s="256"/>
      <c r="R130" s="256"/>
      <c r="S130" s="256"/>
      <c r="T130" s="256"/>
      <c r="U130" s="256"/>
      <c r="V130" s="256"/>
      <c r="W130" s="256"/>
      <c r="X130" s="256"/>
      <c r="Y130" s="256"/>
      <c r="Z130" s="256"/>
      <c r="AA130" s="256"/>
      <c r="AB130" s="256"/>
      <c r="AC130" s="256"/>
      <c r="AD130" s="256"/>
      <c r="AE130" s="256"/>
      <c r="AF130" s="256"/>
      <c r="AG130" s="256"/>
      <c r="AH130" s="256"/>
      <c r="AI130" s="256"/>
      <c r="AJ130" s="256"/>
      <c r="AK130" s="256"/>
      <c r="AL130" s="256"/>
      <c r="AM130" s="256"/>
      <c r="AN130" s="256"/>
    </row>
    <row r="131" spans="4:40" x14ac:dyDescent="0.2">
      <c r="D131" s="256"/>
      <c r="E131" s="256"/>
      <c r="F131" s="256"/>
      <c r="G131" s="256"/>
      <c r="H131" s="256"/>
      <c r="I131" s="256"/>
      <c r="J131" s="256"/>
      <c r="K131" s="256"/>
      <c r="L131" s="256"/>
      <c r="M131" s="256"/>
      <c r="N131" s="256"/>
      <c r="O131" s="256"/>
      <c r="P131" s="256"/>
      <c r="Q131" s="256"/>
      <c r="R131" s="256"/>
      <c r="S131" s="256"/>
      <c r="T131" s="256"/>
      <c r="U131" s="256"/>
      <c r="V131" s="256"/>
      <c r="W131" s="256"/>
      <c r="X131" s="256"/>
      <c r="Y131" s="256"/>
      <c r="Z131" s="256"/>
      <c r="AA131" s="256"/>
      <c r="AB131" s="256"/>
      <c r="AC131" s="256"/>
      <c r="AD131" s="256"/>
      <c r="AE131" s="256"/>
      <c r="AF131" s="256"/>
      <c r="AG131" s="256"/>
      <c r="AH131" s="256"/>
      <c r="AI131" s="256"/>
      <c r="AJ131" s="256"/>
      <c r="AK131" s="256"/>
      <c r="AL131" s="256"/>
      <c r="AM131" s="256"/>
      <c r="AN131" s="256"/>
    </row>
    <row r="132" spans="4:40" x14ac:dyDescent="0.2">
      <c r="D132" s="256"/>
      <c r="E132" s="256"/>
      <c r="F132" s="256"/>
      <c r="G132" s="256"/>
      <c r="H132" s="256"/>
      <c r="I132" s="256"/>
      <c r="J132" s="256"/>
      <c r="K132" s="256"/>
      <c r="L132" s="256"/>
      <c r="M132" s="256"/>
      <c r="N132" s="256"/>
      <c r="O132" s="256"/>
      <c r="P132" s="256"/>
      <c r="Q132" s="256"/>
      <c r="R132" s="256"/>
      <c r="S132" s="256"/>
      <c r="T132" s="256"/>
      <c r="U132" s="256"/>
      <c r="V132" s="256"/>
      <c r="W132" s="256"/>
      <c r="X132" s="256"/>
      <c r="Y132" s="256"/>
      <c r="Z132" s="256"/>
      <c r="AA132" s="256"/>
      <c r="AB132" s="256"/>
      <c r="AC132" s="256"/>
      <c r="AD132" s="256"/>
      <c r="AE132" s="256"/>
      <c r="AF132" s="256"/>
      <c r="AG132" s="256"/>
      <c r="AH132" s="256"/>
      <c r="AI132" s="256"/>
      <c r="AJ132" s="256"/>
      <c r="AK132" s="256"/>
      <c r="AL132" s="256"/>
      <c r="AM132" s="256"/>
      <c r="AN132" s="256"/>
    </row>
    <row r="133" spans="4:40" x14ac:dyDescent="0.2">
      <c r="D133" s="256"/>
      <c r="E133" s="256"/>
      <c r="F133" s="256"/>
      <c r="G133" s="256"/>
      <c r="H133" s="256"/>
      <c r="I133" s="256"/>
      <c r="J133" s="256"/>
      <c r="K133" s="256"/>
      <c r="L133" s="256"/>
      <c r="M133" s="256"/>
      <c r="N133" s="256"/>
      <c r="O133" s="256"/>
      <c r="P133" s="256"/>
      <c r="Q133" s="256"/>
      <c r="R133" s="256"/>
      <c r="S133" s="256"/>
      <c r="T133" s="256"/>
      <c r="U133" s="256"/>
      <c r="V133" s="256"/>
      <c r="W133" s="256"/>
      <c r="X133" s="256"/>
      <c r="Y133" s="256"/>
      <c r="Z133" s="256"/>
      <c r="AA133" s="256"/>
      <c r="AB133" s="256"/>
      <c r="AC133" s="256"/>
      <c r="AD133" s="256"/>
      <c r="AE133" s="256"/>
      <c r="AF133" s="256"/>
      <c r="AG133" s="256"/>
      <c r="AH133" s="256"/>
      <c r="AI133" s="256"/>
      <c r="AJ133" s="256"/>
      <c r="AK133" s="256"/>
      <c r="AL133" s="256"/>
      <c r="AM133" s="256"/>
      <c r="AN133" s="256"/>
    </row>
    <row r="134" spans="4:40" x14ac:dyDescent="0.2">
      <c r="D134" s="256"/>
      <c r="E134" s="256"/>
      <c r="F134" s="256"/>
      <c r="G134" s="256"/>
      <c r="H134" s="256"/>
      <c r="I134" s="256"/>
      <c r="J134" s="256"/>
      <c r="K134" s="256"/>
      <c r="L134" s="256"/>
      <c r="M134" s="256"/>
      <c r="N134" s="256"/>
      <c r="O134" s="256"/>
      <c r="P134" s="256"/>
      <c r="Q134" s="256"/>
      <c r="R134" s="256"/>
      <c r="S134" s="256"/>
      <c r="T134" s="256"/>
      <c r="U134" s="256"/>
      <c r="V134" s="256"/>
      <c r="W134" s="256"/>
      <c r="X134" s="256"/>
      <c r="Y134" s="256"/>
      <c r="Z134" s="256"/>
      <c r="AA134" s="256"/>
      <c r="AB134" s="256"/>
      <c r="AC134" s="256"/>
      <c r="AD134" s="256"/>
      <c r="AE134" s="256"/>
      <c r="AF134" s="256"/>
      <c r="AG134" s="256"/>
      <c r="AH134" s="256"/>
      <c r="AI134" s="256"/>
      <c r="AJ134" s="256"/>
      <c r="AK134" s="256"/>
      <c r="AL134" s="256"/>
      <c r="AM134" s="256"/>
      <c r="AN134" s="256"/>
    </row>
    <row r="135" spans="4:40" x14ac:dyDescent="0.2">
      <c r="D135" s="256"/>
      <c r="E135" s="256"/>
      <c r="F135" s="256"/>
      <c r="G135" s="256"/>
      <c r="H135" s="256"/>
      <c r="I135" s="256"/>
      <c r="J135" s="256"/>
      <c r="K135" s="256"/>
      <c r="L135" s="256"/>
      <c r="M135" s="256"/>
      <c r="N135" s="256"/>
      <c r="O135" s="256"/>
      <c r="P135" s="256"/>
      <c r="Q135" s="256"/>
      <c r="R135" s="256"/>
      <c r="S135" s="256"/>
      <c r="T135" s="256"/>
      <c r="U135" s="256"/>
      <c r="V135" s="256"/>
      <c r="W135" s="256"/>
      <c r="X135" s="256"/>
      <c r="Y135" s="256"/>
      <c r="Z135" s="256"/>
      <c r="AA135" s="256"/>
      <c r="AB135" s="256"/>
      <c r="AC135" s="256"/>
      <c r="AD135" s="256"/>
      <c r="AE135" s="256"/>
      <c r="AF135" s="256"/>
      <c r="AG135" s="256"/>
      <c r="AH135" s="256"/>
      <c r="AI135" s="256"/>
      <c r="AJ135" s="256"/>
      <c r="AK135" s="256"/>
      <c r="AL135" s="256"/>
      <c r="AM135" s="256"/>
      <c r="AN135" s="256"/>
    </row>
    <row r="136" spans="4:40" x14ac:dyDescent="0.2">
      <c r="D136" s="256"/>
      <c r="E136" s="256"/>
      <c r="F136" s="256"/>
      <c r="G136" s="256"/>
      <c r="H136" s="256"/>
      <c r="I136" s="256"/>
      <c r="J136" s="256"/>
      <c r="K136" s="256"/>
      <c r="L136" s="256"/>
      <c r="M136" s="256"/>
      <c r="N136" s="256"/>
      <c r="O136" s="256"/>
      <c r="P136" s="256"/>
      <c r="Q136" s="256"/>
      <c r="R136" s="256"/>
      <c r="S136" s="256"/>
      <c r="T136" s="256"/>
      <c r="U136" s="256"/>
      <c r="V136" s="256"/>
      <c r="W136" s="256"/>
      <c r="X136" s="256"/>
      <c r="Y136" s="256"/>
      <c r="Z136" s="256"/>
      <c r="AA136" s="256"/>
      <c r="AB136" s="256"/>
      <c r="AC136" s="256"/>
      <c r="AD136" s="256"/>
      <c r="AE136" s="256"/>
      <c r="AF136" s="256"/>
      <c r="AG136" s="256"/>
      <c r="AH136" s="256"/>
      <c r="AI136" s="256"/>
      <c r="AJ136" s="256"/>
      <c r="AK136" s="256"/>
      <c r="AL136" s="256"/>
      <c r="AM136" s="256"/>
      <c r="AN136" s="256"/>
    </row>
    <row r="137" spans="4:40" x14ac:dyDescent="0.2">
      <c r="D137" s="256"/>
      <c r="E137" s="256"/>
      <c r="F137" s="256"/>
      <c r="G137" s="256"/>
      <c r="H137" s="256"/>
      <c r="I137" s="256"/>
      <c r="J137" s="256"/>
      <c r="K137" s="256"/>
      <c r="L137" s="256"/>
      <c r="M137" s="256"/>
      <c r="N137" s="256"/>
      <c r="O137" s="256"/>
      <c r="P137" s="256"/>
      <c r="Q137" s="256"/>
      <c r="R137" s="256"/>
      <c r="S137" s="256"/>
      <c r="T137" s="256"/>
      <c r="U137" s="256"/>
      <c r="V137" s="256"/>
      <c r="W137" s="256"/>
      <c r="X137" s="256"/>
      <c r="Y137" s="256"/>
      <c r="Z137" s="256"/>
      <c r="AA137" s="256"/>
      <c r="AB137" s="256"/>
      <c r="AC137" s="256"/>
      <c r="AD137" s="256"/>
      <c r="AE137" s="256"/>
      <c r="AF137" s="256"/>
      <c r="AG137" s="256"/>
      <c r="AH137" s="256"/>
      <c r="AI137" s="256"/>
      <c r="AJ137" s="256"/>
      <c r="AK137" s="256"/>
      <c r="AL137" s="256"/>
      <c r="AM137" s="256"/>
      <c r="AN137" s="256"/>
    </row>
    <row r="138" spans="4:40" x14ac:dyDescent="0.2">
      <c r="D138" s="256"/>
      <c r="E138" s="256"/>
      <c r="F138" s="256"/>
      <c r="G138" s="256"/>
      <c r="H138" s="256"/>
      <c r="I138" s="256"/>
      <c r="J138" s="256"/>
      <c r="K138" s="256"/>
      <c r="L138" s="256"/>
      <c r="M138" s="256"/>
      <c r="N138" s="256"/>
      <c r="O138" s="256"/>
      <c r="P138" s="256"/>
      <c r="Q138" s="256"/>
      <c r="R138" s="256"/>
      <c r="S138" s="256"/>
      <c r="T138" s="256"/>
      <c r="U138" s="256"/>
      <c r="V138" s="256"/>
      <c r="W138" s="256"/>
      <c r="X138" s="256"/>
      <c r="Y138" s="256"/>
      <c r="Z138" s="256"/>
      <c r="AA138" s="256"/>
      <c r="AB138" s="256"/>
      <c r="AC138" s="256"/>
      <c r="AD138" s="256"/>
      <c r="AE138" s="256"/>
      <c r="AF138" s="256"/>
      <c r="AG138" s="256"/>
      <c r="AH138" s="256"/>
      <c r="AI138" s="256"/>
      <c r="AJ138" s="256"/>
      <c r="AK138" s="256"/>
      <c r="AL138" s="256"/>
      <c r="AM138" s="256"/>
      <c r="AN138" s="256"/>
    </row>
    <row r="139" spans="4:40" x14ac:dyDescent="0.2">
      <c r="D139" s="256"/>
      <c r="E139" s="256"/>
      <c r="F139" s="256"/>
      <c r="G139" s="256"/>
      <c r="H139" s="256"/>
      <c r="I139" s="256"/>
      <c r="J139" s="256"/>
      <c r="K139" s="256"/>
      <c r="L139" s="256"/>
      <c r="M139" s="256"/>
      <c r="N139" s="256"/>
      <c r="O139" s="256"/>
      <c r="P139" s="256"/>
      <c r="Q139" s="256"/>
      <c r="R139" s="256"/>
      <c r="S139" s="256"/>
      <c r="T139" s="256"/>
      <c r="U139" s="256"/>
      <c r="V139" s="256"/>
      <c r="W139" s="256"/>
      <c r="X139" s="256"/>
      <c r="Y139" s="256"/>
      <c r="Z139" s="256"/>
      <c r="AA139" s="256"/>
      <c r="AB139" s="256"/>
      <c r="AC139" s="256"/>
      <c r="AD139" s="256"/>
      <c r="AE139" s="256"/>
      <c r="AF139" s="256"/>
      <c r="AG139" s="256"/>
      <c r="AH139" s="256"/>
      <c r="AI139" s="256"/>
      <c r="AJ139" s="256"/>
      <c r="AK139" s="256"/>
      <c r="AL139" s="256"/>
      <c r="AM139" s="256"/>
      <c r="AN139" s="256"/>
    </row>
    <row r="140" spans="4:40" x14ac:dyDescent="0.2">
      <c r="D140" s="256"/>
      <c r="E140" s="256"/>
      <c r="F140" s="256"/>
      <c r="G140" s="256"/>
      <c r="H140" s="256"/>
      <c r="I140" s="256"/>
      <c r="J140" s="256"/>
      <c r="K140" s="256"/>
      <c r="L140" s="256"/>
      <c r="M140" s="256"/>
      <c r="N140" s="256"/>
      <c r="O140" s="256"/>
      <c r="P140" s="256"/>
      <c r="Q140" s="256"/>
      <c r="R140" s="256"/>
      <c r="S140" s="256"/>
      <c r="T140" s="256"/>
      <c r="U140" s="256"/>
      <c r="V140" s="256"/>
      <c r="W140" s="256"/>
      <c r="X140" s="256"/>
      <c r="Y140" s="256"/>
      <c r="Z140" s="256"/>
      <c r="AA140" s="256"/>
      <c r="AB140" s="256"/>
      <c r="AC140" s="256"/>
      <c r="AD140" s="256"/>
      <c r="AE140" s="256"/>
      <c r="AF140" s="256"/>
      <c r="AG140" s="256"/>
      <c r="AH140" s="256"/>
      <c r="AI140" s="256"/>
      <c r="AJ140" s="256"/>
      <c r="AK140" s="256"/>
      <c r="AL140" s="256"/>
      <c r="AM140" s="256"/>
      <c r="AN140" s="256"/>
    </row>
    <row r="141" spans="4:40" x14ac:dyDescent="0.2">
      <c r="D141" s="256"/>
      <c r="E141" s="256"/>
      <c r="F141" s="256"/>
      <c r="G141" s="256"/>
      <c r="H141" s="256"/>
      <c r="I141" s="256"/>
      <c r="J141" s="256"/>
      <c r="K141" s="256"/>
      <c r="L141" s="256"/>
      <c r="M141" s="256"/>
      <c r="N141" s="256"/>
      <c r="O141" s="256"/>
      <c r="P141" s="256"/>
      <c r="Q141" s="256"/>
      <c r="R141" s="256"/>
      <c r="S141" s="256"/>
      <c r="T141" s="256"/>
      <c r="U141" s="256"/>
      <c r="V141" s="256"/>
      <c r="W141" s="256"/>
      <c r="X141" s="256"/>
      <c r="Y141" s="256"/>
      <c r="Z141" s="256"/>
      <c r="AA141" s="256"/>
      <c r="AB141" s="256"/>
      <c r="AC141" s="256"/>
      <c r="AD141" s="256"/>
      <c r="AE141" s="256"/>
      <c r="AF141" s="256"/>
      <c r="AG141" s="256"/>
      <c r="AH141" s="256"/>
      <c r="AI141" s="256"/>
      <c r="AJ141" s="256"/>
      <c r="AK141" s="256"/>
      <c r="AL141" s="256"/>
      <c r="AM141" s="256"/>
      <c r="AN141" s="256"/>
    </row>
    <row r="142" spans="4:40" x14ac:dyDescent="0.2">
      <c r="D142" s="256"/>
      <c r="E142" s="256"/>
      <c r="F142" s="256"/>
      <c r="G142" s="256"/>
      <c r="H142" s="256"/>
      <c r="I142" s="256"/>
      <c r="J142" s="256"/>
      <c r="K142" s="256"/>
      <c r="L142" s="256"/>
      <c r="M142" s="256"/>
      <c r="N142" s="256"/>
      <c r="O142" s="256"/>
      <c r="P142" s="256"/>
      <c r="Q142" s="256"/>
      <c r="R142" s="256"/>
      <c r="S142" s="256"/>
      <c r="T142" s="256"/>
      <c r="U142" s="256"/>
      <c r="V142" s="256"/>
      <c r="W142" s="256"/>
      <c r="X142" s="256"/>
      <c r="Y142" s="256"/>
      <c r="Z142" s="256"/>
      <c r="AA142" s="256"/>
      <c r="AB142" s="256"/>
      <c r="AC142" s="256"/>
      <c r="AD142" s="256"/>
      <c r="AE142" s="256"/>
      <c r="AF142" s="256"/>
      <c r="AG142" s="256"/>
      <c r="AH142" s="256"/>
      <c r="AI142" s="256"/>
      <c r="AJ142" s="256"/>
      <c r="AK142" s="256"/>
      <c r="AL142" s="256"/>
      <c r="AM142" s="256"/>
      <c r="AN142" s="256"/>
    </row>
    <row r="143" spans="4:40" x14ac:dyDescent="0.2">
      <c r="D143" s="256"/>
      <c r="E143" s="256"/>
      <c r="F143" s="256"/>
      <c r="G143" s="256"/>
      <c r="H143" s="256"/>
      <c r="I143" s="256"/>
      <c r="J143" s="256"/>
      <c r="K143" s="256"/>
      <c r="L143" s="256"/>
      <c r="M143" s="256"/>
      <c r="N143" s="256"/>
      <c r="O143" s="256"/>
      <c r="P143" s="256"/>
      <c r="Q143" s="256"/>
      <c r="R143" s="256"/>
      <c r="S143" s="256"/>
      <c r="T143" s="256"/>
      <c r="U143" s="256"/>
      <c r="V143" s="256"/>
      <c r="W143" s="256"/>
      <c r="X143" s="256"/>
      <c r="Y143" s="256"/>
      <c r="Z143" s="256"/>
      <c r="AA143" s="256"/>
      <c r="AB143" s="256"/>
      <c r="AC143" s="256"/>
      <c r="AD143" s="256"/>
      <c r="AE143" s="256"/>
      <c r="AF143" s="256"/>
      <c r="AG143" s="256"/>
      <c r="AH143" s="256"/>
      <c r="AI143" s="256"/>
      <c r="AJ143" s="256"/>
      <c r="AK143" s="256"/>
      <c r="AL143" s="256"/>
      <c r="AM143" s="256"/>
      <c r="AN143" s="256"/>
    </row>
    <row r="144" spans="4:40" x14ac:dyDescent="0.2">
      <c r="D144" s="256"/>
      <c r="E144" s="256"/>
      <c r="F144" s="256"/>
      <c r="G144" s="256"/>
      <c r="H144" s="256"/>
      <c r="I144" s="256"/>
      <c r="J144" s="256"/>
      <c r="K144" s="256"/>
      <c r="L144" s="256"/>
      <c r="M144" s="256"/>
      <c r="N144" s="256"/>
      <c r="O144" s="256"/>
      <c r="P144" s="256"/>
      <c r="Q144" s="256"/>
      <c r="R144" s="256"/>
      <c r="S144" s="256"/>
      <c r="T144" s="256"/>
      <c r="U144" s="256"/>
      <c r="V144" s="256"/>
      <c r="W144" s="256"/>
      <c r="X144" s="256"/>
      <c r="Y144" s="256"/>
      <c r="Z144" s="256"/>
      <c r="AA144" s="256"/>
      <c r="AB144" s="256"/>
      <c r="AC144" s="256"/>
      <c r="AD144" s="256"/>
      <c r="AE144" s="256"/>
      <c r="AF144" s="256"/>
      <c r="AG144" s="256"/>
      <c r="AH144" s="256"/>
      <c r="AI144" s="256"/>
      <c r="AJ144" s="256"/>
      <c r="AK144" s="256"/>
      <c r="AL144" s="256"/>
      <c r="AM144" s="256"/>
      <c r="AN144" s="256"/>
    </row>
    <row r="145" spans="4:40" x14ac:dyDescent="0.2">
      <c r="D145" s="256"/>
      <c r="E145" s="256"/>
      <c r="F145" s="256"/>
      <c r="G145" s="256"/>
      <c r="H145" s="256"/>
      <c r="I145" s="256"/>
      <c r="J145" s="256"/>
      <c r="K145" s="256"/>
      <c r="L145" s="256"/>
      <c r="M145" s="256"/>
      <c r="N145" s="256"/>
      <c r="O145" s="256"/>
      <c r="P145" s="256"/>
      <c r="Q145" s="256"/>
      <c r="R145" s="256"/>
      <c r="S145" s="256"/>
      <c r="T145" s="256"/>
      <c r="U145" s="256"/>
      <c r="V145" s="256"/>
      <c r="W145" s="256"/>
      <c r="X145" s="256"/>
      <c r="Y145" s="256"/>
      <c r="Z145" s="256"/>
      <c r="AA145" s="256"/>
      <c r="AB145" s="256"/>
      <c r="AC145" s="256"/>
      <c r="AD145" s="256"/>
      <c r="AE145" s="256"/>
      <c r="AF145" s="256"/>
      <c r="AG145" s="256"/>
      <c r="AH145" s="256"/>
      <c r="AI145" s="256"/>
      <c r="AJ145" s="256"/>
      <c r="AK145" s="256"/>
      <c r="AL145" s="256"/>
      <c r="AM145" s="256"/>
      <c r="AN145" s="256"/>
    </row>
    <row r="146" spans="4:40" x14ac:dyDescent="0.2">
      <c r="D146" s="256"/>
      <c r="E146" s="256"/>
      <c r="F146" s="256"/>
      <c r="G146" s="256"/>
      <c r="H146" s="256"/>
      <c r="I146" s="256"/>
      <c r="J146" s="256"/>
      <c r="K146" s="256"/>
      <c r="L146" s="256"/>
      <c r="M146" s="256"/>
      <c r="N146" s="256"/>
      <c r="O146" s="256"/>
      <c r="P146" s="256"/>
      <c r="Q146" s="256"/>
      <c r="R146" s="256"/>
      <c r="S146" s="256"/>
      <c r="T146" s="256"/>
      <c r="U146" s="256"/>
      <c r="V146" s="256"/>
      <c r="W146" s="256"/>
      <c r="X146" s="256"/>
      <c r="Y146" s="256"/>
      <c r="Z146" s="256"/>
      <c r="AA146" s="256"/>
      <c r="AB146" s="256"/>
      <c r="AC146" s="256"/>
      <c r="AD146" s="256"/>
      <c r="AE146" s="256"/>
      <c r="AF146" s="256"/>
      <c r="AG146" s="256"/>
      <c r="AH146" s="256"/>
      <c r="AI146" s="256"/>
      <c r="AJ146" s="256"/>
      <c r="AK146" s="256"/>
      <c r="AL146" s="256"/>
      <c r="AM146" s="256"/>
      <c r="AN146" s="256"/>
    </row>
    <row r="147" spans="4:40" x14ac:dyDescent="0.2">
      <c r="D147" s="256"/>
      <c r="E147" s="256"/>
      <c r="F147" s="256"/>
      <c r="G147" s="256"/>
      <c r="H147" s="256"/>
      <c r="I147" s="256"/>
      <c r="J147" s="256"/>
      <c r="K147" s="256"/>
      <c r="L147" s="256"/>
      <c r="M147" s="256"/>
      <c r="N147" s="256"/>
      <c r="O147" s="256"/>
      <c r="P147" s="256"/>
      <c r="Q147" s="256"/>
      <c r="R147" s="256"/>
      <c r="S147" s="256"/>
      <c r="T147" s="256"/>
      <c r="U147" s="256"/>
      <c r="V147" s="256"/>
      <c r="W147" s="256"/>
      <c r="X147" s="256"/>
      <c r="Y147" s="256"/>
      <c r="Z147" s="256"/>
      <c r="AA147" s="256"/>
      <c r="AB147" s="256"/>
      <c r="AC147" s="256"/>
      <c r="AD147" s="256"/>
      <c r="AE147" s="256"/>
      <c r="AF147" s="256"/>
      <c r="AG147" s="256"/>
      <c r="AH147" s="256"/>
      <c r="AI147" s="256"/>
      <c r="AJ147" s="256"/>
      <c r="AK147" s="256"/>
      <c r="AL147" s="256"/>
      <c r="AM147" s="256"/>
      <c r="AN147" s="256"/>
    </row>
    <row r="148" spans="4:40" x14ac:dyDescent="0.2">
      <c r="D148" s="256"/>
      <c r="E148" s="256"/>
      <c r="F148" s="256"/>
      <c r="G148" s="256"/>
      <c r="H148" s="256"/>
      <c r="I148" s="256"/>
      <c r="J148" s="256"/>
      <c r="K148" s="256"/>
      <c r="L148" s="256"/>
      <c r="M148" s="256"/>
      <c r="N148" s="256"/>
      <c r="O148" s="256"/>
      <c r="P148" s="256"/>
      <c r="Q148" s="256"/>
      <c r="R148" s="256"/>
      <c r="S148" s="256"/>
      <c r="T148" s="256"/>
      <c r="U148" s="256"/>
      <c r="V148" s="256"/>
      <c r="W148" s="256"/>
      <c r="X148" s="256"/>
      <c r="Y148" s="256"/>
      <c r="Z148" s="256"/>
      <c r="AA148" s="256"/>
      <c r="AB148" s="256"/>
      <c r="AC148" s="256"/>
      <c r="AD148" s="256"/>
      <c r="AE148" s="256"/>
      <c r="AF148" s="256"/>
      <c r="AG148" s="256"/>
      <c r="AH148" s="256"/>
      <c r="AI148" s="256"/>
      <c r="AJ148" s="256"/>
      <c r="AK148" s="256"/>
      <c r="AL148" s="256"/>
      <c r="AM148" s="256"/>
      <c r="AN148" s="256"/>
    </row>
    <row r="149" spans="4:40" x14ac:dyDescent="0.2">
      <c r="D149" s="256"/>
      <c r="E149" s="256"/>
      <c r="F149" s="256"/>
      <c r="G149" s="256"/>
      <c r="H149" s="256"/>
      <c r="I149" s="256"/>
      <c r="J149" s="256"/>
      <c r="K149" s="256"/>
      <c r="L149" s="256"/>
      <c r="M149" s="256"/>
      <c r="N149" s="256"/>
      <c r="O149" s="256"/>
      <c r="P149" s="256"/>
      <c r="Q149" s="256"/>
      <c r="R149" s="256"/>
      <c r="S149" s="256"/>
      <c r="T149" s="256"/>
      <c r="U149" s="256"/>
      <c r="V149" s="256"/>
      <c r="W149" s="256"/>
      <c r="X149" s="256"/>
      <c r="Y149" s="256"/>
      <c r="Z149" s="256"/>
      <c r="AA149" s="256"/>
      <c r="AB149" s="256"/>
      <c r="AC149" s="256"/>
      <c r="AD149" s="256"/>
      <c r="AE149" s="256"/>
      <c r="AF149" s="256"/>
      <c r="AG149" s="256"/>
      <c r="AH149" s="256"/>
      <c r="AI149" s="256"/>
      <c r="AJ149" s="256"/>
      <c r="AK149" s="256"/>
      <c r="AL149" s="256"/>
      <c r="AM149" s="256"/>
      <c r="AN149" s="256"/>
    </row>
    <row r="150" spans="4:40" x14ac:dyDescent="0.2">
      <c r="D150" s="256"/>
      <c r="E150" s="256"/>
      <c r="F150" s="256"/>
      <c r="G150" s="256"/>
      <c r="H150" s="256"/>
      <c r="I150" s="256"/>
      <c r="J150" s="256"/>
      <c r="K150" s="256"/>
      <c r="L150" s="256"/>
      <c r="M150" s="256"/>
      <c r="N150" s="256"/>
      <c r="O150" s="256"/>
      <c r="P150" s="256"/>
      <c r="Q150" s="256"/>
      <c r="R150" s="256"/>
      <c r="S150" s="256"/>
      <c r="T150" s="256"/>
      <c r="U150" s="256"/>
      <c r="V150" s="256"/>
      <c r="W150" s="256"/>
      <c r="X150" s="256"/>
      <c r="Y150" s="256"/>
      <c r="Z150" s="256"/>
      <c r="AA150" s="256"/>
      <c r="AB150" s="256"/>
      <c r="AC150" s="256"/>
      <c r="AD150" s="256"/>
      <c r="AE150" s="256"/>
      <c r="AF150" s="256"/>
      <c r="AG150" s="256"/>
      <c r="AH150" s="256"/>
      <c r="AI150" s="256"/>
      <c r="AJ150" s="256"/>
      <c r="AK150" s="256"/>
      <c r="AL150" s="256"/>
      <c r="AM150" s="256"/>
      <c r="AN150" s="256"/>
    </row>
    <row r="151" spans="4:40" x14ac:dyDescent="0.2">
      <c r="D151" s="256"/>
      <c r="E151" s="256"/>
      <c r="F151" s="256"/>
      <c r="G151" s="256"/>
      <c r="H151" s="256"/>
      <c r="I151" s="256"/>
      <c r="J151" s="256"/>
      <c r="K151" s="256"/>
      <c r="L151" s="256"/>
      <c r="M151" s="256"/>
      <c r="N151" s="256"/>
      <c r="O151" s="256"/>
      <c r="P151" s="256"/>
      <c r="Q151" s="256"/>
      <c r="R151" s="256"/>
      <c r="S151" s="256"/>
      <c r="T151" s="256"/>
      <c r="U151" s="256"/>
      <c r="V151" s="256"/>
      <c r="W151" s="256"/>
      <c r="X151" s="256"/>
      <c r="Y151" s="256"/>
      <c r="Z151" s="256"/>
      <c r="AA151" s="256"/>
      <c r="AB151" s="256"/>
      <c r="AC151" s="256"/>
      <c r="AD151" s="256"/>
      <c r="AE151" s="256"/>
      <c r="AF151" s="256"/>
      <c r="AG151" s="256"/>
      <c r="AH151" s="256"/>
      <c r="AI151" s="256"/>
      <c r="AJ151" s="256"/>
      <c r="AK151" s="256"/>
      <c r="AL151" s="256"/>
      <c r="AM151" s="256"/>
      <c r="AN151" s="256"/>
    </row>
  </sheetData>
  <phoneticPr fontId="0" type="noConversion"/>
  <printOptions horizontalCentered="1" gridLinesSet="0"/>
  <pageMargins left="0.25" right="0.25" top="0.25" bottom="0.25" header="0.17" footer="0.23"/>
  <pageSetup paperSize="5" scale="61" orientation="landscape" horizontalDpi="4294967292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Line="0" autoPict="0" macro="[0]!CreateCashFlowDataSheetOnly">
                <anchor moveWithCells="1" sizeWithCells="1">
                  <from>
                    <xdr:col>1</xdr:col>
                    <xdr:colOff>466725</xdr:colOff>
                    <xdr:row>2</xdr:row>
                    <xdr:rowOff>95250</xdr:rowOff>
                  </from>
                  <to>
                    <xdr:col>1</xdr:col>
                    <xdr:colOff>1409700</xdr:colOff>
                    <xdr:row>5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2">
    <pageSetUpPr autoPageBreaks="0"/>
  </sheetPr>
  <dimension ref="A1:R45"/>
  <sheetViews>
    <sheetView showGridLines="0"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defaultRowHeight="12.75" x14ac:dyDescent="0.2"/>
  <cols>
    <col min="1" max="1" width="45.7109375" style="1" customWidth="1"/>
    <col min="2" max="2" width="7.7109375" style="1" customWidth="1"/>
    <col min="3" max="14" width="8.7109375" style="1" customWidth="1"/>
    <col min="15" max="17" width="9.7109375" style="1" customWidth="1"/>
    <col min="18" max="18" width="13.7109375" style="1" customWidth="1"/>
    <col min="19" max="16384" width="9.140625" style="1"/>
  </cols>
  <sheetData>
    <row r="1" spans="1:18" x14ac:dyDescent="0.2">
      <c r="A1" s="605" t="str">
        <f ca="1">CELL("FILENAME")</f>
        <v>C:\Users\Felienne\Enron\EnronSpreadsheets\[tracy_geaccone__40367__EMNNG02PL.xls]IncomeState</v>
      </c>
      <c r="B1" s="279"/>
      <c r="C1" s="279"/>
      <c r="D1" s="279"/>
      <c r="E1" s="280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</row>
    <row r="2" spans="1:18" x14ac:dyDescent="0.2">
      <c r="A2" s="281" t="s">
        <v>1172</v>
      </c>
      <c r="B2" s="279"/>
      <c r="C2" s="483"/>
      <c r="D2" s="282" t="s">
        <v>1173</v>
      </c>
      <c r="E2" s="553"/>
      <c r="F2" s="282" t="s">
        <v>1173</v>
      </c>
      <c r="G2" s="493"/>
      <c r="H2" s="282" t="s">
        <v>1173</v>
      </c>
      <c r="I2" s="280"/>
      <c r="J2" s="280"/>
      <c r="K2" s="280"/>
      <c r="L2" s="280"/>
      <c r="M2" s="280"/>
      <c r="N2" s="280"/>
      <c r="O2" s="283"/>
      <c r="P2" s="283"/>
      <c r="Q2" s="283"/>
    </row>
    <row r="3" spans="1:18" x14ac:dyDescent="0.2">
      <c r="A3" s="552" t="str">
        <f>IncomeState!A3</f>
        <v>2002 OPERATING PLAN</v>
      </c>
      <c r="B3" s="649">
        <f ca="1">NOW()</f>
        <v>41887.551126967592</v>
      </c>
      <c r="C3" s="553" t="str">
        <f>DataBase!C2</f>
        <v>PLAN</v>
      </c>
      <c r="D3" s="553" t="str">
        <f>DataBase!D2</f>
        <v>PLAN</v>
      </c>
      <c r="E3" s="553" t="str">
        <f>DataBase!E2</f>
        <v>PLAN</v>
      </c>
      <c r="F3" s="553" t="str">
        <f>DataBase!F2</f>
        <v>PLAN</v>
      </c>
      <c r="G3" s="553" t="str">
        <f>DataBase!G2</f>
        <v>PLAN</v>
      </c>
      <c r="H3" s="553" t="str">
        <f>DataBase!H2</f>
        <v>PLAN</v>
      </c>
      <c r="I3" s="553" t="str">
        <f>DataBase!I2</f>
        <v>PLAN</v>
      </c>
      <c r="J3" s="553" t="str">
        <f>DataBase!J2</f>
        <v>PLAN</v>
      </c>
      <c r="K3" s="553" t="str">
        <f>DataBase!K2</f>
        <v>PLAN</v>
      </c>
      <c r="L3" s="553" t="str">
        <f>DataBase!L2</f>
        <v>PLAN</v>
      </c>
      <c r="M3" s="553" t="str">
        <f>DataBase!M2</f>
        <v>PLAN</v>
      </c>
      <c r="N3" s="553" t="str">
        <f>DataBase!N2</f>
        <v>PLAN</v>
      </c>
      <c r="O3" s="553" t="str">
        <f>DataBase!O2</f>
        <v>TOTAL</v>
      </c>
      <c r="P3" s="553" t="str">
        <f>IncomeState!P6</f>
        <v>FEB.</v>
      </c>
      <c r="Q3" s="553" t="str">
        <f>IncomeState!Q6</f>
        <v>ESTIMATE</v>
      </c>
    </row>
    <row r="4" spans="1:18" x14ac:dyDescent="0.2">
      <c r="A4" s="284"/>
      <c r="B4" s="650">
        <f ca="1">NOW()</f>
        <v>41887.551126967592</v>
      </c>
      <c r="C4" s="296" t="s">
        <v>1174</v>
      </c>
      <c r="D4" s="296" t="s">
        <v>1175</v>
      </c>
      <c r="E4" s="296" t="s">
        <v>1176</v>
      </c>
      <c r="F4" s="296" t="s">
        <v>1177</v>
      </c>
      <c r="G4" s="296" t="s">
        <v>1178</v>
      </c>
      <c r="H4" s="296" t="s">
        <v>1179</v>
      </c>
      <c r="I4" s="296" t="s">
        <v>1180</v>
      </c>
      <c r="J4" s="296" t="s">
        <v>1181</v>
      </c>
      <c r="K4" s="296" t="s">
        <v>1182</v>
      </c>
      <c r="L4" s="296" t="s">
        <v>1183</v>
      </c>
      <c r="M4" s="296" t="s">
        <v>1184</v>
      </c>
      <c r="N4" s="296" t="s">
        <v>1185</v>
      </c>
      <c r="O4" s="603" t="str">
        <f>DataBase!O3</f>
        <v>2002</v>
      </c>
      <c r="P4" s="603" t="str">
        <f>IncomeState!P7</f>
        <v>Y-T-D</v>
      </c>
      <c r="Q4" s="603" t="str">
        <f>IncomeState!Q7</f>
        <v>R.M.</v>
      </c>
    </row>
    <row r="5" spans="1:18" ht="3.95" customHeight="1" x14ac:dyDescent="0.2">
      <c r="A5" s="279"/>
      <c r="B5" s="27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5"/>
      <c r="N5" s="285"/>
      <c r="O5" s="279"/>
      <c r="P5" s="285"/>
      <c r="Q5" s="279"/>
    </row>
    <row r="6" spans="1:18" x14ac:dyDescent="0.2">
      <c r="A6" s="464" t="s">
        <v>954</v>
      </c>
      <c r="B6" s="27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6"/>
      <c r="N6" s="286"/>
      <c r="O6" s="286"/>
      <c r="P6" s="287"/>
      <c r="Q6" s="286"/>
      <c r="R6" s="42"/>
    </row>
    <row r="7" spans="1:18" x14ac:dyDescent="0.2">
      <c r="A7" s="290" t="s">
        <v>955</v>
      </c>
      <c r="B7" s="279"/>
      <c r="C7" s="974">
        <f>DataBase!C7+DataBase!C133</f>
        <v>0</v>
      </c>
      <c r="D7" s="974">
        <f>DataBase!D7+DataBase!D133</f>
        <v>0</v>
      </c>
      <c r="E7" s="974">
        <f>DataBase!E7+DataBase!E133</f>
        <v>0</v>
      </c>
      <c r="F7" s="974">
        <f>DataBase!F7+DataBase!F133</f>
        <v>0</v>
      </c>
      <c r="G7" s="974">
        <f>DataBase!G7+DataBase!G133</f>
        <v>0</v>
      </c>
      <c r="H7" s="974">
        <f>DataBase!H7+DataBase!H133</f>
        <v>0</v>
      </c>
      <c r="I7" s="974">
        <f>DataBase!I7+DataBase!I133</f>
        <v>0</v>
      </c>
      <c r="J7" s="974">
        <f>DataBase!J7+DataBase!J133</f>
        <v>0</v>
      </c>
      <c r="K7" s="974">
        <f>DataBase!K7+DataBase!K133</f>
        <v>0</v>
      </c>
      <c r="L7" s="974">
        <f>DataBase!L7+DataBase!L133</f>
        <v>0</v>
      </c>
      <c r="M7" s="974">
        <f>DataBase!M7+DataBase!M133</f>
        <v>0</v>
      </c>
      <c r="N7" s="974">
        <f>DataBase!N7+DataBase!N133</f>
        <v>0</v>
      </c>
      <c r="O7" s="289">
        <f t="shared" ref="O7:O12" si="0">SUM(C7:N7)</f>
        <v>0</v>
      </c>
      <c r="P7" s="287">
        <f t="shared" ref="P7:P12" si="1">SUM(C7:D7)</f>
        <v>0</v>
      </c>
      <c r="Q7" s="289">
        <f t="shared" ref="Q7:Q12" si="2">O7-P7</f>
        <v>0</v>
      </c>
      <c r="R7" s="42"/>
    </row>
    <row r="8" spans="1:18" x14ac:dyDescent="0.2">
      <c r="A8" s="559" t="s">
        <v>24</v>
      </c>
      <c r="B8" s="279"/>
      <c r="C8" s="974">
        <f>DataBase!C8+DataBase!C134</f>
        <v>0</v>
      </c>
      <c r="D8" s="974">
        <f>DataBase!D8+DataBase!D134</f>
        <v>0</v>
      </c>
      <c r="E8" s="974">
        <f>DataBase!E8+DataBase!E134</f>
        <v>0</v>
      </c>
      <c r="F8" s="974">
        <f>DataBase!F8+DataBase!F134</f>
        <v>0</v>
      </c>
      <c r="G8" s="974">
        <f>DataBase!G8+DataBase!G134</f>
        <v>0</v>
      </c>
      <c r="H8" s="974">
        <f>DataBase!H8+DataBase!H134</f>
        <v>0</v>
      </c>
      <c r="I8" s="974">
        <f>DataBase!I8+DataBase!I134</f>
        <v>0</v>
      </c>
      <c r="J8" s="974">
        <f>DataBase!J8+DataBase!J134</f>
        <v>0</v>
      </c>
      <c r="K8" s="974">
        <f>DataBase!K8+DataBase!K134</f>
        <v>0</v>
      </c>
      <c r="L8" s="974">
        <f>DataBase!L8+DataBase!L134</f>
        <v>0</v>
      </c>
      <c r="M8" s="974">
        <f>DataBase!M8+DataBase!M134</f>
        <v>0</v>
      </c>
      <c r="N8" s="974">
        <f>DataBase!N8+DataBase!N134</f>
        <v>0</v>
      </c>
      <c r="O8" s="289">
        <f t="shared" si="0"/>
        <v>0</v>
      </c>
      <c r="P8" s="287">
        <f t="shared" si="1"/>
        <v>0</v>
      </c>
      <c r="Q8" s="289">
        <f t="shared" si="2"/>
        <v>0</v>
      </c>
      <c r="R8" s="42"/>
    </row>
    <row r="9" spans="1:18" x14ac:dyDescent="0.2">
      <c r="A9" s="290" t="s">
        <v>1186</v>
      </c>
      <c r="B9" s="279"/>
      <c r="C9" s="287">
        <v>0</v>
      </c>
      <c r="D9" s="287">
        <v>0</v>
      </c>
      <c r="E9" s="287">
        <v>0</v>
      </c>
      <c r="F9" s="287">
        <v>0</v>
      </c>
      <c r="G9" s="287">
        <v>0</v>
      </c>
      <c r="H9" s="287">
        <v>0</v>
      </c>
      <c r="I9" s="287">
        <v>0</v>
      </c>
      <c r="J9" s="287">
        <v>0</v>
      </c>
      <c r="K9" s="287">
        <v>0</v>
      </c>
      <c r="L9" s="287">
        <v>0</v>
      </c>
      <c r="M9" s="287">
        <v>0</v>
      </c>
      <c r="N9" s="287">
        <v>0</v>
      </c>
      <c r="O9" s="289">
        <f t="shared" si="0"/>
        <v>0</v>
      </c>
      <c r="P9" s="287">
        <f t="shared" si="1"/>
        <v>0</v>
      </c>
      <c r="Q9" s="289">
        <f t="shared" si="2"/>
        <v>0</v>
      </c>
      <c r="R9" s="42"/>
    </row>
    <row r="10" spans="1:18" x14ac:dyDescent="0.2">
      <c r="A10" s="559" t="s">
        <v>1191</v>
      </c>
      <c r="B10" s="279"/>
      <c r="C10" s="287">
        <f>0</f>
        <v>0</v>
      </c>
      <c r="D10" s="287">
        <f>0</f>
        <v>0</v>
      </c>
      <c r="E10" s="287">
        <f>0</f>
        <v>0</v>
      </c>
      <c r="F10" s="287">
        <f>0</f>
        <v>0</v>
      </c>
      <c r="G10" s="287">
        <f>0</f>
        <v>0</v>
      </c>
      <c r="H10" s="287">
        <f>0</f>
        <v>0</v>
      </c>
      <c r="I10" s="287">
        <f>0</f>
        <v>0</v>
      </c>
      <c r="J10" s="287">
        <f>0</f>
        <v>0</v>
      </c>
      <c r="K10" s="287">
        <f>0</f>
        <v>0</v>
      </c>
      <c r="L10" s="287">
        <f>0</f>
        <v>0</v>
      </c>
      <c r="M10" s="287">
        <f>0</f>
        <v>0</v>
      </c>
      <c r="N10" s="287">
        <f>0</f>
        <v>0</v>
      </c>
      <c r="O10" s="289">
        <f t="shared" si="0"/>
        <v>0</v>
      </c>
      <c r="P10" s="287">
        <f t="shared" si="1"/>
        <v>0</v>
      </c>
      <c r="Q10" s="289">
        <f t="shared" si="2"/>
        <v>0</v>
      </c>
      <c r="R10" s="42"/>
    </row>
    <row r="11" spans="1:18" x14ac:dyDescent="0.2">
      <c r="A11" s="290" t="s">
        <v>1186</v>
      </c>
      <c r="B11" s="279"/>
      <c r="C11" s="287">
        <v>0</v>
      </c>
      <c r="D11" s="287">
        <f>0</f>
        <v>0</v>
      </c>
      <c r="E11" s="287">
        <f>0</f>
        <v>0</v>
      </c>
      <c r="F11" s="287">
        <f>0</f>
        <v>0</v>
      </c>
      <c r="G11" s="287">
        <f>0</f>
        <v>0</v>
      </c>
      <c r="H11" s="287">
        <f>0</f>
        <v>0</v>
      </c>
      <c r="I11" s="287">
        <f>0</f>
        <v>0</v>
      </c>
      <c r="J11" s="287">
        <f>0</f>
        <v>0</v>
      </c>
      <c r="K11" s="287">
        <f>0</f>
        <v>0</v>
      </c>
      <c r="L11" s="287">
        <f>0</f>
        <v>0</v>
      </c>
      <c r="M11" s="287">
        <f>0</f>
        <v>0</v>
      </c>
      <c r="N11" s="287">
        <f>0</f>
        <v>0</v>
      </c>
      <c r="O11" s="289">
        <f t="shared" si="0"/>
        <v>0</v>
      </c>
      <c r="P11" s="287">
        <f t="shared" si="1"/>
        <v>0</v>
      </c>
      <c r="Q11" s="289">
        <f t="shared" si="2"/>
        <v>0</v>
      </c>
      <c r="R11" s="42"/>
    </row>
    <row r="12" spans="1:18" x14ac:dyDescent="0.2">
      <c r="A12" s="562" t="s">
        <v>1187</v>
      </c>
      <c r="B12" s="279"/>
      <c r="C12" s="294">
        <v>0</v>
      </c>
      <c r="D12" s="294">
        <v>0</v>
      </c>
      <c r="E12" s="294">
        <v>0</v>
      </c>
      <c r="F12" s="294">
        <v>0</v>
      </c>
      <c r="G12" s="294">
        <v>0</v>
      </c>
      <c r="H12" s="294">
        <v>0</v>
      </c>
      <c r="I12" s="294">
        <v>0</v>
      </c>
      <c r="J12" s="294">
        <v>0</v>
      </c>
      <c r="K12" s="294">
        <v>0</v>
      </c>
      <c r="L12" s="294">
        <v>0</v>
      </c>
      <c r="M12" s="294">
        <v>0</v>
      </c>
      <c r="N12" s="294">
        <v>0</v>
      </c>
      <c r="O12" s="291">
        <f t="shared" si="0"/>
        <v>0</v>
      </c>
      <c r="P12" s="294">
        <f t="shared" si="1"/>
        <v>0</v>
      </c>
      <c r="Q12" s="291">
        <f t="shared" si="2"/>
        <v>0</v>
      </c>
      <c r="R12" s="42"/>
    </row>
    <row r="13" spans="1:18" ht="6" customHeight="1" x14ac:dyDescent="0.2">
      <c r="A13" s="285"/>
      <c r="B13" s="279"/>
      <c r="C13" s="287"/>
      <c r="D13" s="287"/>
      <c r="E13" s="287"/>
      <c r="F13" s="287"/>
      <c r="G13" s="287"/>
      <c r="H13" s="287"/>
      <c r="I13" s="287"/>
      <c r="J13" s="287"/>
      <c r="K13" s="287"/>
      <c r="L13" s="287"/>
      <c r="M13" s="287"/>
      <c r="N13" s="287"/>
      <c r="O13" s="286"/>
      <c r="P13" s="287"/>
      <c r="Q13" s="289"/>
      <c r="R13" s="42"/>
    </row>
    <row r="14" spans="1:18" x14ac:dyDescent="0.2">
      <c r="A14" s="464" t="s">
        <v>956</v>
      </c>
      <c r="B14" s="283"/>
      <c r="C14" s="292">
        <f t="shared" ref="C14:Q14" si="3">SUM(C7:C13)</f>
        <v>0</v>
      </c>
      <c r="D14" s="292">
        <f t="shared" si="3"/>
        <v>0</v>
      </c>
      <c r="E14" s="292">
        <f t="shared" si="3"/>
        <v>0</v>
      </c>
      <c r="F14" s="292">
        <f t="shared" si="3"/>
        <v>0</v>
      </c>
      <c r="G14" s="292">
        <f t="shared" si="3"/>
        <v>0</v>
      </c>
      <c r="H14" s="292">
        <f t="shared" si="3"/>
        <v>0</v>
      </c>
      <c r="I14" s="292">
        <f t="shared" si="3"/>
        <v>0</v>
      </c>
      <c r="J14" s="292">
        <f t="shared" si="3"/>
        <v>0</v>
      </c>
      <c r="K14" s="292">
        <f t="shared" si="3"/>
        <v>0</v>
      </c>
      <c r="L14" s="292">
        <f t="shared" si="3"/>
        <v>0</v>
      </c>
      <c r="M14" s="292">
        <f t="shared" si="3"/>
        <v>0</v>
      </c>
      <c r="N14" s="292">
        <f t="shared" si="3"/>
        <v>0</v>
      </c>
      <c r="O14" s="292">
        <f t="shared" si="3"/>
        <v>0</v>
      </c>
      <c r="P14" s="292">
        <f t="shared" si="3"/>
        <v>0</v>
      </c>
      <c r="Q14" s="292">
        <f t="shared" si="3"/>
        <v>0</v>
      </c>
      <c r="R14" s="42"/>
    </row>
    <row r="15" spans="1:18" ht="12.75" customHeight="1" x14ac:dyDescent="0.2">
      <c r="A15" s="295"/>
      <c r="B15" s="279"/>
      <c r="C15" s="287"/>
      <c r="D15" s="287"/>
      <c r="E15" s="287"/>
      <c r="F15" s="287"/>
      <c r="G15" s="287"/>
      <c r="H15" s="287"/>
      <c r="I15" s="287"/>
      <c r="J15" s="287"/>
      <c r="K15" s="287"/>
      <c r="L15" s="287"/>
      <c r="M15" s="287"/>
      <c r="N15" s="287"/>
      <c r="O15" s="286"/>
      <c r="P15" s="287"/>
      <c r="Q15" s="289"/>
      <c r="R15" s="42"/>
    </row>
    <row r="16" spans="1:18" x14ac:dyDescent="0.2">
      <c r="A16" s="695" t="s">
        <v>957</v>
      </c>
      <c r="B16" s="578"/>
      <c r="C16" s="579"/>
      <c r="D16" s="579"/>
      <c r="E16" s="579"/>
      <c r="F16" s="579"/>
      <c r="G16" s="579"/>
      <c r="H16" s="579"/>
      <c r="I16" s="579"/>
      <c r="J16" s="579"/>
      <c r="K16" s="579"/>
      <c r="L16" s="579"/>
      <c r="M16" s="579"/>
      <c r="N16" s="579"/>
      <c r="O16" s="579"/>
      <c r="P16" s="579"/>
      <c r="Q16" s="579"/>
      <c r="R16" s="42"/>
    </row>
    <row r="17" spans="1:18" x14ac:dyDescent="0.2">
      <c r="A17" s="561" t="s">
        <v>958</v>
      </c>
      <c r="B17" s="578"/>
      <c r="C17" s="580">
        <f t="shared" ref="C17:I17" si="4">259-259</f>
        <v>0</v>
      </c>
      <c r="D17" s="580">
        <f t="shared" si="4"/>
        <v>0</v>
      </c>
      <c r="E17" s="580">
        <f t="shared" si="4"/>
        <v>0</v>
      </c>
      <c r="F17" s="580">
        <f t="shared" si="4"/>
        <v>0</v>
      </c>
      <c r="G17" s="580">
        <f t="shared" si="4"/>
        <v>0</v>
      </c>
      <c r="H17" s="580">
        <f t="shared" si="4"/>
        <v>0</v>
      </c>
      <c r="I17" s="580">
        <f t="shared" si="4"/>
        <v>0</v>
      </c>
      <c r="J17" s="580">
        <f>259-259</f>
        <v>0</v>
      </c>
      <c r="K17" s="580">
        <f>202-202</f>
        <v>0</v>
      </c>
      <c r="L17" s="580">
        <f>240-240</f>
        <v>0</v>
      </c>
      <c r="M17" s="580">
        <f>195-195</f>
        <v>0</v>
      </c>
      <c r="N17" s="580">
        <f>297-297</f>
        <v>0</v>
      </c>
      <c r="O17" s="581">
        <f>SUM(C17:N17)</f>
        <v>0</v>
      </c>
      <c r="P17" s="287">
        <f>SUM(C17:D17)</f>
        <v>0</v>
      </c>
      <c r="Q17" s="579">
        <f>O17-P17</f>
        <v>0</v>
      </c>
      <c r="R17" s="42"/>
    </row>
    <row r="18" spans="1:18" x14ac:dyDescent="0.2">
      <c r="A18" s="568" t="s">
        <v>277</v>
      </c>
      <c r="B18" s="578"/>
      <c r="C18" s="580">
        <f>0</f>
        <v>0</v>
      </c>
      <c r="D18" s="580">
        <f>0</f>
        <v>0</v>
      </c>
      <c r="E18" s="580">
        <f>0</f>
        <v>0</v>
      </c>
      <c r="F18" s="580">
        <f>0</f>
        <v>0</v>
      </c>
      <c r="G18" s="580">
        <f>0</f>
        <v>0</v>
      </c>
      <c r="H18" s="580">
        <f>0</f>
        <v>0</v>
      </c>
      <c r="I18" s="580">
        <f>0</f>
        <v>0</v>
      </c>
      <c r="J18" s="580">
        <f>0</f>
        <v>0</v>
      </c>
      <c r="K18" s="580">
        <f>0</f>
        <v>0</v>
      </c>
      <c r="L18" s="580">
        <f>0</f>
        <v>0</v>
      </c>
      <c r="M18" s="580">
        <f>0</f>
        <v>0</v>
      </c>
      <c r="N18" s="580">
        <f>0</f>
        <v>0</v>
      </c>
      <c r="O18" s="579">
        <f>SUM(C18:N18)</f>
        <v>0</v>
      </c>
      <c r="P18" s="287">
        <f>SUM(C18:D18)</f>
        <v>0</v>
      </c>
      <c r="Q18" s="579">
        <f>O18-P18</f>
        <v>0</v>
      </c>
      <c r="R18" s="42"/>
    </row>
    <row r="19" spans="1:18" x14ac:dyDescent="0.2">
      <c r="A19" s="568" t="s">
        <v>277</v>
      </c>
      <c r="B19" s="578"/>
      <c r="C19" s="580">
        <f>0</f>
        <v>0</v>
      </c>
      <c r="D19" s="580">
        <f>0</f>
        <v>0</v>
      </c>
      <c r="E19" s="580">
        <f>0</f>
        <v>0</v>
      </c>
      <c r="F19" s="580">
        <f>0</f>
        <v>0</v>
      </c>
      <c r="G19" s="580">
        <f>0</f>
        <v>0</v>
      </c>
      <c r="H19" s="580">
        <f>0</f>
        <v>0</v>
      </c>
      <c r="I19" s="580">
        <f>0</f>
        <v>0</v>
      </c>
      <c r="J19" s="580">
        <f>0</f>
        <v>0</v>
      </c>
      <c r="K19" s="580">
        <f>0</f>
        <v>0</v>
      </c>
      <c r="L19" s="580">
        <f>0</f>
        <v>0</v>
      </c>
      <c r="M19" s="580">
        <f>0</f>
        <v>0</v>
      </c>
      <c r="N19" s="580">
        <f>0</f>
        <v>0</v>
      </c>
      <c r="O19" s="579">
        <f>SUM(C19:N19)</f>
        <v>0</v>
      </c>
      <c r="P19" s="287">
        <f>SUM(C19:D19)</f>
        <v>0</v>
      </c>
      <c r="Q19" s="579">
        <f>O19-P19</f>
        <v>0</v>
      </c>
      <c r="R19" s="42"/>
    </row>
    <row r="20" spans="1:18" x14ac:dyDescent="0.2">
      <c r="A20" s="568" t="s">
        <v>277</v>
      </c>
      <c r="B20" s="578"/>
      <c r="C20" s="580">
        <v>0</v>
      </c>
      <c r="D20" s="580">
        <v>0</v>
      </c>
      <c r="E20" s="580">
        <v>0</v>
      </c>
      <c r="F20" s="580">
        <v>0</v>
      </c>
      <c r="G20" s="580">
        <v>0</v>
      </c>
      <c r="H20" s="580">
        <v>0</v>
      </c>
      <c r="I20" s="580">
        <v>0</v>
      </c>
      <c r="J20" s="580">
        <v>0</v>
      </c>
      <c r="K20" s="580">
        <v>0</v>
      </c>
      <c r="L20" s="580">
        <v>0</v>
      </c>
      <c r="M20" s="580">
        <v>0</v>
      </c>
      <c r="N20" s="580">
        <v>0</v>
      </c>
      <c r="O20" s="579">
        <f>SUM(C20:N20)</f>
        <v>0</v>
      </c>
      <c r="P20" s="287">
        <f>SUM(C20:D20)</f>
        <v>0</v>
      </c>
      <c r="Q20" s="579">
        <f>O20-P20</f>
        <v>0</v>
      </c>
      <c r="R20" s="42"/>
    </row>
    <row r="21" spans="1:18" x14ac:dyDescent="0.2">
      <c r="A21" s="562" t="s">
        <v>1187</v>
      </c>
      <c r="B21" s="578"/>
      <c r="C21" s="582">
        <v>0</v>
      </c>
      <c r="D21" s="582">
        <v>0</v>
      </c>
      <c r="E21" s="582">
        <v>0</v>
      </c>
      <c r="F21" s="582">
        <v>0</v>
      </c>
      <c r="G21" s="582">
        <v>0</v>
      </c>
      <c r="H21" s="582">
        <v>0</v>
      </c>
      <c r="I21" s="582">
        <v>0</v>
      </c>
      <c r="J21" s="582">
        <v>0</v>
      </c>
      <c r="K21" s="582">
        <v>0</v>
      </c>
      <c r="L21" s="582">
        <v>0</v>
      </c>
      <c r="M21" s="582">
        <v>0</v>
      </c>
      <c r="N21" s="582">
        <v>0</v>
      </c>
      <c r="O21" s="583">
        <f>SUM(C21:N21)</f>
        <v>0</v>
      </c>
      <c r="P21" s="294">
        <f>SUM(C21:D21)</f>
        <v>0</v>
      </c>
      <c r="Q21" s="583">
        <f>O21-P21</f>
        <v>0</v>
      </c>
      <c r="R21" s="42"/>
    </row>
    <row r="22" spans="1:18" ht="6" customHeight="1" x14ac:dyDescent="0.2">
      <c r="A22" s="563"/>
      <c r="B22" s="578"/>
      <c r="C22" s="580"/>
      <c r="D22" s="580"/>
      <c r="E22" s="580"/>
      <c r="F22" s="580"/>
      <c r="G22" s="580"/>
      <c r="H22" s="580"/>
      <c r="I22" s="580"/>
      <c r="J22" s="580"/>
      <c r="K22" s="580"/>
      <c r="L22" s="580"/>
      <c r="M22" s="580"/>
      <c r="N22" s="580"/>
      <c r="O22" s="578"/>
      <c r="P22" s="580"/>
      <c r="Q22" s="578"/>
      <c r="R22" s="42"/>
    </row>
    <row r="23" spans="1:18" x14ac:dyDescent="0.2">
      <c r="A23" s="464" t="s">
        <v>959</v>
      </c>
      <c r="B23" s="578"/>
      <c r="C23" s="292">
        <f>SUM(C16:C22)</f>
        <v>0</v>
      </c>
      <c r="D23" s="292">
        <f t="shared" ref="D23:Q23" si="5">SUM(D16:D22)</f>
        <v>0</v>
      </c>
      <c r="E23" s="292">
        <f t="shared" si="5"/>
        <v>0</v>
      </c>
      <c r="F23" s="292">
        <f t="shared" si="5"/>
        <v>0</v>
      </c>
      <c r="G23" s="292">
        <f t="shared" si="5"/>
        <v>0</v>
      </c>
      <c r="H23" s="292">
        <f t="shared" si="5"/>
        <v>0</v>
      </c>
      <c r="I23" s="292">
        <f t="shared" si="5"/>
        <v>0</v>
      </c>
      <c r="J23" s="292">
        <f t="shared" si="5"/>
        <v>0</v>
      </c>
      <c r="K23" s="292">
        <f t="shared" si="5"/>
        <v>0</v>
      </c>
      <c r="L23" s="292">
        <f t="shared" si="5"/>
        <v>0</v>
      </c>
      <c r="M23" s="292">
        <f t="shared" si="5"/>
        <v>0</v>
      </c>
      <c r="N23" s="292">
        <f t="shared" si="5"/>
        <v>0</v>
      </c>
      <c r="O23" s="292">
        <f t="shared" si="5"/>
        <v>0</v>
      </c>
      <c r="P23" s="292">
        <f t="shared" si="5"/>
        <v>0</v>
      </c>
      <c r="Q23" s="292">
        <f t="shared" si="5"/>
        <v>0</v>
      </c>
      <c r="R23" s="42"/>
    </row>
    <row r="24" spans="1:18" x14ac:dyDescent="0.2">
      <c r="A24" s="565"/>
      <c r="B24" s="584"/>
      <c r="C24" s="585"/>
      <c r="D24" s="585"/>
      <c r="E24" s="585"/>
      <c r="F24" s="585"/>
      <c r="G24" s="585"/>
      <c r="H24" s="585"/>
      <c r="I24" s="585"/>
      <c r="J24" s="585"/>
      <c r="K24" s="585"/>
      <c r="L24" s="585"/>
      <c r="M24" s="585"/>
      <c r="N24" s="585"/>
      <c r="O24" s="585"/>
      <c r="P24" s="585"/>
      <c r="Q24" s="585"/>
      <c r="R24" s="42"/>
    </row>
    <row r="25" spans="1:18" x14ac:dyDescent="0.2">
      <c r="A25" s="464" t="s">
        <v>960</v>
      </c>
      <c r="B25" s="279"/>
      <c r="C25" s="287"/>
      <c r="D25" s="287"/>
      <c r="E25" s="287"/>
      <c r="F25" s="287"/>
      <c r="G25" s="287"/>
      <c r="H25" s="287"/>
      <c r="I25" s="287"/>
      <c r="J25" s="287"/>
      <c r="K25" s="287"/>
      <c r="L25" s="287"/>
      <c r="M25" s="287"/>
      <c r="N25" s="287"/>
      <c r="O25" s="286"/>
      <c r="P25" s="287"/>
      <c r="Q25" s="289"/>
      <c r="R25" s="42"/>
    </row>
    <row r="26" spans="1:18" x14ac:dyDescent="0.2">
      <c r="A26" s="288" t="s">
        <v>1190</v>
      </c>
      <c r="B26" s="279"/>
      <c r="C26" s="287">
        <v>0</v>
      </c>
      <c r="D26" s="287">
        <v>0</v>
      </c>
      <c r="E26" s="287">
        <v>0</v>
      </c>
      <c r="F26" s="287">
        <v>0</v>
      </c>
      <c r="G26" s="287">
        <v>0</v>
      </c>
      <c r="H26" s="287">
        <v>0</v>
      </c>
      <c r="I26" s="287">
        <v>0</v>
      </c>
      <c r="J26" s="287">
        <v>0</v>
      </c>
      <c r="K26" s="287">
        <v>0</v>
      </c>
      <c r="L26" s="287">
        <v>0</v>
      </c>
      <c r="M26" s="287">
        <v>0</v>
      </c>
      <c r="N26" s="287">
        <v>0</v>
      </c>
      <c r="O26" s="289">
        <f t="shared" ref="O26:O31" si="6">SUM(C26:N26)</f>
        <v>0</v>
      </c>
      <c r="P26" s="287">
        <f t="shared" ref="P26:P31" si="7">SUM(C26:D26)</f>
        <v>0</v>
      </c>
      <c r="Q26" s="289">
        <f t="shared" ref="Q26:Q31" si="8">O26-P26</f>
        <v>0</v>
      </c>
      <c r="R26" s="42"/>
    </row>
    <row r="27" spans="1:18" x14ac:dyDescent="0.2">
      <c r="A27" s="288" t="s">
        <v>1189</v>
      </c>
      <c r="B27" s="279"/>
      <c r="C27" s="287">
        <v>0</v>
      </c>
      <c r="D27" s="287">
        <v>0</v>
      </c>
      <c r="E27" s="287">
        <v>0</v>
      </c>
      <c r="F27" s="287">
        <v>0</v>
      </c>
      <c r="G27" s="287">
        <v>0</v>
      </c>
      <c r="H27" s="287">
        <v>0</v>
      </c>
      <c r="I27" s="287">
        <v>0</v>
      </c>
      <c r="J27" s="287">
        <v>0</v>
      </c>
      <c r="K27" s="287">
        <v>0</v>
      </c>
      <c r="L27" s="287">
        <v>0</v>
      </c>
      <c r="M27" s="287">
        <v>0</v>
      </c>
      <c r="N27" s="287">
        <v>0</v>
      </c>
      <c r="O27" s="289">
        <f t="shared" si="6"/>
        <v>0</v>
      </c>
      <c r="P27" s="287">
        <f t="shared" si="7"/>
        <v>0</v>
      </c>
      <c r="Q27" s="289">
        <f t="shared" si="8"/>
        <v>0</v>
      </c>
      <c r="R27" s="42"/>
    </row>
    <row r="28" spans="1:18" x14ac:dyDescent="0.2">
      <c r="A28" s="568" t="s">
        <v>277</v>
      </c>
      <c r="B28" s="279"/>
      <c r="C28" s="287">
        <v>0</v>
      </c>
      <c r="D28" s="287">
        <v>0</v>
      </c>
      <c r="E28" s="287">
        <v>0</v>
      </c>
      <c r="F28" s="287">
        <v>0</v>
      </c>
      <c r="G28" s="287">
        <v>0</v>
      </c>
      <c r="H28" s="287">
        <v>0</v>
      </c>
      <c r="I28" s="287">
        <v>0</v>
      </c>
      <c r="J28" s="287">
        <v>0</v>
      </c>
      <c r="K28" s="287">
        <v>0</v>
      </c>
      <c r="L28" s="287">
        <v>0</v>
      </c>
      <c r="M28" s="287">
        <v>0</v>
      </c>
      <c r="N28" s="287">
        <v>0</v>
      </c>
      <c r="O28" s="289">
        <f t="shared" si="6"/>
        <v>0</v>
      </c>
      <c r="P28" s="287">
        <f t="shared" si="7"/>
        <v>0</v>
      </c>
      <c r="Q28" s="289">
        <f t="shared" si="8"/>
        <v>0</v>
      </c>
      <c r="R28" s="42"/>
    </row>
    <row r="29" spans="1:18" x14ac:dyDescent="0.2">
      <c r="A29" s="568" t="s">
        <v>277</v>
      </c>
      <c r="B29" s="279"/>
      <c r="C29" s="287">
        <v>0</v>
      </c>
      <c r="D29" s="287">
        <v>0</v>
      </c>
      <c r="E29" s="287">
        <v>0</v>
      </c>
      <c r="F29" s="287">
        <v>0</v>
      </c>
      <c r="G29" s="287">
        <v>0</v>
      </c>
      <c r="H29" s="287">
        <v>0</v>
      </c>
      <c r="I29" s="287">
        <v>0</v>
      </c>
      <c r="J29" s="287">
        <v>0</v>
      </c>
      <c r="K29" s="287">
        <v>0</v>
      </c>
      <c r="L29" s="287">
        <v>0</v>
      </c>
      <c r="M29" s="287">
        <v>0</v>
      </c>
      <c r="N29" s="287">
        <v>0</v>
      </c>
      <c r="O29" s="289">
        <f t="shared" si="6"/>
        <v>0</v>
      </c>
      <c r="P29" s="287">
        <f t="shared" si="7"/>
        <v>0</v>
      </c>
      <c r="Q29" s="289">
        <f t="shared" si="8"/>
        <v>0</v>
      </c>
      <c r="R29" s="42"/>
    </row>
    <row r="30" spans="1:18" x14ac:dyDescent="0.2">
      <c r="A30" s="568" t="s">
        <v>277</v>
      </c>
      <c r="B30" s="279"/>
      <c r="C30" s="287">
        <v>0</v>
      </c>
      <c r="D30" s="287">
        <v>0</v>
      </c>
      <c r="E30" s="287">
        <v>0</v>
      </c>
      <c r="F30" s="287">
        <v>0</v>
      </c>
      <c r="G30" s="287">
        <v>0</v>
      </c>
      <c r="H30" s="287">
        <v>0</v>
      </c>
      <c r="I30" s="287">
        <v>0</v>
      </c>
      <c r="J30" s="287">
        <v>0</v>
      </c>
      <c r="K30" s="287">
        <v>0</v>
      </c>
      <c r="L30" s="287">
        <v>0</v>
      </c>
      <c r="M30" s="287">
        <v>0</v>
      </c>
      <c r="N30" s="287">
        <v>0</v>
      </c>
      <c r="O30" s="289">
        <f t="shared" si="6"/>
        <v>0</v>
      </c>
      <c r="P30" s="287">
        <f t="shared" si="7"/>
        <v>0</v>
      </c>
      <c r="Q30" s="289">
        <f t="shared" si="8"/>
        <v>0</v>
      </c>
      <c r="R30" s="42"/>
    </row>
    <row r="31" spans="1:18" x14ac:dyDescent="0.2">
      <c r="A31" s="290" t="s">
        <v>1187</v>
      </c>
      <c r="B31" s="279"/>
      <c r="C31" s="294">
        <v>0</v>
      </c>
      <c r="D31" s="294">
        <v>0</v>
      </c>
      <c r="E31" s="294">
        <v>0</v>
      </c>
      <c r="F31" s="294">
        <v>0</v>
      </c>
      <c r="G31" s="294">
        <v>0</v>
      </c>
      <c r="H31" s="294">
        <v>0</v>
      </c>
      <c r="I31" s="294">
        <v>0</v>
      </c>
      <c r="J31" s="294">
        <v>0</v>
      </c>
      <c r="K31" s="294">
        <v>0</v>
      </c>
      <c r="L31" s="294">
        <v>0</v>
      </c>
      <c r="M31" s="294">
        <v>0</v>
      </c>
      <c r="N31" s="294">
        <v>0</v>
      </c>
      <c r="O31" s="291">
        <f t="shared" si="6"/>
        <v>0</v>
      </c>
      <c r="P31" s="294">
        <f t="shared" si="7"/>
        <v>0</v>
      </c>
      <c r="Q31" s="291">
        <f t="shared" si="8"/>
        <v>0</v>
      </c>
      <c r="R31" s="44"/>
    </row>
    <row r="32" spans="1:18" ht="6" customHeight="1" x14ac:dyDescent="0.2">
      <c r="A32" s="288"/>
      <c r="B32" s="279"/>
      <c r="C32" s="287"/>
      <c r="D32" s="287"/>
      <c r="E32" s="287"/>
      <c r="F32" s="287"/>
      <c r="G32" s="287"/>
      <c r="H32" s="287"/>
      <c r="I32" s="287"/>
      <c r="J32" s="287"/>
      <c r="K32" s="287"/>
      <c r="L32" s="287"/>
      <c r="M32" s="287"/>
      <c r="N32" s="287"/>
      <c r="O32" s="286"/>
      <c r="P32" s="287"/>
      <c r="Q32" s="289"/>
      <c r="R32" s="42"/>
    </row>
    <row r="33" spans="1:18" x14ac:dyDescent="0.2">
      <c r="A33" s="464" t="s">
        <v>961</v>
      </c>
      <c r="B33" s="283"/>
      <c r="C33" s="292">
        <f t="shared" ref="C33:Q33" si="9">SUM(C26:C31)</f>
        <v>0</v>
      </c>
      <c r="D33" s="292">
        <f t="shared" si="9"/>
        <v>0</v>
      </c>
      <c r="E33" s="292">
        <f t="shared" si="9"/>
        <v>0</v>
      </c>
      <c r="F33" s="292">
        <f t="shared" si="9"/>
        <v>0</v>
      </c>
      <c r="G33" s="292">
        <f t="shared" si="9"/>
        <v>0</v>
      </c>
      <c r="H33" s="292">
        <f t="shared" si="9"/>
        <v>0</v>
      </c>
      <c r="I33" s="292">
        <f t="shared" si="9"/>
        <v>0</v>
      </c>
      <c r="J33" s="292">
        <f t="shared" si="9"/>
        <v>0</v>
      </c>
      <c r="K33" s="292">
        <f t="shared" si="9"/>
        <v>0</v>
      </c>
      <c r="L33" s="292">
        <f t="shared" si="9"/>
        <v>0</v>
      </c>
      <c r="M33" s="292">
        <f t="shared" si="9"/>
        <v>0</v>
      </c>
      <c r="N33" s="292">
        <f t="shared" si="9"/>
        <v>0</v>
      </c>
      <c r="O33" s="292">
        <f t="shared" si="9"/>
        <v>0</v>
      </c>
      <c r="P33" s="292">
        <f t="shared" si="9"/>
        <v>0</v>
      </c>
      <c r="Q33" s="292">
        <f t="shared" si="9"/>
        <v>0</v>
      </c>
      <c r="R33" s="43"/>
    </row>
    <row r="34" spans="1:18" ht="9" customHeight="1" x14ac:dyDescent="0.2">
      <c r="A34" s="295"/>
      <c r="B34" s="279"/>
      <c r="C34" s="287"/>
      <c r="D34" s="287"/>
      <c r="E34" s="287"/>
      <c r="F34" s="287"/>
      <c r="G34" s="287"/>
      <c r="H34" s="287"/>
      <c r="I34" s="287"/>
      <c r="J34" s="287"/>
      <c r="K34" s="287"/>
      <c r="L34" s="287"/>
      <c r="M34" s="287"/>
      <c r="N34" s="287"/>
      <c r="O34" s="286"/>
      <c r="P34" s="287"/>
      <c r="Q34" s="289"/>
      <c r="R34" s="42"/>
    </row>
    <row r="35" spans="1:18" x14ac:dyDescent="0.2">
      <c r="A35" s="464" t="s">
        <v>1115</v>
      </c>
      <c r="B35" s="283"/>
      <c r="C35" s="293">
        <f>ROUND(+C14+C23+C33,0)</f>
        <v>0</v>
      </c>
      <c r="D35" s="293">
        <f t="shared" ref="D35:Q35" si="10">ROUND(+D14+D23+D33,0)</f>
        <v>0</v>
      </c>
      <c r="E35" s="293">
        <f t="shared" si="10"/>
        <v>0</v>
      </c>
      <c r="F35" s="293">
        <f t="shared" si="10"/>
        <v>0</v>
      </c>
      <c r="G35" s="293">
        <f t="shared" si="10"/>
        <v>0</v>
      </c>
      <c r="H35" s="293">
        <f t="shared" si="10"/>
        <v>0</v>
      </c>
      <c r="I35" s="293">
        <f t="shared" si="10"/>
        <v>0</v>
      </c>
      <c r="J35" s="293">
        <f t="shared" si="10"/>
        <v>0</v>
      </c>
      <c r="K35" s="293">
        <f t="shared" si="10"/>
        <v>0</v>
      </c>
      <c r="L35" s="293">
        <f t="shared" si="10"/>
        <v>0</v>
      </c>
      <c r="M35" s="293">
        <f t="shared" si="10"/>
        <v>0</v>
      </c>
      <c r="N35" s="293">
        <f t="shared" si="10"/>
        <v>0</v>
      </c>
      <c r="O35" s="293">
        <f t="shared" si="10"/>
        <v>0</v>
      </c>
      <c r="P35" s="293">
        <f t="shared" si="10"/>
        <v>0</v>
      </c>
      <c r="Q35" s="293">
        <f t="shared" si="10"/>
        <v>0</v>
      </c>
      <c r="R35" s="45"/>
    </row>
    <row r="36" spans="1:18" x14ac:dyDescent="0.2">
      <c r="A36" s="285"/>
      <c r="B36" s="279"/>
      <c r="C36" s="286"/>
      <c r="D36" s="289"/>
      <c r="E36" s="289"/>
      <c r="F36" s="289"/>
      <c r="G36" s="289"/>
      <c r="H36" s="289"/>
      <c r="I36" s="289"/>
      <c r="J36" s="289"/>
      <c r="K36" s="289"/>
      <c r="L36" s="289"/>
      <c r="M36" s="289"/>
      <c r="N36" s="289"/>
      <c r="O36" s="286"/>
      <c r="P36" s="289"/>
      <c r="Q36" s="289"/>
      <c r="R36" s="2"/>
    </row>
    <row r="38" spans="1:18" x14ac:dyDescent="0.2">
      <c r="A38" s="696" t="s">
        <v>681</v>
      </c>
      <c r="B38" s="697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9"/>
      <c r="P38" s="48"/>
      <c r="Q38" s="49"/>
    </row>
    <row r="39" spans="1:18" x14ac:dyDescent="0.2">
      <c r="A39" s="53" t="s">
        <v>25</v>
      </c>
      <c r="B39" s="698"/>
      <c r="C39" s="975">
        <f>-DataBase!C9-DataBase!C135</f>
        <v>0</v>
      </c>
      <c r="D39" s="975">
        <f>-DataBase!D9-DataBase!D135</f>
        <v>0</v>
      </c>
      <c r="E39" s="975">
        <f>-DataBase!E9-DataBase!E135</f>
        <v>0</v>
      </c>
      <c r="F39" s="975">
        <f>-DataBase!F9-DataBase!F135</f>
        <v>0</v>
      </c>
      <c r="G39" s="975">
        <f>-DataBase!G9-DataBase!G135</f>
        <v>0</v>
      </c>
      <c r="H39" s="975">
        <f>-DataBase!H9-DataBase!H135</f>
        <v>0</v>
      </c>
      <c r="I39" s="975">
        <f>-DataBase!I9-DataBase!I135</f>
        <v>0</v>
      </c>
      <c r="J39" s="975">
        <f>-DataBase!J9-DataBase!J135</f>
        <v>0</v>
      </c>
      <c r="K39" s="975">
        <f>-DataBase!K9-DataBase!K135</f>
        <v>0</v>
      </c>
      <c r="L39" s="975">
        <f>-DataBase!L9-DataBase!L135</f>
        <v>0</v>
      </c>
      <c r="M39" s="975">
        <f>-DataBase!M9-DataBase!M135</f>
        <v>0</v>
      </c>
      <c r="N39" s="975">
        <f>-DataBase!N9-DataBase!N135</f>
        <v>0</v>
      </c>
      <c r="O39" s="52">
        <f>SUM(C39:N39)</f>
        <v>0</v>
      </c>
      <c r="P39" s="287">
        <f>SUM(C39:D39)</f>
        <v>0</v>
      </c>
      <c r="Q39" s="52">
        <f>O39-P39</f>
        <v>0</v>
      </c>
    </row>
    <row r="40" spans="1:18" x14ac:dyDescent="0.2">
      <c r="A40" s="53" t="s">
        <v>28</v>
      </c>
      <c r="B40" s="698"/>
      <c r="C40" s="975">
        <f>-DataBase!C10-DataBase!C136</f>
        <v>0</v>
      </c>
      <c r="D40" s="975">
        <f>-DataBase!D10-DataBase!D136</f>
        <v>0</v>
      </c>
      <c r="E40" s="975">
        <f>-DataBase!E10-DataBase!E136</f>
        <v>0</v>
      </c>
      <c r="F40" s="975">
        <f>-DataBase!F10-DataBase!F136</f>
        <v>0</v>
      </c>
      <c r="G40" s="975">
        <f>-DataBase!G10-DataBase!G136</f>
        <v>0</v>
      </c>
      <c r="H40" s="975">
        <f>-DataBase!H10-DataBase!H136</f>
        <v>0</v>
      </c>
      <c r="I40" s="975">
        <f>-DataBase!I10-DataBase!I136</f>
        <v>0</v>
      </c>
      <c r="J40" s="975">
        <f>-DataBase!J10-DataBase!J136</f>
        <v>0</v>
      </c>
      <c r="K40" s="975">
        <f>-DataBase!K10-DataBase!K136</f>
        <v>0</v>
      </c>
      <c r="L40" s="975">
        <f>-DataBase!L10-DataBase!L136</f>
        <v>0</v>
      </c>
      <c r="M40" s="975">
        <f>-DataBase!M10-DataBase!M136</f>
        <v>0</v>
      </c>
      <c r="N40" s="975">
        <f>-DataBase!N10-DataBase!N136</f>
        <v>0</v>
      </c>
      <c r="O40" s="52">
        <f>SUM(C40:N40)</f>
        <v>0</v>
      </c>
      <c r="P40" s="287">
        <f>SUM(C40:D40)</f>
        <v>0</v>
      </c>
      <c r="Q40" s="52">
        <f>O40-P40</f>
        <v>0</v>
      </c>
    </row>
    <row r="41" spans="1:18" x14ac:dyDescent="0.2">
      <c r="A41" s="50" t="s">
        <v>1194</v>
      </c>
      <c r="B41" s="698"/>
      <c r="C41" s="51">
        <v>0</v>
      </c>
      <c r="D41" s="51">
        <v>0</v>
      </c>
      <c r="E41" s="51">
        <v>0</v>
      </c>
      <c r="F41" s="51">
        <v>0</v>
      </c>
      <c r="G41" s="51">
        <v>0</v>
      </c>
      <c r="H41" s="51">
        <v>0</v>
      </c>
      <c r="I41" s="51">
        <v>0</v>
      </c>
      <c r="J41" s="51">
        <v>0</v>
      </c>
      <c r="K41" s="51">
        <v>0</v>
      </c>
      <c r="L41" s="51">
        <v>0</v>
      </c>
      <c r="M41" s="51">
        <v>0</v>
      </c>
      <c r="N41" s="51">
        <v>0</v>
      </c>
      <c r="O41" s="52">
        <f>SUM(C41:N41)</f>
        <v>0</v>
      </c>
      <c r="P41" s="287">
        <f>SUM(C41:D41)</f>
        <v>0</v>
      </c>
      <c r="Q41" s="52">
        <f>O41-P41</f>
        <v>0</v>
      </c>
    </row>
    <row r="42" spans="1:18" x14ac:dyDescent="0.2">
      <c r="A42" s="50" t="s">
        <v>1194</v>
      </c>
      <c r="B42" s="698"/>
      <c r="C42" s="51">
        <v>0</v>
      </c>
      <c r="D42" s="51">
        <v>0</v>
      </c>
      <c r="E42" s="51">
        <v>0</v>
      </c>
      <c r="F42" s="51">
        <v>0</v>
      </c>
      <c r="G42" s="51">
        <v>0</v>
      </c>
      <c r="H42" s="51">
        <v>0</v>
      </c>
      <c r="I42" s="51">
        <v>0</v>
      </c>
      <c r="J42" s="51">
        <v>0</v>
      </c>
      <c r="K42" s="51">
        <v>0</v>
      </c>
      <c r="L42" s="51">
        <v>0</v>
      </c>
      <c r="M42" s="51">
        <v>0</v>
      </c>
      <c r="N42" s="51">
        <v>0</v>
      </c>
      <c r="O42" s="52">
        <f>SUM(C42:N42)</f>
        <v>0</v>
      </c>
      <c r="P42" s="287">
        <f>SUM(C42:D42)</f>
        <v>0</v>
      </c>
      <c r="Q42" s="52">
        <f>O42-P42</f>
        <v>0</v>
      </c>
    </row>
    <row r="43" spans="1:18" x14ac:dyDescent="0.2">
      <c r="A43" s="562" t="s">
        <v>1187</v>
      </c>
      <c r="B43" s="698"/>
      <c r="C43" s="325">
        <v>0</v>
      </c>
      <c r="D43" s="325">
        <v>0</v>
      </c>
      <c r="E43" s="325">
        <v>0</v>
      </c>
      <c r="F43" s="325">
        <v>0</v>
      </c>
      <c r="G43" s="325">
        <v>0</v>
      </c>
      <c r="H43" s="325">
        <v>0</v>
      </c>
      <c r="I43" s="325">
        <v>0</v>
      </c>
      <c r="J43" s="325">
        <v>0</v>
      </c>
      <c r="K43" s="325">
        <v>0</v>
      </c>
      <c r="L43" s="325">
        <v>0</v>
      </c>
      <c r="M43" s="325">
        <v>0</v>
      </c>
      <c r="N43" s="325">
        <v>0</v>
      </c>
      <c r="O43" s="54">
        <f>SUM(C43:N43)</f>
        <v>0</v>
      </c>
      <c r="P43" s="294">
        <f>SUM(C43:D43)</f>
        <v>0</v>
      </c>
      <c r="Q43" s="54">
        <f>O43-P43</f>
        <v>0</v>
      </c>
    </row>
    <row r="44" spans="1:18" ht="6" customHeight="1" x14ac:dyDescent="0.2">
      <c r="A44" s="47"/>
      <c r="B44" s="69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9"/>
      <c r="P44" s="48"/>
      <c r="Q44" s="49"/>
    </row>
    <row r="45" spans="1:18" x14ac:dyDescent="0.2">
      <c r="A45" s="699" t="s">
        <v>682</v>
      </c>
      <c r="B45" s="698"/>
      <c r="C45" s="55">
        <f>SUM(C39:C44)</f>
        <v>0</v>
      </c>
      <c r="D45" s="55">
        <f t="shared" ref="D45:N45" si="11">SUM(D39:D44)</f>
        <v>0</v>
      </c>
      <c r="E45" s="55">
        <f t="shared" si="11"/>
        <v>0</v>
      </c>
      <c r="F45" s="55">
        <f t="shared" si="11"/>
        <v>0</v>
      </c>
      <c r="G45" s="55">
        <f t="shared" si="11"/>
        <v>0</v>
      </c>
      <c r="H45" s="55">
        <f t="shared" si="11"/>
        <v>0</v>
      </c>
      <c r="I45" s="55">
        <f t="shared" si="11"/>
        <v>0</v>
      </c>
      <c r="J45" s="55">
        <f t="shared" si="11"/>
        <v>0</v>
      </c>
      <c r="K45" s="55">
        <f t="shared" si="11"/>
        <v>0</v>
      </c>
      <c r="L45" s="55">
        <f t="shared" si="11"/>
        <v>0</v>
      </c>
      <c r="M45" s="55">
        <f t="shared" si="11"/>
        <v>0</v>
      </c>
      <c r="N45" s="55">
        <f t="shared" si="11"/>
        <v>0</v>
      </c>
      <c r="O45" s="55">
        <f>SUM(O39:O44)</f>
        <v>0</v>
      </c>
      <c r="P45" s="55">
        <f>SUM(P39:P44)</f>
        <v>0</v>
      </c>
      <c r="Q45" s="55">
        <f>SUM(Q39:Q44)</f>
        <v>0</v>
      </c>
    </row>
  </sheetData>
  <phoneticPr fontId="0" type="noConversion"/>
  <printOptions horizontalCentered="1" gridLinesSet="0"/>
  <pageMargins left="0.5" right="0.5" top="0.5" bottom="0.25" header="0" footer="0"/>
  <pageSetup paperSize="5" scale="79" fitToHeight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 macro="[0]!GotoFrontEnd">
                <anchor moveWithCells="1" sizeWithCells="1">
                  <from>
                    <xdr:col>0</xdr:col>
                    <xdr:colOff>28575</xdr:colOff>
                    <xdr:row>2</xdr:row>
                    <xdr:rowOff>9525</xdr:rowOff>
                  </from>
                  <to>
                    <xdr:col>0</xdr:col>
                    <xdr:colOff>1123950</xdr:colOff>
                    <xdr:row>3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3">
    <pageSetUpPr fitToPage="1"/>
  </sheetPr>
  <dimension ref="A1:AD78"/>
  <sheetViews>
    <sheetView showGridLines="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defaultRowHeight="12.75" x14ac:dyDescent="0.2"/>
  <cols>
    <col min="1" max="1" width="45.7109375" style="3" customWidth="1"/>
    <col min="2" max="2" width="8.7109375" style="710" customWidth="1"/>
    <col min="3" max="14" width="8.7109375" style="3" customWidth="1"/>
    <col min="15" max="17" width="9.7109375" style="3" customWidth="1"/>
    <col min="18" max="18" width="2.7109375" style="3" customWidth="1"/>
    <col min="19" max="19" width="9.7109375" style="3" customWidth="1"/>
    <col min="20" max="16384" width="9.140625" style="3"/>
  </cols>
  <sheetData>
    <row r="1" spans="1:18" x14ac:dyDescent="0.2">
      <c r="A1" s="605" t="str">
        <f ca="1">CELL("FILENAME")</f>
        <v>C:\Users\Felienne\Enron\EnronSpreadsheets\[tracy_geaccone__40367__EMNNG02PL.xls]IncomeState</v>
      </c>
      <c r="B1" s="701"/>
      <c r="C1" s="297"/>
      <c r="D1" s="297"/>
      <c r="E1" s="297"/>
      <c r="F1" s="297"/>
      <c r="G1" s="297"/>
      <c r="H1" s="297"/>
      <c r="I1" s="297"/>
      <c r="J1" s="297"/>
      <c r="K1" s="297"/>
      <c r="L1" s="297"/>
      <c r="M1" s="297"/>
      <c r="N1" s="297"/>
      <c r="O1" s="297"/>
      <c r="P1" s="297"/>
      <c r="Q1" s="297"/>
    </row>
    <row r="2" spans="1:18" x14ac:dyDescent="0.2">
      <c r="A2" s="311" t="s">
        <v>1195</v>
      </c>
      <c r="B2" s="701"/>
      <c r="C2" s="484"/>
      <c r="D2" s="298" t="s">
        <v>1173</v>
      </c>
      <c r="E2" s="554"/>
      <c r="F2" s="298" t="s">
        <v>1173</v>
      </c>
      <c r="G2" s="494"/>
      <c r="H2" s="298" t="s">
        <v>1173</v>
      </c>
      <c r="I2" s="299"/>
      <c r="J2" s="299"/>
      <c r="K2" s="299"/>
      <c r="L2" s="299"/>
      <c r="M2" s="299"/>
      <c r="N2" s="299"/>
      <c r="O2" s="299"/>
      <c r="P2" s="299"/>
      <c r="Q2" s="299"/>
    </row>
    <row r="3" spans="1:18" x14ac:dyDescent="0.2">
      <c r="A3" s="552" t="str">
        <f>IncomeState!A3</f>
        <v>2002 OPERATING PLAN</v>
      </c>
      <c r="B3" s="702">
        <f ca="1">NOW()</f>
        <v>41887.551126967592</v>
      </c>
      <c r="C3" s="554" t="str">
        <f>DataBase!C2</f>
        <v>PLAN</v>
      </c>
      <c r="D3" s="554" t="str">
        <f>DataBase!D2</f>
        <v>PLAN</v>
      </c>
      <c r="E3" s="554" t="str">
        <f>DataBase!E2</f>
        <v>PLAN</v>
      </c>
      <c r="F3" s="554" t="str">
        <f>DataBase!F2</f>
        <v>PLAN</v>
      </c>
      <c r="G3" s="554" t="str">
        <f>DataBase!G2</f>
        <v>PLAN</v>
      </c>
      <c r="H3" s="554" t="str">
        <f>DataBase!H2</f>
        <v>PLAN</v>
      </c>
      <c r="I3" s="554" t="str">
        <f>DataBase!I2</f>
        <v>PLAN</v>
      </c>
      <c r="J3" s="554" t="str">
        <f>DataBase!J2</f>
        <v>PLAN</v>
      </c>
      <c r="K3" s="554" t="str">
        <f>DataBase!K2</f>
        <v>PLAN</v>
      </c>
      <c r="L3" s="554" t="str">
        <f>DataBase!L2</f>
        <v>PLAN</v>
      </c>
      <c r="M3" s="554" t="str">
        <f>DataBase!M2</f>
        <v>PLAN</v>
      </c>
      <c r="N3" s="554" t="str">
        <f>DataBase!N2</f>
        <v>PLAN</v>
      </c>
      <c r="O3" s="554" t="str">
        <f>DataBase!O2</f>
        <v>TOTAL</v>
      </c>
      <c r="P3" s="554" t="str">
        <f>IncomeState!P6</f>
        <v>FEB.</v>
      </c>
      <c r="Q3" s="554" t="str">
        <f>IncomeState!Q6</f>
        <v>ESTIMATE</v>
      </c>
    </row>
    <row r="4" spans="1:18" x14ac:dyDescent="0.2">
      <c r="A4" s="300"/>
      <c r="B4" s="703">
        <f ca="1">NOW()</f>
        <v>41887.551126967592</v>
      </c>
      <c r="C4" s="312" t="s">
        <v>1174</v>
      </c>
      <c r="D4" s="312" t="s">
        <v>1175</v>
      </c>
      <c r="E4" s="312" t="s">
        <v>1176</v>
      </c>
      <c r="F4" s="312" t="s">
        <v>1177</v>
      </c>
      <c r="G4" s="312" t="s">
        <v>1178</v>
      </c>
      <c r="H4" s="312" t="s">
        <v>1179</v>
      </c>
      <c r="I4" s="312" t="s">
        <v>1180</v>
      </c>
      <c r="J4" s="312" t="s">
        <v>1181</v>
      </c>
      <c r="K4" s="312" t="s">
        <v>1182</v>
      </c>
      <c r="L4" s="312" t="s">
        <v>1183</v>
      </c>
      <c r="M4" s="312" t="s">
        <v>1184</v>
      </c>
      <c r="N4" s="312" t="s">
        <v>1185</v>
      </c>
      <c r="O4" s="604" t="str">
        <f>DataBase!O3</f>
        <v>2002</v>
      </c>
      <c r="P4" s="604" t="str">
        <f>IncomeState!P7</f>
        <v>Y-T-D</v>
      </c>
      <c r="Q4" s="604" t="str">
        <f>IncomeState!Q7</f>
        <v>R.M.</v>
      </c>
    </row>
    <row r="5" spans="1:18" ht="3.95" customHeight="1" x14ac:dyDescent="0.2">
      <c r="A5" s="297"/>
      <c r="B5" s="701"/>
      <c r="C5" s="297"/>
      <c r="D5" s="297"/>
      <c r="E5" s="297"/>
      <c r="F5" s="297"/>
      <c r="G5" s="297"/>
      <c r="H5" s="297"/>
      <c r="I5" s="297"/>
      <c r="J5" s="297"/>
      <c r="K5" s="297"/>
      <c r="L5" s="297"/>
      <c r="M5" s="297"/>
      <c r="N5" s="297"/>
      <c r="O5" s="297"/>
      <c r="P5" s="297"/>
      <c r="Q5" s="297"/>
    </row>
    <row r="6" spans="1:18" x14ac:dyDescent="0.2">
      <c r="A6" s="491" t="s">
        <v>683</v>
      </c>
      <c r="B6" s="701"/>
      <c r="C6" s="301"/>
      <c r="D6" s="301"/>
      <c r="E6" s="301"/>
      <c r="F6" s="301"/>
      <c r="G6" s="301"/>
      <c r="H6" s="301"/>
      <c r="I6" s="301"/>
      <c r="J6" s="301"/>
      <c r="K6" s="301"/>
      <c r="L6" s="301"/>
      <c r="M6" s="301"/>
      <c r="N6" s="301"/>
      <c r="O6" s="301"/>
      <c r="P6" s="301"/>
      <c r="Q6" s="301"/>
      <c r="R6" s="46"/>
    </row>
    <row r="7" spans="1:18" x14ac:dyDescent="0.2">
      <c r="A7" s="315" t="s">
        <v>685</v>
      </c>
      <c r="B7" s="704"/>
      <c r="C7" s="472">
        <f>DataBase!C12</f>
        <v>46978</v>
      </c>
      <c r="D7" s="472">
        <f>DataBase!D12</f>
        <v>46951</v>
      </c>
      <c r="E7" s="472">
        <f>DataBase!E12</f>
        <v>48450</v>
      </c>
      <c r="F7" s="472">
        <f>DataBase!F12</f>
        <v>16693</v>
      </c>
      <c r="G7" s="472">
        <f>DataBase!G12</f>
        <v>16486</v>
      </c>
      <c r="H7" s="472">
        <f>DataBase!H12</f>
        <v>16595</v>
      </c>
      <c r="I7" s="472">
        <f>DataBase!I12</f>
        <v>16868</v>
      </c>
      <c r="J7" s="472">
        <f>DataBase!J12</f>
        <v>16528</v>
      </c>
      <c r="K7" s="472">
        <f>DataBase!K12</f>
        <v>16481</v>
      </c>
      <c r="L7" s="472">
        <f>DataBase!L12</f>
        <v>16081</v>
      </c>
      <c r="M7" s="472">
        <f>DataBase!M12</f>
        <v>46500</v>
      </c>
      <c r="N7" s="472">
        <f>DataBase!N12</f>
        <v>46562</v>
      </c>
      <c r="O7" s="302">
        <f t="shared" ref="O7:O20" si="0">SUM(C7:N7)</f>
        <v>351173</v>
      </c>
      <c r="P7" s="303">
        <f>SUM(C7:D7)</f>
        <v>93929</v>
      </c>
      <c r="Q7" s="302">
        <f t="shared" ref="Q7:Q20" si="1">O7-P7</f>
        <v>257244</v>
      </c>
      <c r="R7" s="4"/>
    </row>
    <row r="8" spans="1:18" x14ac:dyDescent="0.2">
      <c r="A8" s="315" t="s">
        <v>84</v>
      </c>
      <c r="B8" s="704"/>
      <c r="C8" s="472">
        <f>DataBase!C13</f>
        <v>0</v>
      </c>
      <c r="D8" s="472">
        <f>DataBase!D13</f>
        <v>0</v>
      </c>
      <c r="E8" s="472">
        <f>DataBase!E13</f>
        <v>0</v>
      </c>
      <c r="F8" s="472">
        <f>DataBase!F13</f>
        <v>0</v>
      </c>
      <c r="G8" s="472">
        <f>DataBase!G13</f>
        <v>0</v>
      </c>
      <c r="H8" s="472">
        <f>DataBase!H13</f>
        <v>0</v>
      </c>
      <c r="I8" s="472">
        <f>DataBase!I13</f>
        <v>0</v>
      </c>
      <c r="J8" s="472">
        <f>DataBase!J13</f>
        <v>0</v>
      </c>
      <c r="K8" s="472">
        <f>DataBase!K13</f>
        <v>0</v>
      </c>
      <c r="L8" s="472">
        <f>DataBase!L13</f>
        <v>0</v>
      </c>
      <c r="M8" s="472">
        <f>DataBase!M13</f>
        <v>0</v>
      </c>
      <c r="N8" s="472">
        <f>DataBase!N13</f>
        <v>0</v>
      </c>
      <c r="O8" s="302">
        <f t="shared" si="0"/>
        <v>0</v>
      </c>
      <c r="P8" s="303">
        <f t="shared" ref="P8:P20" si="2">SUM(C8:D8)</f>
        <v>0</v>
      </c>
      <c r="Q8" s="302">
        <f t="shared" si="1"/>
        <v>0</v>
      </c>
      <c r="R8" s="4"/>
    </row>
    <row r="9" spans="1:18" x14ac:dyDescent="0.2">
      <c r="A9" s="315" t="s">
        <v>114</v>
      </c>
      <c r="B9" s="705"/>
      <c r="C9" s="472">
        <f>DataBase!C14</f>
        <v>0</v>
      </c>
      <c r="D9" s="472">
        <f>DataBase!D14</f>
        <v>0</v>
      </c>
      <c r="E9" s="472">
        <f>DataBase!E14</f>
        <v>0</v>
      </c>
      <c r="F9" s="472">
        <f>DataBase!F14</f>
        <v>0</v>
      </c>
      <c r="G9" s="472">
        <f>DataBase!G14</f>
        <v>0</v>
      </c>
      <c r="H9" s="472">
        <f>DataBase!H14</f>
        <v>0</v>
      </c>
      <c r="I9" s="472">
        <f>DataBase!I14</f>
        <v>0</v>
      </c>
      <c r="J9" s="472">
        <f>DataBase!J14</f>
        <v>0</v>
      </c>
      <c r="K9" s="472">
        <f>DataBase!K14</f>
        <v>0</v>
      </c>
      <c r="L9" s="472">
        <f>DataBase!L14</f>
        <v>0</v>
      </c>
      <c r="M9" s="472">
        <f>DataBase!M14</f>
        <v>0</v>
      </c>
      <c r="N9" s="472">
        <f>DataBase!N14</f>
        <v>0</v>
      </c>
      <c r="O9" s="302">
        <f>SUM(C9:N9)</f>
        <v>0</v>
      </c>
      <c r="P9" s="303">
        <f t="shared" si="2"/>
        <v>0</v>
      </c>
      <c r="Q9" s="302">
        <f>O9-P9</f>
        <v>0</v>
      </c>
      <c r="R9" s="4"/>
    </row>
    <row r="10" spans="1:18" x14ac:dyDescent="0.2">
      <c r="A10" s="315" t="s">
        <v>688</v>
      </c>
      <c r="B10" s="704"/>
      <c r="C10" s="472"/>
      <c r="D10" s="472"/>
      <c r="E10" s="472"/>
      <c r="F10" s="472"/>
      <c r="G10" s="472"/>
      <c r="H10" s="472"/>
      <c r="I10" s="472"/>
      <c r="J10" s="472"/>
      <c r="K10" s="472"/>
      <c r="L10" s="472"/>
      <c r="M10" s="472"/>
      <c r="N10" s="472"/>
      <c r="O10" s="302"/>
      <c r="P10" s="303"/>
      <c r="Q10" s="302"/>
      <c r="R10" s="4"/>
    </row>
    <row r="11" spans="1:18" ht="12.75" customHeight="1" x14ac:dyDescent="0.2">
      <c r="A11" s="308" t="s">
        <v>1196</v>
      </c>
      <c r="B11" s="701"/>
      <c r="C11" s="303">
        <v>0</v>
      </c>
      <c r="D11" s="303">
        <v>0</v>
      </c>
      <c r="E11" s="303">
        <v>0</v>
      </c>
      <c r="F11" s="303">
        <v>0</v>
      </c>
      <c r="G11" s="303">
        <v>0</v>
      </c>
      <c r="H11" s="303">
        <v>0</v>
      </c>
      <c r="I11" s="303">
        <v>0</v>
      </c>
      <c r="J11" s="303">
        <v>0</v>
      </c>
      <c r="K11" s="303">
        <v>0</v>
      </c>
      <c r="L11" s="303">
        <v>0</v>
      </c>
      <c r="M11" s="303">
        <v>0</v>
      </c>
      <c r="N11" s="303">
        <v>0</v>
      </c>
      <c r="O11" s="302">
        <f t="shared" si="0"/>
        <v>0</v>
      </c>
      <c r="P11" s="303">
        <f t="shared" si="2"/>
        <v>0</v>
      </c>
      <c r="Q11" s="302">
        <f t="shared" si="1"/>
        <v>0</v>
      </c>
      <c r="R11" s="4"/>
    </row>
    <row r="12" spans="1:18" x14ac:dyDescent="0.2">
      <c r="A12" s="308" t="s">
        <v>1197</v>
      </c>
      <c r="B12" s="701"/>
      <c r="C12" s="303">
        <v>0</v>
      </c>
      <c r="D12" s="303">
        <v>0</v>
      </c>
      <c r="E12" s="303">
        <v>0</v>
      </c>
      <c r="F12" s="303">
        <v>0</v>
      </c>
      <c r="G12" s="303">
        <v>0</v>
      </c>
      <c r="H12" s="303">
        <v>0</v>
      </c>
      <c r="I12" s="303">
        <v>0</v>
      </c>
      <c r="J12" s="303">
        <v>0</v>
      </c>
      <c r="K12" s="303">
        <v>0</v>
      </c>
      <c r="L12" s="303">
        <v>0</v>
      </c>
      <c r="M12" s="303">
        <v>0</v>
      </c>
      <c r="N12" s="303">
        <v>0</v>
      </c>
      <c r="O12" s="302">
        <f t="shared" si="0"/>
        <v>0</v>
      </c>
      <c r="P12" s="303">
        <f t="shared" si="2"/>
        <v>0</v>
      </c>
      <c r="Q12" s="302">
        <f t="shared" si="1"/>
        <v>0</v>
      </c>
      <c r="R12" s="4"/>
    </row>
    <row r="13" spans="1:18" x14ac:dyDescent="0.2">
      <c r="A13" s="308" t="s">
        <v>1198</v>
      </c>
      <c r="B13" s="701"/>
      <c r="C13" s="303">
        <v>0</v>
      </c>
      <c r="D13" s="303">
        <v>0</v>
      </c>
      <c r="E13" s="303">
        <v>0</v>
      </c>
      <c r="F13" s="303">
        <v>0</v>
      </c>
      <c r="G13" s="303">
        <v>0</v>
      </c>
      <c r="H13" s="303">
        <v>0</v>
      </c>
      <c r="I13" s="303">
        <v>0</v>
      </c>
      <c r="J13" s="303">
        <v>0</v>
      </c>
      <c r="K13" s="303">
        <v>0</v>
      </c>
      <c r="L13" s="303">
        <v>0</v>
      </c>
      <c r="M13" s="303">
        <v>0</v>
      </c>
      <c r="N13" s="303">
        <v>0</v>
      </c>
      <c r="O13" s="302">
        <f t="shared" si="0"/>
        <v>0</v>
      </c>
      <c r="P13" s="303">
        <f t="shared" si="2"/>
        <v>0</v>
      </c>
      <c r="Q13" s="302">
        <f t="shared" si="1"/>
        <v>0</v>
      </c>
      <c r="R13" s="4"/>
    </row>
    <row r="14" spans="1:18" x14ac:dyDescent="0.2">
      <c r="A14" s="308" t="s">
        <v>1199</v>
      </c>
      <c r="B14" s="701"/>
      <c r="C14" s="303">
        <v>0</v>
      </c>
      <c r="D14" s="303">
        <v>0</v>
      </c>
      <c r="E14" s="303">
        <v>0</v>
      </c>
      <c r="F14" s="303">
        <v>0</v>
      </c>
      <c r="G14" s="303">
        <v>0</v>
      </c>
      <c r="H14" s="303">
        <v>0</v>
      </c>
      <c r="I14" s="303">
        <v>0</v>
      </c>
      <c r="J14" s="303">
        <v>0</v>
      </c>
      <c r="K14" s="303">
        <v>0</v>
      </c>
      <c r="L14" s="303">
        <v>0</v>
      </c>
      <c r="M14" s="303">
        <v>0</v>
      </c>
      <c r="N14" s="303">
        <v>0</v>
      </c>
      <c r="O14" s="302">
        <f t="shared" si="0"/>
        <v>0</v>
      </c>
      <c r="P14" s="303">
        <f t="shared" si="2"/>
        <v>0</v>
      </c>
      <c r="Q14" s="302">
        <f t="shared" si="1"/>
        <v>0</v>
      </c>
      <c r="R14" s="4"/>
    </row>
    <row r="15" spans="1:18" x14ac:dyDescent="0.2">
      <c r="A15" s="308" t="s">
        <v>1200</v>
      </c>
      <c r="B15" s="701"/>
      <c r="C15" s="303">
        <v>0</v>
      </c>
      <c r="D15" s="303">
        <v>0</v>
      </c>
      <c r="E15" s="303">
        <v>0</v>
      </c>
      <c r="F15" s="303">
        <v>0</v>
      </c>
      <c r="G15" s="303">
        <v>0</v>
      </c>
      <c r="H15" s="303">
        <v>0</v>
      </c>
      <c r="I15" s="303">
        <v>0</v>
      </c>
      <c r="J15" s="303">
        <v>0</v>
      </c>
      <c r="K15" s="303">
        <v>0</v>
      </c>
      <c r="L15" s="303">
        <v>0</v>
      </c>
      <c r="M15" s="303">
        <v>0</v>
      </c>
      <c r="N15" s="303">
        <v>0</v>
      </c>
      <c r="O15" s="302">
        <f t="shared" si="0"/>
        <v>0</v>
      </c>
      <c r="P15" s="303">
        <f t="shared" si="2"/>
        <v>0</v>
      </c>
      <c r="Q15" s="302">
        <f t="shared" si="1"/>
        <v>0</v>
      </c>
      <c r="R15" s="4"/>
    </row>
    <row r="16" spans="1:18" x14ac:dyDescent="0.2">
      <c r="A16" s="308" t="s">
        <v>1201</v>
      </c>
      <c r="B16" s="701"/>
      <c r="C16" s="303">
        <v>0</v>
      </c>
      <c r="D16" s="303">
        <v>0</v>
      </c>
      <c r="E16" s="303">
        <v>0</v>
      </c>
      <c r="F16" s="303">
        <v>0</v>
      </c>
      <c r="G16" s="303">
        <v>0</v>
      </c>
      <c r="H16" s="303">
        <v>0</v>
      </c>
      <c r="I16" s="303">
        <v>0</v>
      </c>
      <c r="J16" s="303">
        <v>0</v>
      </c>
      <c r="K16" s="303">
        <v>0</v>
      </c>
      <c r="L16" s="303">
        <v>0</v>
      </c>
      <c r="M16" s="303">
        <v>0</v>
      </c>
      <c r="N16" s="303">
        <v>0</v>
      </c>
      <c r="O16" s="302">
        <f t="shared" si="0"/>
        <v>0</v>
      </c>
      <c r="P16" s="303">
        <f t="shared" si="2"/>
        <v>0</v>
      </c>
      <c r="Q16" s="302">
        <f t="shared" si="1"/>
        <v>0</v>
      </c>
      <c r="R16" s="4"/>
    </row>
    <row r="17" spans="1:22" x14ac:dyDescent="0.2">
      <c r="A17" s="308" t="s">
        <v>1202</v>
      </c>
      <c r="B17" s="701"/>
      <c r="C17" s="303">
        <v>0</v>
      </c>
      <c r="D17" s="303">
        <v>0</v>
      </c>
      <c r="E17" s="303">
        <v>0</v>
      </c>
      <c r="F17" s="303">
        <v>0</v>
      </c>
      <c r="G17" s="303">
        <v>0</v>
      </c>
      <c r="H17" s="303">
        <v>0</v>
      </c>
      <c r="I17" s="303">
        <v>0</v>
      </c>
      <c r="J17" s="303">
        <v>0</v>
      </c>
      <c r="K17" s="303">
        <v>0</v>
      </c>
      <c r="L17" s="303">
        <v>0</v>
      </c>
      <c r="M17" s="303">
        <v>0</v>
      </c>
      <c r="N17" s="303">
        <v>0</v>
      </c>
      <c r="O17" s="302">
        <f t="shared" si="0"/>
        <v>0</v>
      </c>
      <c r="P17" s="303">
        <f t="shared" si="2"/>
        <v>0</v>
      </c>
      <c r="Q17" s="302">
        <f t="shared" si="1"/>
        <v>0</v>
      </c>
      <c r="R17" s="4"/>
    </row>
    <row r="18" spans="1:22" x14ac:dyDescent="0.2">
      <c r="A18" s="308" t="s">
        <v>1203</v>
      </c>
      <c r="B18" s="706"/>
      <c r="C18" s="303">
        <v>0</v>
      </c>
      <c r="D18" s="303">
        <v>0</v>
      </c>
      <c r="E18" s="303">
        <v>0</v>
      </c>
      <c r="F18" s="303">
        <v>0</v>
      </c>
      <c r="G18" s="303">
        <v>0</v>
      </c>
      <c r="H18" s="303">
        <v>0</v>
      </c>
      <c r="I18" s="303">
        <v>0</v>
      </c>
      <c r="J18" s="303">
        <v>0</v>
      </c>
      <c r="K18" s="303">
        <v>0</v>
      </c>
      <c r="L18" s="303">
        <v>0</v>
      </c>
      <c r="M18" s="303">
        <v>0</v>
      </c>
      <c r="N18" s="303">
        <v>0</v>
      </c>
      <c r="O18" s="302">
        <f t="shared" si="0"/>
        <v>0</v>
      </c>
      <c r="P18" s="303">
        <f t="shared" si="2"/>
        <v>0</v>
      </c>
      <c r="Q18" s="302">
        <f t="shared" si="1"/>
        <v>0</v>
      </c>
      <c r="R18" s="4"/>
    </row>
    <row r="19" spans="1:22" x14ac:dyDescent="0.2">
      <c r="A19" s="308" t="s">
        <v>686</v>
      </c>
      <c r="B19" s="706"/>
      <c r="C19" s="472">
        <f>DataBase!C43</f>
        <v>552</v>
      </c>
      <c r="D19" s="472">
        <f>DataBase!D43</f>
        <v>552</v>
      </c>
      <c r="E19" s="472">
        <f>DataBase!E43</f>
        <v>552</v>
      </c>
      <c r="F19" s="472">
        <f>DataBase!F43</f>
        <v>552</v>
      </c>
      <c r="G19" s="472">
        <f>DataBase!G43</f>
        <v>552</v>
      </c>
      <c r="H19" s="472">
        <f>DataBase!H43</f>
        <v>552</v>
      </c>
      <c r="I19" s="472">
        <f>DataBase!I43</f>
        <v>552</v>
      </c>
      <c r="J19" s="472">
        <f>DataBase!J43</f>
        <v>552</v>
      </c>
      <c r="K19" s="472">
        <f>DataBase!K43</f>
        <v>552</v>
      </c>
      <c r="L19" s="472">
        <f>DataBase!L43</f>
        <v>552</v>
      </c>
      <c r="M19" s="472">
        <f>DataBase!M43</f>
        <v>552</v>
      </c>
      <c r="N19" s="472">
        <f>DataBase!N43</f>
        <v>552</v>
      </c>
      <c r="O19" s="302">
        <f t="shared" si="0"/>
        <v>6624</v>
      </c>
      <c r="P19" s="303">
        <f t="shared" si="2"/>
        <v>1104</v>
      </c>
      <c r="Q19" s="302">
        <f t="shared" si="1"/>
        <v>5520</v>
      </c>
      <c r="R19" s="4"/>
    </row>
    <row r="20" spans="1:22" x14ac:dyDescent="0.2">
      <c r="A20" s="308" t="s">
        <v>687</v>
      </c>
      <c r="B20" s="706"/>
      <c r="C20" s="474">
        <f>DataBase!C49</f>
        <v>34</v>
      </c>
      <c r="D20" s="474">
        <f>DataBase!D49</f>
        <v>34</v>
      </c>
      <c r="E20" s="474">
        <f>DataBase!E49</f>
        <v>34</v>
      </c>
      <c r="F20" s="474">
        <f>DataBase!F49</f>
        <v>0</v>
      </c>
      <c r="G20" s="474">
        <f>DataBase!G49</f>
        <v>0</v>
      </c>
      <c r="H20" s="474">
        <f>DataBase!H49</f>
        <v>0</v>
      </c>
      <c r="I20" s="474">
        <f>DataBase!I49</f>
        <v>0</v>
      </c>
      <c r="J20" s="474">
        <f>DataBase!J49</f>
        <v>0</v>
      </c>
      <c r="K20" s="474">
        <f>DataBase!K49</f>
        <v>0</v>
      </c>
      <c r="L20" s="474">
        <f>DataBase!L49</f>
        <v>0</v>
      </c>
      <c r="M20" s="474">
        <f>DataBase!M49</f>
        <v>34</v>
      </c>
      <c r="N20" s="474">
        <f>DataBase!N49</f>
        <v>34</v>
      </c>
      <c r="O20" s="304">
        <f t="shared" si="0"/>
        <v>170</v>
      </c>
      <c r="P20" s="313">
        <f t="shared" si="2"/>
        <v>68</v>
      </c>
      <c r="Q20" s="304">
        <f t="shared" si="1"/>
        <v>102</v>
      </c>
      <c r="R20" s="4"/>
    </row>
    <row r="21" spans="1:22" ht="3.95" customHeight="1" x14ac:dyDescent="0.2">
      <c r="A21" s="308"/>
      <c r="B21" s="706"/>
      <c r="C21" s="474"/>
      <c r="D21" s="474"/>
      <c r="E21" s="474"/>
      <c r="F21" s="474"/>
      <c r="G21" s="474"/>
      <c r="H21" s="474"/>
      <c r="I21" s="474"/>
      <c r="J21" s="474"/>
      <c r="K21" s="474"/>
      <c r="L21" s="474"/>
      <c r="M21" s="474"/>
      <c r="N21" s="474"/>
      <c r="O21" s="304"/>
      <c r="P21" s="313"/>
      <c r="Q21" s="304"/>
      <c r="R21" s="4"/>
    </row>
    <row r="22" spans="1:22" x14ac:dyDescent="0.2">
      <c r="A22" s="467" t="s">
        <v>1204</v>
      </c>
      <c r="B22" s="706"/>
      <c r="C22" s="503">
        <f>SUM(C7:C20)</f>
        <v>47564</v>
      </c>
      <c r="D22" s="503">
        <f t="shared" ref="D22:Q22" si="3">SUM(D7:D20)</f>
        <v>47537</v>
      </c>
      <c r="E22" s="503">
        <f t="shared" si="3"/>
        <v>49036</v>
      </c>
      <c r="F22" s="503">
        <f t="shared" si="3"/>
        <v>17245</v>
      </c>
      <c r="G22" s="503">
        <f t="shared" si="3"/>
        <v>17038</v>
      </c>
      <c r="H22" s="503">
        <f t="shared" si="3"/>
        <v>17147</v>
      </c>
      <c r="I22" s="503">
        <f t="shared" si="3"/>
        <v>17420</v>
      </c>
      <c r="J22" s="503">
        <f t="shared" si="3"/>
        <v>17080</v>
      </c>
      <c r="K22" s="503">
        <f t="shared" si="3"/>
        <v>17033</v>
      </c>
      <c r="L22" s="503">
        <f t="shared" si="3"/>
        <v>16633</v>
      </c>
      <c r="M22" s="503">
        <f t="shared" si="3"/>
        <v>47086</v>
      </c>
      <c r="N22" s="503">
        <f t="shared" si="3"/>
        <v>47148</v>
      </c>
      <c r="O22" s="503">
        <f t="shared" si="3"/>
        <v>357967</v>
      </c>
      <c r="P22" s="503">
        <f t="shared" si="3"/>
        <v>95101</v>
      </c>
      <c r="Q22" s="503">
        <f t="shared" si="3"/>
        <v>262866</v>
      </c>
      <c r="R22" s="4"/>
    </row>
    <row r="23" spans="1:22" ht="8.1" customHeight="1" x14ac:dyDescent="0.2">
      <c r="A23" s="297"/>
      <c r="B23" s="701"/>
      <c r="C23" s="473"/>
      <c r="D23" s="473"/>
      <c r="E23" s="473"/>
      <c r="F23" s="473"/>
      <c r="G23" s="473"/>
      <c r="H23" s="473"/>
      <c r="I23" s="473"/>
      <c r="J23" s="473"/>
      <c r="K23" s="473"/>
      <c r="L23" s="473"/>
      <c r="M23" s="473"/>
      <c r="N23" s="473"/>
      <c r="O23" s="301"/>
      <c r="P23" s="301"/>
      <c r="Q23" s="301"/>
      <c r="R23" s="4"/>
    </row>
    <row r="24" spans="1:22" x14ac:dyDescent="0.2">
      <c r="A24" s="700" t="s">
        <v>684</v>
      </c>
      <c r="B24" s="707"/>
      <c r="C24" s="472"/>
      <c r="D24" s="472"/>
      <c r="E24" s="472"/>
      <c r="F24" s="472"/>
      <c r="G24" s="472"/>
      <c r="H24" s="472"/>
      <c r="I24" s="472"/>
      <c r="J24" s="472"/>
      <c r="K24" s="472"/>
      <c r="L24" s="472"/>
      <c r="M24" s="472"/>
      <c r="N24" s="472"/>
      <c r="O24" s="302"/>
      <c r="P24" s="303"/>
      <c r="Q24" s="302"/>
      <c r="R24" s="4"/>
    </row>
    <row r="25" spans="1:22" x14ac:dyDescent="0.2">
      <c r="A25" s="315" t="s">
        <v>685</v>
      </c>
      <c r="B25" s="707"/>
      <c r="C25" s="472">
        <f>DataBase!C15</f>
        <v>4397</v>
      </c>
      <c r="D25" s="472">
        <f>DataBase!D15</f>
        <v>3795</v>
      </c>
      <c r="E25" s="472">
        <f>DataBase!E15</f>
        <v>3535</v>
      </c>
      <c r="F25" s="472">
        <f>DataBase!F15</f>
        <v>2978</v>
      </c>
      <c r="G25" s="472">
        <f>DataBase!G15</f>
        <v>2692</v>
      </c>
      <c r="H25" s="472">
        <f>DataBase!H15</f>
        <v>2798</v>
      </c>
      <c r="I25" s="472">
        <f>DataBase!I15</f>
        <v>2865</v>
      </c>
      <c r="J25" s="472">
        <f>DataBase!J15</f>
        <v>2880</v>
      </c>
      <c r="K25" s="472">
        <f>DataBase!K15</f>
        <v>2792</v>
      </c>
      <c r="L25" s="472">
        <f>DataBase!L15</f>
        <v>2985</v>
      </c>
      <c r="M25" s="472">
        <f>DataBase!M15</f>
        <v>3471</v>
      </c>
      <c r="N25" s="472">
        <f>DataBase!N15</f>
        <v>4126</v>
      </c>
      <c r="O25" s="302">
        <f>SUM(C25:N25)</f>
        <v>39314</v>
      </c>
      <c r="P25" s="303">
        <f t="shared" ref="P25:P32" si="4">SUM(C25:D25)</f>
        <v>8192</v>
      </c>
      <c r="Q25" s="302">
        <f t="shared" ref="Q25:Q32" si="5">O25-P25</f>
        <v>31122</v>
      </c>
      <c r="R25" s="4"/>
    </row>
    <row r="26" spans="1:22" x14ac:dyDescent="0.2">
      <c r="A26" s="315" t="s">
        <v>84</v>
      </c>
      <c r="B26" s="705"/>
      <c r="C26" s="472">
        <f>DataBase!C16</f>
        <v>0</v>
      </c>
      <c r="D26" s="472">
        <f>DataBase!D16</f>
        <v>0</v>
      </c>
      <c r="E26" s="472">
        <f>DataBase!E16</f>
        <v>0</v>
      </c>
      <c r="F26" s="472">
        <f>DataBase!F16</f>
        <v>0</v>
      </c>
      <c r="G26" s="472">
        <f>DataBase!G16</f>
        <v>0</v>
      </c>
      <c r="H26" s="472">
        <f>DataBase!H16</f>
        <v>0</v>
      </c>
      <c r="I26" s="472">
        <f>DataBase!I16</f>
        <v>0</v>
      </c>
      <c r="J26" s="472">
        <f>DataBase!J16</f>
        <v>0</v>
      </c>
      <c r="K26" s="472">
        <f>DataBase!K16</f>
        <v>0</v>
      </c>
      <c r="L26" s="472">
        <f>DataBase!L16</f>
        <v>0</v>
      </c>
      <c r="M26" s="472">
        <f>DataBase!M16</f>
        <v>0</v>
      </c>
      <c r="N26" s="472">
        <f>DataBase!N16</f>
        <v>0</v>
      </c>
      <c r="O26" s="302">
        <f>SUM(C26:N26)</f>
        <v>0</v>
      </c>
      <c r="P26" s="303">
        <f t="shared" si="4"/>
        <v>0</v>
      </c>
      <c r="Q26" s="302">
        <f>O26-P26</f>
        <v>0</v>
      </c>
      <c r="R26" s="4"/>
    </row>
    <row r="27" spans="1:22" x14ac:dyDescent="0.2">
      <c r="A27" s="315" t="s">
        <v>114</v>
      </c>
      <c r="B27" s="705"/>
      <c r="C27" s="472">
        <f>DataBase!C17</f>
        <v>0</v>
      </c>
      <c r="D27" s="472">
        <f>DataBase!D17</f>
        <v>0</v>
      </c>
      <c r="E27" s="472">
        <f>DataBase!E17</f>
        <v>0</v>
      </c>
      <c r="F27" s="472">
        <f>DataBase!F17</f>
        <v>0</v>
      </c>
      <c r="G27" s="472">
        <f>DataBase!G17</f>
        <v>0</v>
      </c>
      <c r="H27" s="472">
        <f>DataBase!H17</f>
        <v>0</v>
      </c>
      <c r="I27" s="472">
        <f>DataBase!I17</f>
        <v>0</v>
      </c>
      <c r="J27" s="472">
        <f>DataBase!J17</f>
        <v>0</v>
      </c>
      <c r="K27" s="472">
        <f>DataBase!K17</f>
        <v>0</v>
      </c>
      <c r="L27" s="472">
        <f>DataBase!L17</f>
        <v>0</v>
      </c>
      <c r="M27" s="472">
        <f>DataBase!M17</f>
        <v>0</v>
      </c>
      <c r="N27" s="472">
        <f>DataBase!N17</f>
        <v>0</v>
      </c>
      <c r="O27" s="302">
        <f>SUM(C27:N27)</f>
        <v>0</v>
      </c>
      <c r="P27" s="303">
        <f t="shared" si="4"/>
        <v>0</v>
      </c>
      <c r="Q27" s="302">
        <f>O27-P27</f>
        <v>0</v>
      </c>
      <c r="R27" s="4"/>
    </row>
    <row r="28" spans="1:22" x14ac:dyDescent="0.2">
      <c r="A28" s="315" t="s">
        <v>689</v>
      </c>
      <c r="B28" s="707"/>
      <c r="C28" s="472"/>
      <c r="D28" s="472"/>
      <c r="E28" s="472"/>
      <c r="F28" s="472"/>
      <c r="G28" s="472"/>
      <c r="H28" s="472"/>
      <c r="I28" s="472"/>
      <c r="J28" s="472"/>
      <c r="K28" s="472"/>
      <c r="L28" s="472"/>
      <c r="M28" s="472"/>
      <c r="N28" s="472"/>
      <c r="O28" s="302"/>
      <c r="P28" s="303"/>
      <c r="Q28" s="302"/>
      <c r="R28" s="4"/>
    </row>
    <row r="29" spans="1:22" ht="13.5" customHeight="1" x14ac:dyDescent="0.2">
      <c r="A29" s="315" t="s">
        <v>690</v>
      </c>
      <c r="B29" s="707"/>
      <c r="C29" s="303">
        <v>0</v>
      </c>
      <c r="D29" s="303">
        <v>0</v>
      </c>
      <c r="E29" s="303">
        <v>0</v>
      </c>
      <c r="F29" s="303">
        <v>0</v>
      </c>
      <c r="G29" s="303">
        <v>0</v>
      </c>
      <c r="H29" s="303">
        <v>0</v>
      </c>
      <c r="I29" s="303">
        <v>0</v>
      </c>
      <c r="J29" s="303">
        <v>0</v>
      </c>
      <c r="K29" s="303">
        <v>0</v>
      </c>
      <c r="L29" s="303">
        <v>0</v>
      </c>
      <c r="M29" s="303">
        <v>0</v>
      </c>
      <c r="N29" s="303">
        <v>0</v>
      </c>
      <c r="O29" s="302">
        <f>SUM(C29:N29)</f>
        <v>0</v>
      </c>
      <c r="P29" s="303">
        <f t="shared" si="4"/>
        <v>0</v>
      </c>
      <c r="Q29" s="302">
        <f t="shared" si="5"/>
        <v>0</v>
      </c>
      <c r="R29" s="4"/>
    </row>
    <row r="30" spans="1:22" ht="13.5" customHeight="1" x14ac:dyDescent="0.2">
      <c r="A30" s="315" t="s">
        <v>691</v>
      </c>
      <c r="B30" s="707"/>
      <c r="C30" s="303">
        <v>0</v>
      </c>
      <c r="D30" s="303">
        <v>0</v>
      </c>
      <c r="E30" s="303">
        <v>0</v>
      </c>
      <c r="F30" s="303">
        <v>0</v>
      </c>
      <c r="G30" s="303">
        <v>0</v>
      </c>
      <c r="H30" s="303">
        <v>0</v>
      </c>
      <c r="I30" s="303">
        <v>0</v>
      </c>
      <c r="J30" s="303">
        <v>0</v>
      </c>
      <c r="K30" s="303">
        <v>0</v>
      </c>
      <c r="L30" s="303">
        <v>0</v>
      </c>
      <c r="M30" s="303">
        <v>0</v>
      </c>
      <c r="N30" s="303">
        <v>0</v>
      </c>
      <c r="O30" s="302">
        <f>SUM(C30:N30)</f>
        <v>0</v>
      </c>
      <c r="P30" s="303">
        <f t="shared" si="4"/>
        <v>0</v>
      </c>
      <c r="Q30" s="302">
        <f t="shared" si="5"/>
        <v>0</v>
      </c>
      <c r="R30" s="4"/>
    </row>
    <row r="31" spans="1:22" ht="13.5" customHeight="1" x14ac:dyDescent="0.2">
      <c r="A31" s="308" t="s">
        <v>686</v>
      </c>
      <c r="B31" s="707"/>
      <c r="C31" s="303">
        <v>0</v>
      </c>
      <c r="D31" s="303">
        <v>0</v>
      </c>
      <c r="E31" s="303">
        <v>0</v>
      </c>
      <c r="F31" s="303">
        <v>0</v>
      </c>
      <c r="G31" s="303">
        <v>0</v>
      </c>
      <c r="H31" s="303">
        <v>0</v>
      </c>
      <c r="I31" s="303">
        <v>0</v>
      </c>
      <c r="J31" s="303">
        <v>0</v>
      </c>
      <c r="K31" s="303">
        <v>0</v>
      </c>
      <c r="L31" s="303">
        <v>0</v>
      </c>
      <c r="M31" s="303">
        <v>0</v>
      </c>
      <c r="N31" s="303">
        <v>0</v>
      </c>
      <c r="O31" s="302">
        <f>SUM(C31:N31)</f>
        <v>0</v>
      </c>
      <c r="P31" s="303">
        <f t="shared" si="4"/>
        <v>0</v>
      </c>
      <c r="Q31" s="302">
        <f>O31-P31</f>
        <v>0</v>
      </c>
      <c r="R31" s="4"/>
    </row>
    <row r="32" spans="1:22" x14ac:dyDescent="0.2">
      <c r="A32" s="308" t="s">
        <v>687</v>
      </c>
      <c r="B32" s="707"/>
      <c r="C32" s="474">
        <f>DataBase!C50</f>
        <v>219</v>
      </c>
      <c r="D32" s="474">
        <f>DataBase!D50</f>
        <v>175</v>
      </c>
      <c r="E32" s="474">
        <f>DataBase!E50</f>
        <v>132</v>
      </c>
      <c r="F32" s="474">
        <f>DataBase!F50</f>
        <v>0</v>
      </c>
      <c r="G32" s="474">
        <f>DataBase!G50</f>
        <v>0</v>
      </c>
      <c r="H32" s="474">
        <f>DataBase!H50</f>
        <v>0</v>
      </c>
      <c r="I32" s="474">
        <f>DataBase!I50</f>
        <v>0</v>
      </c>
      <c r="J32" s="474">
        <f>DataBase!J50</f>
        <v>0</v>
      </c>
      <c r="K32" s="474">
        <f>DataBase!K50</f>
        <v>0</v>
      </c>
      <c r="L32" s="474">
        <f>DataBase!L50</f>
        <v>0</v>
      </c>
      <c r="M32" s="474">
        <f>DataBase!M50</f>
        <v>132</v>
      </c>
      <c r="N32" s="474">
        <f>DataBase!N50</f>
        <v>219</v>
      </c>
      <c r="O32" s="542">
        <f>SUM(C32:N32)</f>
        <v>877</v>
      </c>
      <c r="P32" s="313">
        <f t="shared" si="4"/>
        <v>394</v>
      </c>
      <c r="Q32" s="304">
        <f t="shared" si="5"/>
        <v>483</v>
      </c>
      <c r="R32" s="4"/>
      <c r="S32" s="6"/>
      <c r="T32" s="6"/>
      <c r="U32" s="6"/>
      <c r="V32" s="6"/>
    </row>
    <row r="33" spans="1:30" ht="3.95" customHeight="1" x14ac:dyDescent="0.2">
      <c r="A33" s="297"/>
      <c r="B33" s="701"/>
      <c r="C33" s="305"/>
      <c r="D33" s="305"/>
      <c r="E33" s="305"/>
      <c r="F33" s="305"/>
      <c r="G33" s="305"/>
      <c r="H33" s="305"/>
      <c r="I33" s="305"/>
      <c r="J33" s="305"/>
      <c r="K33" s="305"/>
      <c r="L33" s="305"/>
      <c r="M33" s="305"/>
      <c r="N33" s="305"/>
      <c r="O33" s="305"/>
      <c r="P33" s="305"/>
      <c r="Q33" s="305"/>
      <c r="R33" s="4"/>
    </row>
    <row r="34" spans="1:30" x14ac:dyDescent="0.2">
      <c r="A34" s="467" t="s">
        <v>1206</v>
      </c>
      <c r="B34" s="708"/>
      <c r="C34" s="306">
        <f>SUM(C25:C33)</f>
        <v>4616</v>
      </c>
      <c r="D34" s="306">
        <f t="shared" ref="D34:Q34" si="6">SUM(D25:D33)</f>
        <v>3970</v>
      </c>
      <c r="E34" s="306">
        <f t="shared" si="6"/>
        <v>3667</v>
      </c>
      <c r="F34" s="306">
        <f t="shared" si="6"/>
        <v>2978</v>
      </c>
      <c r="G34" s="306">
        <f t="shared" si="6"/>
        <v>2692</v>
      </c>
      <c r="H34" s="306">
        <f t="shared" si="6"/>
        <v>2798</v>
      </c>
      <c r="I34" s="306">
        <f t="shared" si="6"/>
        <v>2865</v>
      </c>
      <c r="J34" s="306">
        <f t="shared" si="6"/>
        <v>2880</v>
      </c>
      <c r="K34" s="306">
        <f t="shared" si="6"/>
        <v>2792</v>
      </c>
      <c r="L34" s="306">
        <f t="shared" si="6"/>
        <v>2985</v>
      </c>
      <c r="M34" s="306">
        <f t="shared" si="6"/>
        <v>3603</v>
      </c>
      <c r="N34" s="306">
        <f t="shared" si="6"/>
        <v>4345</v>
      </c>
      <c r="O34" s="306">
        <f t="shared" si="6"/>
        <v>40191</v>
      </c>
      <c r="P34" s="306">
        <f t="shared" si="6"/>
        <v>8586</v>
      </c>
      <c r="Q34" s="306">
        <f t="shared" si="6"/>
        <v>31605</v>
      </c>
      <c r="R34" s="4"/>
    </row>
    <row r="35" spans="1:30" ht="8.1" customHeight="1" x14ac:dyDescent="0.2">
      <c r="A35" s="314"/>
      <c r="B35" s="707"/>
      <c r="C35" s="303"/>
      <c r="D35" s="303"/>
      <c r="E35" s="303"/>
      <c r="F35" s="303"/>
      <c r="G35" s="303"/>
      <c r="H35" s="303"/>
      <c r="I35" s="303"/>
      <c r="J35" s="303"/>
      <c r="K35" s="303"/>
      <c r="L35" s="303"/>
      <c r="M35" s="303"/>
      <c r="N35" s="303"/>
      <c r="O35" s="302"/>
      <c r="P35" s="303"/>
      <c r="Q35" s="302"/>
      <c r="R35" s="4"/>
    </row>
    <row r="36" spans="1:30" s="13" customFormat="1" ht="12.75" customHeight="1" x14ac:dyDescent="0.25">
      <c r="A36" s="715" t="s">
        <v>692</v>
      </c>
      <c r="B36" s="711"/>
      <c r="C36" s="580"/>
      <c r="D36" s="580"/>
      <c r="E36" s="580"/>
      <c r="F36" s="580"/>
      <c r="G36" s="580"/>
      <c r="H36" s="580"/>
      <c r="I36" s="580"/>
      <c r="J36" s="580"/>
      <c r="K36" s="580"/>
      <c r="L36" s="580"/>
      <c r="M36" s="580"/>
      <c r="N36" s="580"/>
      <c r="O36" s="580"/>
      <c r="P36" s="580"/>
      <c r="Q36" s="578"/>
      <c r="R36" s="712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s="13" customFormat="1" ht="12.75" customHeight="1" x14ac:dyDescent="0.25">
      <c r="A37" s="561" t="s">
        <v>693</v>
      </c>
      <c r="B37" s="711"/>
      <c r="C37" s="587">
        <f>DataBase!C30</f>
        <v>1155</v>
      </c>
      <c r="D37" s="587">
        <f>DataBase!D30</f>
        <v>1155</v>
      </c>
      <c r="E37" s="587">
        <f>DataBase!E30</f>
        <v>1155</v>
      </c>
      <c r="F37" s="587">
        <f>DataBase!F30</f>
        <v>1155</v>
      </c>
      <c r="G37" s="587">
        <f>DataBase!G30</f>
        <v>1155</v>
      </c>
      <c r="H37" s="587">
        <f>DataBase!H30</f>
        <v>1155</v>
      </c>
      <c r="I37" s="587">
        <f>DataBase!I30</f>
        <v>1155</v>
      </c>
      <c r="J37" s="587">
        <f>DataBase!J30</f>
        <v>1154</v>
      </c>
      <c r="K37" s="587">
        <f>DataBase!K30</f>
        <v>1154</v>
      </c>
      <c r="L37" s="587">
        <f>DataBase!L30</f>
        <v>1154</v>
      </c>
      <c r="M37" s="587">
        <f>DataBase!M30</f>
        <v>1155</v>
      </c>
      <c r="N37" s="587">
        <f>DataBase!N30</f>
        <v>1155</v>
      </c>
      <c r="O37" s="579">
        <f>SUM(C37:N37)</f>
        <v>13857</v>
      </c>
      <c r="P37" s="303">
        <f>SUM(C37:D37)</f>
        <v>2310</v>
      </c>
      <c r="Q37" s="579">
        <f>O37-P37</f>
        <v>11547</v>
      </c>
      <c r="R37" s="712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s="13" customFormat="1" ht="12.75" customHeight="1" x14ac:dyDescent="0.25">
      <c r="A38" s="561" t="s">
        <v>739</v>
      </c>
      <c r="B38" s="711"/>
      <c r="C38" s="587">
        <f>DataBase!C31</f>
        <v>0</v>
      </c>
      <c r="D38" s="587">
        <f>DataBase!D31</f>
        <v>0</v>
      </c>
      <c r="E38" s="587">
        <f>DataBase!E31</f>
        <v>0</v>
      </c>
      <c r="F38" s="587">
        <f>DataBase!F31</f>
        <v>0</v>
      </c>
      <c r="G38" s="587">
        <f>DataBase!G31</f>
        <v>0</v>
      </c>
      <c r="H38" s="587">
        <f>DataBase!H31</f>
        <v>2776</v>
      </c>
      <c r="I38" s="587">
        <f>DataBase!I31</f>
        <v>2776</v>
      </c>
      <c r="J38" s="587">
        <f>DataBase!J31</f>
        <v>2776</v>
      </c>
      <c r="K38" s="587">
        <f>DataBase!K31</f>
        <v>2776</v>
      </c>
      <c r="L38" s="587">
        <f>DataBase!L31</f>
        <v>2776</v>
      </c>
      <c r="M38" s="587">
        <f>DataBase!M31</f>
        <v>0</v>
      </c>
      <c r="N38" s="587">
        <f>DataBase!N31</f>
        <v>0</v>
      </c>
      <c r="O38" s="579">
        <f>SUM(C38:N38)</f>
        <v>13880</v>
      </c>
      <c r="P38" s="303">
        <f>SUM(C38:D38)</f>
        <v>0</v>
      </c>
      <c r="Q38" s="579">
        <f>O38-P38</f>
        <v>13880</v>
      </c>
      <c r="R38" s="712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s="13" customFormat="1" ht="12.75" customHeight="1" x14ac:dyDescent="0.25">
      <c r="A39" s="561" t="s">
        <v>740</v>
      </c>
      <c r="B39" s="711"/>
      <c r="C39" s="587">
        <f>DataBase!C32</f>
        <v>250</v>
      </c>
      <c r="D39" s="587">
        <f>DataBase!D32</f>
        <v>200</v>
      </c>
      <c r="E39" s="587">
        <f>DataBase!E32</f>
        <v>95</v>
      </c>
      <c r="F39" s="587">
        <f>DataBase!F32</f>
        <v>50</v>
      </c>
      <c r="G39" s="587">
        <f>DataBase!G32</f>
        <v>0</v>
      </c>
      <c r="H39" s="587">
        <f>DataBase!H32</f>
        <v>115</v>
      </c>
      <c r="I39" s="587">
        <f>DataBase!I32</f>
        <v>170</v>
      </c>
      <c r="J39" s="587">
        <f>DataBase!J32</f>
        <v>190</v>
      </c>
      <c r="K39" s="587">
        <f>DataBase!K32</f>
        <v>150</v>
      </c>
      <c r="L39" s="587">
        <f>DataBase!L32</f>
        <v>175</v>
      </c>
      <c r="M39" s="587">
        <f>DataBase!M32</f>
        <v>50</v>
      </c>
      <c r="N39" s="587">
        <f>DataBase!N32</f>
        <v>195</v>
      </c>
      <c r="O39" s="579">
        <f>SUM(C39:N39)</f>
        <v>1640</v>
      </c>
      <c r="P39" s="303">
        <f>SUM(C39:D39)</f>
        <v>450</v>
      </c>
      <c r="Q39" s="579">
        <f>O39-P39</f>
        <v>1190</v>
      </c>
      <c r="R39" s="712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s="13" customFormat="1" ht="12.75" customHeight="1" x14ac:dyDescent="0.25">
      <c r="A40" s="561" t="s">
        <v>29</v>
      </c>
      <c r="B40" s="711"/>
      <c r="C40" s="587">
        <f>DataBase!C33</f>
        <v>0</v>
      </c>
      <c r="D40" s="587">
        <f>DataBase!D33</f>
        <v>0</v>
      </c>
      <c r="E40" s="587">
        <f>DataBase!E33</f>
        <v>0</v>
      </c>
      <c r="F40" s="587">
        <f>DataBase!F33</f>
        <v>0</v>
      </c>
      <c r="G40" s="587">
        <f>DataBase!G33</f>
        <v>0</v>
      </c>
      <c r="H40" s="587">
        <f>DataBase!H33</f>
        <v>0</v>
      </c>
      <c r="I40" s="587">
        <f>DataBase!I33</f>
        <v>0</v>
      </c>
      <c r="J40" s="587">
        <f>DataBase!J33</f>
        <v>0</v>
      </c>
      <c r="K40" s="587">
        <f>DataBase!K33</f>
        <v>0</v>
      </c>
      <c r="L40" s="587">
        <f>DataBase!L33</f>
        <v>0</v>
      </c>
      <c r="M40" s="587">
        <f>DataBase!M33</f>
        <v>0</v>
      </c>
      <c r="N40" s="587">
        <f>DataBase!N33</f>
        <v>0</v>
      </c>
      <c r="O40" s="579">
        <f>SUM(C40:N40)</f>
        <v>0</v>
      </c>
      <c r="P40" s="303">
        <f>SUM(C40:D40)</f>
        <v>0</v>
      </c>
      <c r="Q40" s="579">
        <f>O40-P40</f>
        <v>0</v>
      </c>
      <c r="R40" s="712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s="13" customFormat="1" ht="12.75" customHeight="1" x14ac:dyDescent="0.25">
      <c r="A41" s="561" t="s">
        <v>741</v>
      </c>
      <c r="B41" s="711"/>
      <c r="C41" s="976">
        <f>DataBase!C34</f>
        <v>1702</v>
      </c>
      <c r="D41" s="976">
        <f>DataBase!D34</f>
        <v>1435</v>
      </c>
      <c r="E41" s="976">
        <f>DataBase!E34</f>
        <v>3835</v>
      </c>
      <c r="F41" s="976">
        <f>DataBase!F34</f>
        <v>1646</v>
      </c>
      <c r="G41" s="976">
        <f>DataBase!G34</f>
        <v>1185</v>
      </c>
      <c r="H41" s="976">
        <f>DataBase!H34</f>
        <v>1194</v>
      </c>
      <c r="I41" s="976">
        <f>DataBase!I34</f>
        <v>742</v>
      </c>
      <c r="J41" s="976">
        <f>DataBase!J34</f>
        <v>635</v>
      </c>
      <c r="K41" s="976">
        <f>DataBase!K34</f>
        <v>591</v>
      </c>
      <c r="L41" s="976">
        <f>DataBase!L34</f>
        <v>578</v>
      </c>
      <c r="M41" s="976">
        <f>DataBase!M34</f>
        <v>669</v>
      </c>
      <c r="N41" s="976">
        <f>DataBase!N34</f>
        <v>611</v>
      </c>
      <c r="O41" s="583">
        <f>SUM(C41:N41)</f>
        <v>14823</v>
      </c>
      <c r="P41" s="313">
        <f>SUM(C41:D41)</f>
        <v>3137</v>
      </c>
      <c r="Q41" s="583">
        <f>O41-P41</f>
        <v>11686</v>
      </c>
      <c r="R41" s="712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s="13" customFormat="1" ht="3.95" customHeight="1" x14ac:dyDescent="0.25">
      <c r="A42" s="564"/>
      <c r="B42" s="711"/>
      <c r="C42" s="580"/>
      <c r="D42" s="580"/>
      <c r="E42" s="580"/>
      <c r="F42" s="580"/>
      <c r="G42" s="580"/>
      <c r="H42" s="580"/>
      <c r="I42" s="580"/>
      <c r="J42" s="580"/>
      <c r="K42" s="580"/>
      <c r="L42" s="580"/>
      <c r="M42" s="580"/>
      <c r="N42" s="580"/>
      <c r="O42" s="579"/>
      <c r="P42" s="580"/>
      <c r="Q42" s="579"/>
      <c r="R42" s="712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s="13" customFormat="1" ht="12" customHeight="1" x14ac:dyDescent="0.25">
      <c r="A43" s="713" t="s">
        <v>742</v>
      </c>
      <c r="B43" s="714"/>
      <c r="C43" s="598">
        <f t="shared" ref="C43:Q43" si="7">SUM(C37:C41)</f>
        <v>3107</v>
      </c>
      <c r="D43" s="598">
        <f t="shared" si="7"/>
        <v>2790</v>
      </c>
      <c r="E43" s="598">
        <f t="shared" si="7"/>
        <v>5085</v>
      </c>
      <c r="F43" s="598">
        <f t="shared" si="7"/>
        <v>2851</v>
      </c>
      <c r="G43" s="598">
        <f t="shared" si="7"/>
        <v>2340</v>
      </c>
      <c r="H43" s="598">
        <f t="shared" si="7"/>
        <v>5240</v>
      </c>
      <c r="I43" s="598">
        <f t="shared" si="7"/>
        <v>4843</v>
      </c>
      <c r="J43" s="598">
        <f t="shared" si="7"/>
        <v>4755</v>
      </c>
      <c r="K43" s="598">
        <f t="shared" si="7"/>
        <v>4671</v>
      </c>
      <c r="L43" s="598">
        <f t="shared" si="7"/>
        <v>4683</v>
      </c>
      <c r="M43" s="598">
        <f t="shared" si="7"/>
        <v>1874</v>
      </c>
      <c r="N43" s="598">
        <f t="shared" si="7"/>
        <v>1961</v>
      </c>
      <c r="O43" s="598">
        <f t="shared" si="7"/>
        <v>44200</v>
      </c>
      <c r="P43" s="598">
        <f t="shared" si="7"/>
        <v>5897</v>
      </c>
      <c r="Q43" s="598">
        <f t="shared" si="7"/>
        <v>38303</v>
      </c>
      <c r="R43" s="712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6" customHeight="1" x14ac:dyDescent="0.2">
      <c r="A44" s="297"/>
      <c r="B44" s="701"/>
      <c r="C44" s="305"/>
      <c r="D44" s="305"/>
      <c r="E44" s="305"/>
      <c r="F44" s="305"/>
      <c r="G44" s="305"/>
      <c r="H44" s="305"/>
      <c r="I44" s="305"/>
      <c r="J44" s="305"/>
      <c r="K44" s="305"/>
      <c r="L44" s="305"/>
      <c r="M44" s="305"/>
      <c r="N44" s="305"/>
      <c r="O44" s="305"/>
      <c r="P44" s="305"/>
      <c r="Q44" s="305"/>
      <c r="R44" s="4"/>
    </row>
    <row r="45" spans="1:30" ht="12.75" customHeight="1" x14ac:dyDescent="0.2">
      <c r="A45" s="308" t="s">
        <v>743</v>
      </c>
      <c r="B45" s="701"/>
      <c r="C45" s="977">
        <f>DataBase!C22</f>
        <v>0</v>
      </c>
      <c r="D45" s="977">
        <f>DataBase!D22</f>
        <v>0</v>
      </c>
      <c r="E45" s="977">
        <f>DataBase!E22</f>
        <v>0</v>
      </c>
      <c r="F45" s="977">
        <f>DataBase!F22</f>
        <v>0</v>
      </c>
      <c r="G45" s="977">
        <f>DataBase!G22</f>
        <v>0</v>
      </c>
      <c r="H45" s="977">
        <f>DataBase!H22</f>
        <v>0</v>
      </c>
      <c r="I45" s="977">
        <f>DataBase!I22</f>
        <v>0</v>
      </c>
      <c r="J45" s="977">
        <f>DataBase!J22</f>
        <v>0</v>
      </c>
      <c r="K45" s="977">
        <f>DataBase!K22</f>
        <v>0</v>
      </c>
      <c r="L45" s="977">
        <f>DataBase!L22</f>
        <v>0</v>
      </c>
      <c r="M45" s="977">
        <f>DataBase!M22</f>
        <v>0</v>
      </c>
      <c r="N45" s="977">
        <f>DataBase!N22</f>
        <v>0</v>
      </c>
      <c r="O45" s="534">
        <f>SUM(C45:N45)</f>
        <v>0</v>
      </c>
      <c r="P45" s="303">
        <f>SUM(C45:D45)</f>
        <v>0</v>
      </c>
      <c r="Q45" s="534">
        <f>O45-P45</f>
        <v>0</v>
      </c>
      <c r="R45" s="4"/>
    </row>
    <row r="46" spans="1:30" x14ac:dyDescent="0.2">
      <c r="A46" s="308" t="s">
        <v>745</v>
      </c>
      <c r="B46" s="701"/>
      <c r="C46" s="977">
        <f>DataBase!C23</f>
        <v>0</v>
      </c>
      <c r="D46" s="977">
        <f>DataBase!D23</f>
        <v>0</v>
      </c>
      <c r="E46" s="977">
        <f>DataBase!E23</f>
        <v>0</v>
      </c>
      <c r="F46" s="977">
        <f>DataBase!F23</f>
        <v>0</v>
      </c>
      <c r="G46" s="977">
        <f>DataBase!G23</f>
        <v>0</v>
      </c>
      <c r="H46" s="977">
        <f>DataBase!H23</f>
        <v>0</v>
      </c>
      <c r="I46" s="977">
        <f>DataBase!I23</f>
        <v>0</v>
      </c>
      <c r="J46" s="977">
        <f>DataBase!J23</f>
        <v>0</v>
      </c>
      <c r="K46" s="977">
        <f>DataBase!K23</f>
        <v>0</v>
      </c>
      <c r="L46" s="977">
        <f>DataBase!L23</f>
        <v>0</v>
      </c>
      <c r="M46" s="977">
        <f>DataBase!M23</f>
        <v>0</v>
      </c>
      <c r="N46" s="977">
        <f>DataBase!N23</f>
        <v>0</v>
      </c>
      <c r="O46" s="534">
        <f>SUM(C46:N46)</f>
        <v>0</v>
      </c>
      <c r="P46" s="303">
        <f>SUM(C46:D46)</f>
        <v>0</v>
      </c>
      <c r="Q46" s="534">
        <f>O46-P46</f>
        <v>0</v>
      </c>
      <c r="R46" s="4"/>
    </row>
    <row r="47" spans="1:30" x14ac:dyDescent="0.2">
      <c r="A47" s="308" t="s">
        <v>744</v>
      </c>
      <c r="B47" s="701"/>
      <c r="C47" s="978">
        <f>DataBase!C24</f>
        <v>0</v>
      </c>
      <c r="D47" s="978">
        <f>DataBase!D24</f>
        <v>0</v>
      </c>
      <c r="E47" s="978">
        <f>DataBase!E24</f>
        <v>0</v>
      </c>
      <c r="F47" s="978">
        <f>DataBase!F24</f>
        <v>0</v>
      </c>
      <c r="G47" s="978">
        <f>DataBase!G24</f>
        <v>0</v>
      </c>
      <c r="H47" s="978">
        <f>DataBase!H24</f>
        <v>0</v>
      </c>
      <c r="I47" s="978">
        <f>DataBase!I24</f>
        <v>0</v>
      </c>
      <c r="J47" s="978">
        <f>DataBase!J24</f>
        <v>0</v>
      </c>
      <c r="K47" s="978">
        <f>DataBase!K24</f>
        <v>0</v>
      </c>
      <c r="L47" s="978">
        <f>DataBase!L24</f>
        <v>0</v>
      </c>
      <c r="M47" s="978">
        <f>DataBase!M24</f>
        <v>0</v>
      </c>
      <c r="N47" s="978">
        <f>DataBase!N24</f>
        <v>0</v>
      </c>
      <c r="O47" s="533">
        <f>SUM(C47:N47)</f>
        <v>0</v>
      </c>
      <c r="P47" s="313">
        <f>SUM(C47:D47)</f>
        <v>0</v>
      </c>
      <c r="Q47" s="533">
        <f>O47-P47</f>
        <v>0</v>
      </c>
      <c r="R47" s="4"/>
    </row>
    <row r="48" spans="1:30" ht="3.95" customHeight="1" x14ac:dyDescent="0.2">
      <c r="A48" s="297"/>
      <c r="B48" s="701"/>
      <c r="C48" s="303"/>
      <c r="D48" s="303"/>
      <c r="E48" s="303"/>
      <c r="F48" s="303"/>
      <c r="G48" s="303"/>
      <c r="H48" s="303"/>
      <c r="I48" s="303"/>
      <c r="J48" s="303"/>
      <c r="K48" s="303"/>
      <c r="L48" s="303"/>
      <c r="M48" s="303"/>
      <c r="N48" s="303"/>
      <c r="O48" s="303"/>
      <c r="P48" s="303"/>
      <c r="Q48" s="302"/>
      <c r="R48" s="4"/>
    </row>
    <row r="49" spans="1:20" x14ac:dyDescent="0.2">
      <c r="A49" s="467" t="s">
        <v>1207</v>
      </c>
      <c r="B49" s="708"/>
      <c r="C49" s="306">
        <f t="shared" ref="C49:Q49" si="8">ROUND(+C22+C34+C43+C45+C46+C47,0)</f>
        <v>55287</v>
      </c>
      <c r="D49" s="306">
        <f t="shared" si="8"/>
        <v>54297</v>
      </c>
      <c r="E49" s="306">
        <f t="shared" si="8"/>
        <v>57788</v>
      </c>
      <c r="F49" s="306">
        <f t="shared" si="8"/>
        <v>23074</v>
      </c>
      <c r="G49" s="306">
        <f t="shared" si="8"/>
        <v>22070</v>
      </c>
      <c r="H49" s="306">
        <f t="shared" si="8"/>
        <v>25185</v>
      </c>
      <c r="I49" s="306">
        <f t="shared" si="8"/>
        <v>25128</v>
      </c>
      <c r="J49" s="306">
        <f t="shared" si="8"/>
        <v>24715</v>
      </c>
      <c r="K49" s="306">
        <f t="shared" si="8"/>
        <v>24496</v>
      </c>
      <c r="L49" s="306">
        <f t="shared" si="8"/>
        <v>24301</v>
      </c>
      <c r="M49" s="306">
        <f t="shared" si="8"/>
        <v>52563</v>
      </c>
      <c r="N49" s="306">
        <f t="shared" si="8"/>
        <v>53454</v>
      </c>
      <c r="O49" s="306">
        <f t="shared" si="8"/>
        <v>442358</v>
      </c>
      <c r="P49" s="306">
        <f t="shared" si="8"/>
        <v>109584</v>
      </c>
      <c r="Q49" s="306">
        <f t="shared" si="8"/>
        <v>332774</v>
      </c>
      <c r="R49" s="4"/>
    </row>
    <row r="50" spans="1:20" ht="8.1" customHeight="1" x14ac:dyDescent="0.2">
      <c r="A50" s="314"/>
      <c r="B50" s="707"/>
      <c r="C50" s="303"/>
      <c r="D50" s="303"/>
      <c r="E50" s="303"/>
      <c r="F50" s="303"/>
      <c r="G50" s="303"/>
      <c r="H50" s="303"/>
      <c r="I50" s="303"/>
      <c r="J50" s="303"/>
      <c r="K50" s="303"/>
      <c r="L50" s="303"/>
      <c r="M50" s="303"/>
      <c r="N50" s="303"/>
      <c r="O50" s="302"/>
      <c r="P50" s="303"/>
      <c r="Q50" s="302"/>
      <c r="R50" s="4"/>
    </row>
    <row r="51" spans="1:20" x14ac:dyDescent="0.2">
      <c r="A51" s="491" t="s">
        <v>746</v>
      </c>
      <c r="B51" s="701"/>
      <c r="C51" s="302"/>
      <c r="D51" s="302"/>
      <c r="E51" s="302"/>
      <c r="F51" s="302"/>
      <c r="G51" s="302"/>
      <c r="H51" s="302"/>
      <c r="I51" s="302"/>
      <c r="J51" s="302"/>
      <c r="K51" s="302"/>
      <c r="L51" s="302"/>
      <c r="M51" s="302"/>
      <c r="N51" s="302"/>
      <c r="O51" s="302"/>
      <c r="P51" s="302"/>
      <c r="Q51" s="302"/>
      <c r="R51" s="4"/>
    </row>
    <row r="52" spans="1:20" ht="12.75" customHeight="1" x14ac:dyDescent="0.25">
      <c r="A52" s="468" t="s">
        <v>747</v>
      </c>
      <c r="B52" s="705"/>
      <c r="C52" s="979">
        <f>DataBase!C26</f>
        <v>0</v>
      </c>
      <c r="D52" s="979">
        <f>DataBase!D26</f>
        <v>0</v>
      </c>
      <c r="E52" s="979">
        <f>DataBase!E26</f>
        <v>0</v>
      </c>
      <c r="F52" s="979">
        <f>DataBase!F26</f>
        <v>0</v>
      </c>
      <c r="G52" s="979">
        <f>DataBase!G26</f>
        <v>0</v>
      </c>
      <c r="H52" s="979">
        <f>DataBase!H26</f>
        <v>0</v>
      </c>
      <c r="I52" s="979">
        <f>DataBase!I26</f>
        <v>0</v>
      </c>
      <c r="J52" s="979">
        <f>DataBase!J26</f>
        <v>0</v>
      </c>
      <c r="K52" s="979">
        <f>DataBase!K26</f>
        <v>0</v>
      </c>
      <c r="L52" s="979">
        <f>DataBase!L26</f>
        <v>0</v>
      </c>
      <c r="M52" s="979">
        <f>DataBase!M26</f>
        <v>0</v>
      </c>
      <c r="N52" s="979">
        <f>DataBase!N26</f>
        <v>0</v>
      </c>
      <c r="O52" s="302">
        <f t="shared" ref="O52:O60" si="9">SUM(C52:N52)</f>
        <v>0</v>
      </c>
      <c r="P52" s="303">
        <f t="shared" ref="P52:P60" si="10">SUM(C52:D52)</f>
        <v>0</v>
      </c>
      <c r="Q52" s="302">
        <f>O52-P52</f>
        <v>0</v>
      </c>
      <c r="R52" s="4"/>
      <c r="S52" s="9"/>
      <c r="T52" s="9"/>
    </row>
    <row r="53" spans="1:20" ht="12.75" customHeight="1" x14ac:dyDescent="0.2">
      <c r="A53" s="544" t="s">
        <v>748</v>
      </c>
      <c r="B53" s="717" t="s">
        <v>751</v>
      </c>
      <c r="C53" s="472">
        <f>DataBase!C18</f>
        <v>0</v>
      </c>
      <c r="D53" s="472">
        <f>DataBase!D18</f>
        <v>0</v>
      </c>
      <c r="E53" s="472">
        <f>DataBase!E18</f>
        <v>0</v>
      </c>
      <c r="F53" s="472">
        <f>DataBase!F18</f>
        <v>0</v>
      </c>
      <c r="G53" s="472">
        <f>DataBase!G18</f>
        <v>0</v>
      </c>
      <c r="H53" s="472">
        <f>DataBase!H18</f>
        <v>0</v>
      </c>
      <c r="I53" s="472">
        <f>DataBase!I18</f>
        <v>0</v>
      </c>
      <c r="J53" s="472">
        <f>DataBase!J18</f>
        <v>0</v>
      </c>
      <c r="K53" s="472">
        <f>DataBase!K18</f>
        <v>0</v>
      </c>
      <c r="L53" s="472">
        <f>DataBase!L18</f>
        <v>0</v>
      </c>
      <c r="M53" s="472">
        <f>DataBase!M18</f>
        <v>0</v>
      </c>
      <c r="N53" s="472">
        <f>DataBase!N18</f>
        <v>0</v>
      </c>
      <c r="O53" s="302">
        <f t="shared" si="9"/>
        <v>0</v>
      </c>
      <c r="P53" s="303">
        <f t="shared" si="10"/>
        <v>0</v>
      </c>
      <c r="Q53" s="302">
        <f t="shared" ref="Q53:Q60" si="11">O53-P53</f>
        <v>0</v>
      </c>
      <c r="R53" s="4"/>
    </row>
    <row r="54" spans="1:20" ht="12.75" customHeight="1" x14ac:dyDescent="0.2">
      <c r="A54" s="561" t="s">
        <v>749</v>
      </c>
      <c r="B54" s="717" t="s">
        <v>751</v>
      </c>
      <c r="C54" s="472">
        <f>DataBase!C19</f>
        <v>0</v>
      </c>
      <c r="D54" s="472">
        <f>DataBase!D19</f>
        <v>0</v>
      </c>
      <c r="E54" s="472">
        <f>DataBase!E19</f>
        <v>0</v>
      </c>
      <c r="F54" s="472">
        <f>DataBase!F19</f>
        <v>0</v>
      </c>
      <c r="G54" s="472">
        <f>DataBase!G19</f>
        <v>0</v>
      </c>
      <c r="H54" s="472">
        <f>DataBase!H19</f>
        <v>0</v>
      </c>
      <c r="I54" s="472">
        <f>DataBase!I19</f>
        <v>0</v>
      </c>
      <c r="J54" s="472">
        <f>DataBase!J19</f>
        <v>0</v>
      </c>
      <c r="K54" s="472">
        <f>DataBase!K19</f>
        <v>0</v>
      </c>
      <c r="L54" s="472">
        <f>DataBase!L19</f>
        <v>0</v>
      </c>
      <c r="M54" s="472">
        <f>DataBase!M19</f>
        <v>0</v>
      </c>
      <c r="N54" s="472">
        <f>DataBase!N19</f>
        <v>0</v>
      </c>
      <c r="O54" s="302">
        <f>SUM(C54:N54)</f>
        <v>0</v>
      </c>
      <c r="P54" s="303">
        <f t="shared" si="10"/>
        <v>0</v>
      </c>
      <c r="Q54" s="302">
        <f>O54-P54</f>
        <v>0</v>
      </c>
      <c r="R54" s="4"/>
    </row>
    <row r="55" spans="1:20" ht="12.75" customHeight="1" x14ac:dyDescent="0.2">
      <c r="A55" s="561" t="s">
        <v>341</v>
      </c>
      <c r="B55" s="717" t="s">
        <v>751</v>
      </c>
      <c r="C55" s="977">
        <f>DataBase!C35</f>
        <v>0</v>
      </c>
      <c r="D55" s="977">
        <f>DataBase!D35</f>
        <v>0</v>
      </c>
      <c r="E55" s="977">
        <f>DataBase!E35</f>
        <v>0</v>
      </c>
      <c r="F55" s="977">
        <f>DataBase!F35</f>
        <v>0</v>
      </c>
      <c r="G55" s="977">
        <f>DataBase!G35</f>
        <v>0</v>
      </c>
      <c r="H55" s="977">
        <f>DataBase!H35</f>
        <v>0</v>
      </c>
      <c r="I55" s="977">
        <f>DataBase!I35</f>
        <v>0</v>
      </c>
      <c r="J55" s="977">
        <f>DataBase!J35</f>
        <v>0</v>
      </c>
      <c r="K55" s="977">
        <f>DataBase!K35</f>
        <v>0</v>
      </c>
      <c r="L55" s="977">
        <f>DataBase!L35</f>
        <v>0</v>
      </c>
      <c r="M55" s="977">
        <f>DataBase!M35</f>
        <v>0</v>
      </c>
      <c r="N55" s="977">
        <f>DataBase!N35</f>
        <v>0</v>
      </c>
      <c r="O55" s="302">
        <f>SUM(C55:N55)</f>
        <v>0</v>
      </c>
      <c r="P55" s="303">
        <f t="shared" si="10"/>
        <v>0</v>
      </c>
      <c r="Q55" s="302">
        <f>O55-P55</f>
        <v>0</v>
      </c>
      <c r="R55" s="4"/>
    </row>
    <row r="56" spans="1:20" ht="12.75" customHeight="1" x14ac:dyDescent="0.2">
      <c r="A56" s="308" t="s">
        <v>1208</v>
      </c>
      <c r="B56" s="701"/>
      <c r="C56" s="472">
        <f>DataBase!C25</f>
        <v>0</v>
      </c>
      <c r="D56" s="472">
        <f>DataBase!D25</f>
        <v>0</v>
      </c>
      <c r="E56" s="472">
        <f>DataBase!E25</f>
        <v>0</v>
      </c>
      <c r="F56" s="472">
        <f>DataBase!F25</f>
        <v>0</v>
      </c>
      <c r="G56" s="472">
        <f>DataBase!G25</f>
        <v>0</v>
      </c>
      <c r="H56" s="472">
        <f>DataBase!H25</f>
        <v>0</v>
      </c>
      <c r="I56" s="472">
        <f>DataBase!I25</f>
        <v>0</v>
      </c>
      <c r="J56" s="472">
        <f>DataBase!J25</f>
        <v>0</v>
      </c>
      <c r="K56" s="472">
        <f>DataBase!K25</f>
        <v>0</v>
      </c>
      <c r="L56" s="472">
        <f>DataBase!L25</f>
        <v>0</v>
      </c>
      <c r="M56" s="472">
        <f>DataBase!M25</f>
        <v>0</v>
      </c>
      <c r="N56" s="472">
        <f>DataBase!N25</f>
        <v>0</v>
      </c>
      <c r="O56" s="302">
        <f t="shared" si="9"/>
        <v>0</v>
      </c>
      <c r="P56" s="303">
        <f t="shared" si="10"/>
        <v>0</v>
      </c>
      <c r="Q56" s="302">
        <f t="shared" si="11"/>
        <v>0</v>
      </c>
      <c r="R56" s="4"/>
    </row>
    <row r="57" spans="1:20" ht="12.75" customHeight="1" x14ac:dyDescent="0.2">
      <c r="A57" s="308" t="s">
        <v>557</v>
      </c>
      <c r="B57" s="701"/>
      <c r="C57" s="472">
        <f>DataBase!C27</f>
        <v>0</v>
      </c>
      <c r="D57" s="472">
        <f>DataBase!D27</f>
        <v>0</v>
      </c>
      <c r="E57" s="472">
        <f>DataBase!E27</f>
        <v>0</v>
      </c>
      <c r="F57" s="472">
        <f>DataBase!F27</f>
        <v>0</v>
      </c>
      <c r="G57" s="472">
        <f>DataBase!G27</f>
        <v>0</v>
      </c>
      <c r="H57" s="472">
        <f>DataBase!H27</f>
        <v>0</v>
      </c>
      <c r="I57" s="472">
        <f>DataBase!I27</f>
        <v>0</v>
      </c>
      <c r="J57" s="472">
        <f>DataBase!J27</f>
        <v>0</v>
      </c>
      <c r="K57" s="472">
        <f>DataBase!K27</f>
        <v>0</v>
      </c>
      <c r="L57" s="472">
        <f>DataBase!L27</f>
        <v>0</v>
      </c>
      <c r="M57" s="472">
        <f>DataBase!M27</f>
        <v>0</v>
      </c>
      <c r="N57" s="472">
        <f>DataBase!N27</f>
        <v>0</v>
      </c>
      <c r="O57" s="302">
        <f t="shared" si="9"/>
        <v>0</v>
      </c>
      <c r="P57" s="303">
        <f t="shared" si="10"/>
        <v>0</v>
      </c>
      <c r="Q57" s="302">
        <f t="shared" si="11"/>
        <v>0</v>
      </c>
      <c r="R57" s="4"/>
    </row>
    <row r="58" spans="1:20" ht="12.75" customHeight="1" x14ac:dyDescent="0.2">
      <c r="A58" s="905" t="s">
        <v>725</v>
      </c>
      <c r="B58" s="701"/>
      <c r="C58" s="472">
        <f>DataBase!C28</f>
        <v>0</v>
      </c>
      <c r="D58" s="472">
        <f>DataBase!D28</f>
        <v>0</v>
      </c>
      <c r="E58" s="472">
        <f>DataBase!E28</f>
        <v>0</v>
      </c>
      <c r="F58" s="472">
        <f>DataBase!F28</f>
        <v>0</v>
      </c>
      <c r="G58" s="472">
        <f>DataBase!G28</f>
        <v>0</v>
      </c>
      <c r="H58" s="472">
        <f>DataBase!H28</f>
        <v>0</v>
      </c>
      <c r="I58" s="472">
        <f>DataBase!I28</f>
        <v>0</v>
      </c>
      <c r="J58" s="472">
        <f>DataBase!J28</f>
        <v>0</v>
      </c>
      <c r="K58" s="472">
        <f>DataBase!K28</f>
        <v>0</v>
      </c>
      <c r="L58" s="472">
        <f>DataBase!L28</f>
        <v>0</v>
      </c>
      <c r="M58" s="472">
        <f>DataBase!M28</f>
        <v>0</v>
      </c>
      <c r="N58" s="472">
        <f>DataBase!N28</f>
        <v>0</v>
      </c>
      <c r="O58" s="302">
        <f t="shared" si="9"/>
        <v>0</v>
      </c>
      <c r="P58" s="303">
        <f t="shared" si="10"/>
        <v>0</v>
      </c>
      <c r="Q58" s="302">
        <f t="shared" si="11"/>
        <v>0</v>
      </c>
      <c r="R58" s="4"/>
    </row>
    <row r="59" spans="1:20" ht="12.75" customHeight="1" x14ac:dyDescent="0.2">
      <c r="A59" s="905" t="s">
        <v>695</v>
      </c>
      <c r="B59" s="701"/>
      <c r="C59" s="472">
        <f>DataBase!C29</f>
        <v>0</v>
      </c>
      <c r="D59" s="472">
        <f>DataBase!D29</f>
        <v>0</v>
      </c>
      <c r="E59" s="472">
        <f>DataBase!E29</f>
        <v>0</v>
      </c>
      <c r="F59" s="472">
        <f>DataBase!F29</f>
        <v>0</v>
      </c>
      <c r="G59" s="472">
        <f>DataBase!G29</f>
        <v>0</v>
      </c>
      <c r="H59" s="472">
        <f>DataBase!H29</f>
        <v>0</v>
      </c>
      <c r="I59" s="472">
        <f>DataBase!I29</f>
        <v>0</v>
      </c>
      <c r="J59" s="472">
        <f>DataBase!J29</f>
        <v>0</v>
      </c>
      <c r="K59" s="472">
        <f>DataBase!K29</f>
        <v>0</v>
      </c>
      <c r="L59" s="472">
        <f>DataBase!L29</f>
        <v>0</v>
      </c>
      <c r="M59" s="472">
        <f>DataBase!M29</f>
        <v>0</v>
      </c>
      <c r="N59" s="472">
        <f>DataBase!N29</f>
        <v>0</v>
      </c>
      <c r="O59" s="302">
        <f>SUM(C59:N59)</f>
        <v>0</v>
      </c>
      <c r="P59" s="303">
        <f t="shared" si="10"/>
        <v>0</v>
      </c>
      <c r="Q59" s="302">
        <f>O59-P59</f>
        <v>0</v>
      </c>
      <c r="R59" s="4"/>
    </row>
    <row r="60" spans="1:20" ht="12.75" customHeight="1" x14ac:dyDescent="0.2">
      <c r="A60" s="562" t="s">
        <v>1187</v>
      </c>
      <c r="B60" s="701"/>
      <c r="C60" s="313">
        <v>0</v>
      </c>
      <c r="D60" s="313">
        <v>0</v>
      </c>
      <c r="E60" s="313">
        <v>0</v>
      </c>
      <c r="F60" s="313">
        <v>0</v>
      </c>
      <c r="G60" s="313">
        <v>0</v>
      </c>
      <c r="H60" s="313">
        <v>0</v>
      </c>
      <c r="I60" s="313">
        <v>0</v>
      </c>
      <c r="J60" s="313">
        <v>0</v>
      </c>
      <c r="K60" s="313">
        <v>0</v>
      </c>
      <c r="L60" s="313">
        <v>0</v>
      </c>
      <c r="M60" s="313">
        <v>0</v>
      </c>
      <c r="N60" s="313">
        <v>0</v>
      </c>
      <c r="O60" s="304">
        <f t="shared" si="9"/>
        <v>0</v>
      </c>
      <c r="P60" s="313">
        <f t="shared" si="10"/>
        <v>0</v>
      </c>
      <c r="Q60" s="304">
        <f t="shared" si="11"/>
        <v>0</v>
      </c>
      <c r="R60" s="4"/>
    </row>
    <row r="61" spans="1:20" ht="3.95" customHeight="1" x14ac:dyDescent="0.2">
      <c r="A61" s="297"/>
      <c r="B61" s="701"/>
      <c r="C61" s="305"/>
      <c r="D61" s="305"/>
      <c r="E61" s="305"/>
      <c r="F61" s="305"/>
      <c r="G61" s="305"/>
      <c r="H61" s="305"/>
      <c r="I61" s="305"/>
      <c r="J61" s="305"/>
      <c r="K61" s="305"/>
      <c r="L61" s="305"/>
      <c r="M61" s="305"/>
      <c r="N61" s="305"/>
      <c r="O61" s="305"/>
      <c r="P61" s="303"/>
      <c r="Q61" s="305"/>
      <c r="R61" s="4"/>
    </row>
    <row r="62" spans="1:20" ht="12.75" customHeight="1" x14ac:dyDescent="0.2">
      <c r="A62" s="467" t="s">
        <v>750</v>
      </c>
      <c r="B62" s="708"/>
      <c r="C62" s="306">
        <f>SUM(C52:C61)</f>
        <v>0</v>
      </c>
      <c r="D62" s="306">
        <f t="shared" ref="D62:N62" si="12">SUM(D52:D61)</f>
        <v>0</v>
      </c>
      <c r="E62" s="306">
        <f t="shared" si="12"/>
        <v>0</v>
      </c>
      <c r="F62" s="306">
        <f t="shared" si="12"/>
        <v>0</v>
      </c>
      <c r="G62" s="306">
        <f t="shared" si="12"/>
        <v>0</v>
      </c>
      <c r="H62" s="306">
        <f t="shared" si="12"/>
        <v>0</v>
      </c>
      <c r="I62" s="306">
        <f t="shared" si="12"/>
        <v>0</v>
      </c>
      <c r="J62" s="306">
        <f t="shared" si="12"/>
        <v>0</v>
      </c>
      <c r="K62" s="306">
        <f t="shared" si="12"/>
        <v>0</v>
      </c>
      <c r="L62" s="306">
        <f t="shared" si="12"/>
        <v>0</v>
      </c>
      <c r="M62" s="306">
        <f t="shared" si="12"/>
        <v>0</v>
      </c>
      <c r="N62" s="306">
        <f t="shared" si="12"/>
        <v>0</v>
      </c>
      <c r="O62" s="306">
        <f>SUM(O52:O60)</f>
        <v>0</v>
      </c>
      <c r="P62" s="306">
        <f>SUM(P52:P60)</f>
        <v>0</v>
      </c>
      <c r="Q62" s="306">
        <f>SUM(Q52:Q60)</f>
        <v>0</v>
      </c>
      <c r="R62" s="4"/>
      <c r="S62" s="7"/>
    </row>
    <row r="63" spans="1:20" ht="8.1" customHeight="1" x14ac:dyDescent="0.2">
      <c r="A63" s="314"/>
      <c r="B63" s="707"/>
      <c r="C63" s="303"/>
      <c r="D63" s="303"/>
      <c r="E63" s="303"/>
      <c r="F63" s="303"/>
      <c r="G63" s="303"/>
      <c r="H63" s="303"/>
      <c r="I63" s="303"/>
      <c r="J63" s="303"/>
      <c r="K63" s="303"/>
      <c r="L63" s="303"/>
      <c r="M63" s="303"/>
      <c r="N63" s="303"/>
      <c r="O63" s="302"/>
      <c r="P63" s="303"/>
      <c r="Q63" s="302"/>
      <c r="R63" s="4"/>
    </row>
    <row r="64" spans="1:20" ht="12.75" customHeight="1" x14ac:dyDescent="0.2">
      <c r="A64" s="467" t="s">
        <v>1209</v>
      </c>
      <c r="B64" s="709"/>
      <c r="C64" s="309">
        <f t="shared" ref="C64:Q64" si="13">ROUND(+C49+C62,0)</f>
        <v>55287</v>
      </c>
      <c r="D64" s="309">
        <f t="shared" si="13"/>
        <v>54297</v>
      </c>
      <c r="E64" s="309">
        <f t="shared" si="13"/>
        <v>57788</v>
      </c>
      <c r="F64" s="309">
        <f t="shared" si="13"/>
        <v>23074</v>
      </c>
      <c r="G64" s="309">
        <f t="shared" si="13"/>
        <v>22070</v>
      </c>
      <c r="H64" s="309">
        <f t="shared" si="13"/>
        <v>25185</v>
      </c>
      <c r="I64" s="309">
        <f t="shared" si="13"/>
        <v>25128</v>
      </c>
      <c r="J64" s="309">
        <f t="shared" si="13"/>
        <v>24715</v>
      </c>
      <c r="K64" s="309">
        <f t="shared" si="13"/>
        <v>24496</v>
      </c>
      <c r="L64" s="309">
        <f t="shared" si="13"/>
        <v>24301</v>
      </c>
      <c r="M64" s="309">
        <f t="shared" si="13"/>
        <v>52563</v>
      </c>
      <c r="N64" s="309">
        <f t="shared" si="13"/>
        <v>53454</v>
      </c>
      <c r="O64" s="309">
        <f t="shared" si="13"/>
        <v>442358</v>
      </c>
      <c r="P64" s="309">
        <f t="shared" si="13"/>
        <v>109584</v>
      </c>
      <c r="Q64" s="309">
        <f t="shared" si="13"/>
        <v>332774</v>
      </c>
      <c r="R64" s="4"/>
      <c r="S64" s="719">
        <f>O64-O66-O67</f>
        <v>0</v>
      </c>
    </row>
    <row r="65" spans="1:18" ht="6" customHeight="1" x14ac:dyDescent="0.2">
      <c r="A65" s="316"/>
      <c r="B65" s="701"/>
      <c r="C65" s="303"/>
      <c r="D65" s="303"/>
      <c r="E65" s="303"/>
      <c r="F65" s="303"/>
      <c r="G65" s="303"/>
      <c r="H65" s="303"/>
      <c r="I65" s="303"/>
      <c r="J65" s="303"/>
      <c r="K65" s="303"/>
      <c r="L65" s="303"/>
      <c r="M65" s="303"/>
      <c r="N65" s="303"/>
      <c r="O65" s="303"/>
      <c r="P65" s="303"/>
      <c r="Q65" s="303"/>
      <c r="R65" s="4"/>
    </row>
    <row r="66" spans="1:18" ht="12.75" customHeight="1" x14ac:dyDescent="0.2">
      <c r="A66" s="467" t="s">
        <v>753</v>
      </c>
      <c r="B66" s="708"/>
      <c r="C66" s="718">
        <f t="shared" ref="C66:Q66" si="14">C64-SUM(C10:C20)-SUM(C28:C32)</f>
        <v>54482</v>
      </c>
      <c r="D66" s="718">
        <f t="shared" si="14"/>
        <v>53536</v>
      </c>
      <c r="E66" s="718">
        <f t="shared" si="14"/>
        <v>57070</v>
      </c>
      <c r="F66" s="718">
        <f t="shared" si="14"/>
        <v>22522</v>
      </c>
      <c r="G66" s="718">
        <f t="shared" si="14"/>
        <v>21518</v>
      </c>
      <c r="H66" s="718">
        <f t="shared" si="14"/>
        <v>24633</v>
      </c>
      <c r="I66" s="718">
        <f t="shared" si="14"/>
        <v>24576</v>
      </c>
      <c r="J66" s="718">
        <f t="shared" si="14"/>
        <v>24163</v>
      </c>
      <c r="K66" s="718">
        <f t="shared" si="14"/>
        <v>23944</v>
      </c>
      <c r="L66" s="718">
        <f t="shared" si="14"/>
        <v>23749</v>
      </c>
      <c r="M66" s="718">
        <f t="shared" si="14"/>
        <v>51845</v>
      </c>
      <c r="N66" s="718">
        <f t="shared" si="14"/>
        <v>52649</v>
      </c>
      <c r="O66" s="718">
        <f t="shared" si="14"/>
        <v>434687</v>
      </c>
      <c r="P66" s="718">
        <f t="shared" si="14"/>
        <v>108018</v>
      </c>
      <c r="Q66" s="718">
        <f t="shared" si="14"/>
        <v>326669</v>
      </c>
      <c r="R66" s="309"/>
    </row>
    <row r="67" spans="1:18" x14ac:dyDescent="0.2">
      <c r="A67" s="467" t="s">
        <v>754</v>
      </c>
      <c r="B67" s="707"/>
      <c r="C67" s="307">
        <f>SUM(C10:C20)+SUM(C28:C32)</f>
        <v>805</v>
      </c>
      <c r="D67" s="307">
        <f t="shared" ref="D67:Q67" si="15">SUM(D10:D20)+SUM(D28:D32)</f>
        <v>761</v>
      </c>
      <c r="E67" s="307">
        <f t="shared" si="15"/>
        <v>718</v>
      </c>
      <c r="F67" s="307">
        <f t="shared" si="15"/>
        <v>552</v>
      </c>
      <c r="G67" s="307">
        <f t="shared" si="15"/>
        <v>552</v>
      </c>
      <c r="H67" s="307">
        <f t="shared" si="15"/>
        <v>552</v>
      </c>
      <c r="I67" s="307">
        <f t="shared" si="15"/>
        <v>552</v>
      </c>
      <c r="J67" s="307">
        <f t="shared" si="15"/>
        <v>552</v>
      </c>
      <c r="K67" s="307">
        <f t="shared" si="15"/>
        <v>552</v>
      </c>
      <c r="L67" s="307">
        <f t="shared" si="15"/>
        <v>552</v>
      </c>
      <c r="M67" s="307">
        <f t="shared" si="15"/>
        <v>718</v>
      </c>
      <c r="N67" s="307">
        <f t="shared" si="15"/>
        <v>805</v>
      </c>
      <c r="O67" s="307">
        <f t="shared" si="15"/>
        <v>7671</v>
      </c>
      <c r="P67" s="307">
        <f t="shared" si="15"/>
        <v>1566</v>
      </c>
      <c r="Q67" s="307">
        <f t="shared" si="15"/>
        <v>6105</v>
      </c>
      <c r="R67" s="46"/>
    </row>
    <row r="68" spans="1:18" x14ac:dyDescent="0.2">
      <c r="A68" s="302"/>
      <c r="B68" s="707"/>
      <c r="C68" s="303"/>
      <c r="D68" s="303"/>
      <c r="E68" s="303"/>
      <c r="F68" s="303"/>
      <c r="G68" s="303"/>
      <c r="H68" s="303"/>
      <c r="I68" s="303"/>
      <c r="J68" s="303"/>
      <c r="K68" s="303"/>
      <c r="L68" s="303"/>
      <c r="M68" s="303"/>
      <c r="N68" s="303"/>
      <c r="O68" s="301"/>
      <c r="P68" s="303"/>
      <c r="Q68" s="303"/>
      <c r="R68" s="46"/>
    </row>
    <row r="69" spans="1:18" x14ac:dyDescent="0.2"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P69" s="10"/>
    </row>
    <row r="70" spans="1:18" x14ac:dyDescent="0.2"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P70" s="10"/>
    </row>
    <row r="71" spans="1:18" x14ac:dyDescent="0.2"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P71" s="10"/>
    </row>
    <row r="72" spans="1:18" x14ac:dyDescent="0.2"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P72" s="10"/>
    </row>
    <row r="73" spans="1:18" x14ac:dyDescent="0.2"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P73" s="10"/>
    </row>
    <row r="74" spans="1:18" x14ac:dyDescent="0.2"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P74" s="10"/>
    </row>
    <row r="75" spans="1:18" x14ac:dyDescent="0.2">
      <c r="F75" s="4"/>
    </row>
    <row r="76" spans="1:18" x14ac:dyDescent="0.2">
      <c r="A76" s="8"/>
      <c r="C76" s="12"/>
      <c r="D76" s="12"/>
      <c r="E76" s="12"/>
      <c r="F76" s="4"/>
      <c r="G76" s="12"/>
      <c r="H76" s="12"/>
      <c r="I76" s="12"/>
      <c r="J76" s="12"/>
      <c r="K76" s="12"/>
      <c r="L76" s="12"/>
      <c r="M76" s="12"/>
      <c r="N76" s="12"/>
      <c r="P76" s="12"/>
    </row>
    <row r="77" spans="1:18" x14ac:dyDescent="0.2">
      <c r="F77" s="5"/>
    </row>
    <row r="78" spans="1:18" x14ac:dyDescent="0.2">
      <c r="F78" s="11"/>
    </row>
  </sheetData>
  <phoneticPr fontId="0" type="noConversion"/>
  <printOptions horizontalCentered="1" gridLinesSet="0"/>
  <pageMargins left="0.5" right="0.5" top="0.25" bottom="0" header="0" footer="0"/>
  <pageSetup paperSize="5" scale="77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4">
    <pageSetUpPr autoPageBreaks="0" fitToPage="1"/>
  </sheetPr>
  <dimension ref="A1:U143"/>
  <sheetViews>
    <sheetView showGridLines="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defaultRowHeight="12.75" x14ac:dyDescent="0.2"/>
  <cols>
    <col min="1" max="1" width="45.7109375" style="13" customWidth="1"/>
    <col min="2" max="2" width="8.7109375" style="739" customWidth="1"/>
    <col min="3" max="14" width="8.7109375" style="13" customWidth="1"/>
    <col min="15" max="17" width="9.7109375" style="13" customWidth="1"/>
    <col min="18" max="18" width="9.140625" style="13" customWidth="1"/>
    <col min="19" max="16384" width="9.140625" style="13"/>
  </cols>
  <sheetData>
    <row r="1" spans="1:21" ht="12" customHeight="1" x14ac:dyDescent="0.25">
      <c r="A1" s="605" t="str">
        <f ca="1">CELL("FILENAME")</f>
        <v>C:\Users\Felienne\Enron\EnronSpreadsheets\[tracy_geaccone__40367__EMNNG02PL.xls]IncomeState</v>
      </c>
      <c r="B1" s="725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14"/>
      <c r="T1" s="14"/>
      <c r="U1" s="14"/>
    </row>
    <row r="2" spans="1:21" ht="12" customHeight="1" x14ac:dyDescent="0.25">
      <c r="A2" s="323" t="s">
        <v>1214</v>
      </c>
      <c r="B2" s="725"/>
      <c r="C2" s="318" t="s">
        <v>1173</v>
      </c>
      <c r="D2" s="318" t="s">
        <v>1173</v>
      </c>
      <c r="E2" s="555"/>
      <c r="F2" s="318" t="s">
        <v>1173</v>
      </c>
      <c r="G2" s="495"/>
      <c r="H2" s="318" t="s">
        <v>1173</v>
      </c>
      <c r="I2" s="319"/>
      <c r="J2" s="319"/>
      <c r="K2" s="319"/>
      <c r="L2" s="319"/>
      <c r="M2" s="319"/>
      <c r="N2" s="319"/>
      <c r="O2" s="319"/>
      <c r="P2" s="319"/>
      <c r="Q2" s="319"/>
      <c r="R2" s="319"/>
      <c r="S2" s="14"/>
      <c r="T2" s="14"/>
      <c r="U2" s="14"/>
    </row>
    <row r="3" spans="1:21" ht="12" customHeight="1" x14ac:dyDescent="0.25">
      <c r="A3" s="552" t="str">
        <f>IncomeState!A3</f>
        <v>2002 OPERATING PLAN</v>
      </c>
      <c r="B3" s="726">
        <f ca="1">NOW()</f>
        <v>41887.551126967592</v>
      </c>
      <c r="C3" s="997" t="str">
        <f>DataBase!C2</f>
        <v>PLAN</v>
      </c>
      <c r="D3" s="997" t="str">
        <f>DataBase!D2</f>
        <v>PLAN</v>
      </c>
      <c r="E3" s="997" t="str">
        <f>DataBase!E2</f>
        <v>PLAN</v>
      </c>
      <c r="F3" s="997" t="str">
        <f>DataBase!F2</f>
        <v>PLAN</v>
      </c>
      <c r="G3" s="997" t="str">
        <f>DataBase!G2</f>
        <v>PLAN</v>
      </c>
      <c r="H3" s="997" t="str">
        <f>DataBase!H2</f>
        <v>PLAN</v>
      </c>
      <c r="I3" s="997" t="str">
        <f>DataBase!I2</f>
        <v>PLAN</v>
      </c>
      <c r="J3" s="997" t="str">
        <f>DataBase!J2</f>
        <v>PLAN</v>
      </c>
      <c r="K3" s="997" t="str">
        <f>DataBase!K2</f>
        <v>PLAN</v>
      </c>
      <c r="L3" s="997" t="str">
        <f>DataBase!L2</f>
        <v>PLAN</v>
      </c>
      <c r="M3" s="997" t="str">
        <f>DataBase!M2</f>
        <v>PLAN</v>
      </c>
      <c r="N3" s="997" t="str">
        <f>DataBase!N2</f>
        <v>PLAN</v>
      </c>
      <c r="O3" s="997" t="str">
        <f>DataBase!O2</f>
        <v>TOTAL</v>
      </c>
      <c r="P3" s="997" t="str">
        <f>IncomeState!P6</f>
        <v>FEB.</v>
      </c>
      <c r="Q3" s="997" t="str">
        <f>IncomeState!Q6</f>
        <v>ESTIMATE</v>
      </c>
      <c r="R3" s="555"/>
      <c r="S3" s="14"/>
      <c r="T3" s="14"/>
      <c r="U3" s="14"/>
    </row>
    <row r="4" spans="1:21" ht="12" customHeight="1" x14ac:dyDescent="0.25">
      <c r="A4" s="320"/>
      <c r="B4" s="727">
        <f ca="1">NOW()</f>
        <v>41887.551126967592</v>
      </c>
      <c r="C4" s="998" t="s">
        <v>1174</v>
      </c>
      <c r="D4" s="998" t="s">
        <v>1175</v>
      </c>
      <c r="E4" s="998" t="s">
        <v>1176</v>
      </c>
      <c r="F4" s="998" t="s">
        <v>1177</v>
      </c>
      <c r="G4" s="998" t="s">
        <v>1178</v>
      </c>
      <c r="H4" s="998" t="s">
        <v>1179</v>
      </c>
      <c r="I4" s="998" t="s">
        <v>1180</v>
      </c>
      <c r="J4" s="998" t="s">
        <v>1181</v>
      </c>
      <c r="K4" s="998" t="s">
        <v>1182</v>
      </c>
      <c r="L4" s="998" t="s">
        <v>1183</v>
      </c>
      <c r="M4" s="998" t="s">
        <v>1184</v>
      </c>
      <c r="N4" s="998" t="s">
        <v>1185</v>
      </c>
      <c r="O4" s="999" t="str">
        <f>DataBase!O3</f>
        <v>2002</v>
      </c>
      <c r="P4" s="999" t="str">
        <f>IncomeState!P7</f>
        <v>Y-T-D</v>
      </c>
      <c r="Q4" s="999" t="str">
        <f>IncomeState!Q7</f>
        <v>R.M.</v>
      </c>
      <c r="R4" s="606"/>
      <c r="S4" s="14"/>
      <c r="T4" s="14"/>
      <c r="U4" s="14"/>
    </row>
    <row r="5" spans="1:21" ht="3.95" customHeight="1" x14ac:dyDescent="0.25">
      <c r="A5" s="317"/>
      <c r="B5" s="725"/>
      <c r="C5" s="317"/>
      <c r="D5" s="317"/>
      <c r="E5" s="317"/>
      <c r="F5" s="317"/>
      <c r="G5" s="317"/>
      <c r="H5" s="317"/>
      <c r="I5" s="317"/>
      <c r="J5" s="317"/>
      <c r="K5" s="317"/>
      <c r="L5" s="317"/>
      <c r="M5" s="317"/>
      <c r="N5" s="317"/>
      <c r="O5" s="317"/>
      <c r="P5" s="317"/>
      <c r="Q5" s="317"/>
      <c r="R5" s="317"/>
      <c r="S5" s="14"/>
      <c r="T5" s="14"/>
      <c r="U5" s="14"/>
    </row>
    <row r="6" spans="1:21" customFormat="1" ht="12.75" customHeight="1" x14ac:dyDescent="0.2">
      <c r="A6" s="695" t="s">
        <v>1215</v>
      </c>
      <c r="B6" s="728"/>
      <c r="C6" s="566"/>
      <c r="D6" s="566"/>
      <c r="E6" s="566"/>
      <c r="F6" s="566"/>
      <c r="G6" s="566"/>
      <c r="H6" s="566"/>
      <c r="I6" s="566"/>
      <c r="J6" s="566"/>
      <c r="K6" s="566"/>
      <c r="L6" s="566"/>
      <c r="M6" s="566"/>
      <c r="N6" s="566"/>
      <c r="O6" s="566"/>
      <c r="P6" s="566"/>
      <c r="Q6" s="566"/>
      <c r="R6" s="566"/>
    </row>
    <row r="7" spans="1:21" customFormat="1" ht="12.75" customHeight="1" x14ac:dyDescent="0.2">
      <c r="A7" s="562" t="s">
        <v>770</v>
      </c>
      <c r="B7" s="729" t="s">
        <v>1216</v>
      </c>
      <c r="C7" s="586">
        <f>DataBase!C55</f>
        <v>175</v>
      </c>
      <c r="D7" s="586">
        <f>DataBase!D55</f>
        <v>125</v>
      </c>
      <c r="E7" s="586">
        <f>DataBase!E55</f>
        <v>100</v>
      </c>
      <c r="F7" s="586">
        <f>DataBase!F55</f>
        <v>25</v>
      </c>
      <c r="G7" s="586">
        <f>DataBase!G55</f>
        <v>25</v>
      </c>
      <c r="H7" s="586">
        <f>DataBase!H55</f>
        <v>25</v>
      </c>
      <c r="I7" s="586">
        <f>DataBase!I55</f>
        <v>25</v>
      </c>
      <c r="J7" s="586">
        <f>DataBase!J55</f>
        <v>25</v>
      </c>
      <c r="K7" s="586">
        <f>DataBase!K55</f>
        <v>25</v>
      </c>
      <c r="L7" s="586">
        <f>DataBase!L55</f>
        <v>25</v>
      </c>
      <c r="M7" s="586">
        <f>DataBase!M55</f>
        <v>75</v>
      </c>
      <c r="N7" s="586">
        <f>DataBase!N55</f>
        <v>100</v>
      </c>
      <c r="O7" s="587">
        <f t="shared" ref="O7:O14" si="0">SUM(C7:N7)</f>
        <v>750</v>
      </c>
      <c r="P7" s="580">
        <f>SUM(C7:D7)</f>
        <v>300</v>
      </c>
      <c r="Q7" s="579">
        <f>O7-P7</f>
        <v>450</v>
      </c>
      <c r="R7" s="579"/>
    </row>
    <row r="8" spans="1:21" customFormat="1" ht="12.75" customHeight="1" x14ac:dyDescent="0.2">
      <c r="A8" s="562" t="s">
        <v>771</v>
      </c>
      <c r="B8" s="729" t="s">
        <v>1216</v>
      </c>
      <c r="C8" s="586">
        <f>DataBase!C56</f>
        <v>0</v>
      </c>
      <c r="D8" s="586">
        <f>DataBase!D56</f>
        <v>0</v>
      </c>
      <c r="E8" s="586">
        <f>DataBase!E56</f>
        <v>0</v>
      </c>
      <c r="F8" s="586">
        <f>DataBase!F56</f>
        <v>0</v>
      </c>
      <c r="G8" s="586">
        <f>DataBase!G56</f>
        <v>0</v>
      </c>
      <c r="H8" s="586">
        <f>DataBase!H56</f>
        <v>0</v>
      </c>
      <c r="I8" s="586">
        <f>DataBase!I56</f>
        <v>0</v>
      </c>
      <c r="J8" s="586">
        <f>DataBase!J56</f>
        <v>0</v>
      </c>
      <c r="K8" s="586">
        <f>DataBase!K56</f>
        <v>0</v>
      </c>
      <c r="L8" s="586">
        <f>DataBase!L56</f>
        <v>0</v>
      </c>
      <c r="M8" s="586">
        <f>DataBase!M56</f>
        <v>0</v>
      </c>
      <c r="N8" s="586">
        <f>DataBase!N56</f>
        <v>0</v>
      </c>
      <c r="O8" s="587">
        <f t="shared" si="0"/>
        <v>0</v>
      </c>
      <c r="P8" s="580">
        <f t="shared" ref="P8:P26" si="1">SUM(C8:D8)</f>
        <v>0</v>
      </c>
      <c r="Q8" s="579">
        <f t="shared" ref="Q8:Q14" si="2">O8-P8</f>
        <v>0</v>
      </c>
      <c r="R8" s="579"/>
    </row>
    <row r="9" spans="1:21" customFormat="1" ht="12.75" customHeight="1" x14ac:dyDescent="0.2">
      <c r="A9" s="567" t="s">
        <v>985</v>
      </c>
      <c r="B9" s="729" t="s">
        <v>1216</v>
      </c>
      <c r="C9" s="586">
        <f>DataBase!C57</f>
        <v>0</v>
      </c>
      <c r="D9" s="586">
        <f>DataBase!D57</f>
        <v>0</v>
      </c>
      <c r="E9" s="586">
        <f>DataBase!E57</f>
        <v>0</v>
      </c>
      <c r="F9" s="586">
        <f>DataBase!F57</f>
        <v>0</v>
      </c>
      <c r="G9" s="586">
        <f>DataBase!G57</f>
        <v>0</v>
      </c>
      <c r="H9" s="586">
        <f>DataBase!H57</f>
        <v>0</v>
      </c>
      <c r="I9" s="586">
        <f>DataBase!I57</f>
        <v>0</v>
      </c>
      <c r="J9" s="586">
        <f>DataBase!J57</f>
        <v>0</v>
      </c>
      <c r="K9" s="586">
        <f>DataBase!K57</f>
        <v>0</v>
      </c>
      <c r="L9" s="586">
        <f>DataBase!L57</f>
        <v>0</v>
      </c>
      <c r="M9" s="586">
        <f>DataBase!M57</f>
        <v>0</v>
      </c>
      <c r="N9" s="586">
        <f>DataBase!N57</f>
        <v>0</v>
      </c>
      <c r="O9" s="579">
        <f>SUM(C9:N9)</f>
        <v>0</v>
      </c>
      <c r="P9" s="580">
        <f t="shared" si="1"/>
        <v>0</v>
      </c>
      <c r="Q9" s="579">
        <f>O9-P9</f>
        <v>0</v>
      </c>
      <c r="R9" s="579"/>
    </row>
    <row r="10" spans="1:21" customFormat="1" ht="12.75" customHeight="1" x14ac:dyDescent="0.2">
      <c r="A10" s="562" t="s">
        <v>359</v>
      </c>
      <c r="B10" s="729" t="s">
        <v>1216</v>
      </c>
      <c r="C10" s="586">
        <f>DataBase!C58</f>
        <v>0</v>
      </c>
      <c r="D10" s="586">
        <f>DataBase!D58</f>
        <v>0</v>
      </c>
      <c r="E10" s="586">
        <f>DataBase!E58</f>
        <v>0</v>
      </c>
      <c r="F10" s="586">
        <f>DataBase!F58</f>
        <v>0</v>
      </c>
      <c r="G10" s="586">
        <f>DataBase!G58</f>
        <v>0</v>
      </c>
      <c r="H10" s="586">
        <f>DataBase!H58</f>
        <v>0</v>
      </c>
      <c r="I10" s="586">
        <f>DataBase!I58</f>
        <v>0</v>
      </c>
      <c r="J10" s="586">
        <f>DataBase!J58</f>
        <v>0</v>
      </c>
      <c r="K10" s="586">
        <f>DataBase!K58</f>
        <v>0</v>
      </c>
      <c r="L10" s="586">
        <f>DataBase!L58</f>
        <v>0</v>
      </c>
      <c r="M10" s="586">
        <f>DataBase!M58</f>
        <v>0</v>
      </c>
      <c r="N10" s="586">
        <f>DataBase!N58</f>
        <v>0</v>
      </c>
      <c r="O10" s="587">
        <f t="shared" si="0"/>
        <v>0</v>
      </c>
      <c r="P10" s="580">
        <f t="shared" si="1"/>
        <v>0</v>
      </c>
      <c r="Q10" s="579">
        <f t="shared" si="2"/>
        <v>0</v>
      </c>
      <c r="R10" s="579"/>
    </row>
    <row r="11" spans="1:21" customFormat="1" ht="12.75" customHeight="1" x14ac:dyDescent="0.2">
      <c r="A11" s="562" t="s">
        <v>360</v>
      </c>
      <c r="B11" s="729" t="s">
        <v>1216</v>
      </c>
      <c r="C11" s="586">
        <f>DataBase!C59</f>
        <v>0</v>
      </c>
      <c r="D11" s="586">
        <f>DataBase!D59</f>
        <v>0</v>
      </c>
      <c r="E11" s="586">
        <f>DataBase!E59</f>
        <v>0</v>
      </c>
      <c r="F11" s="586">
        <f>DataBase!F59</f>
        <v>0</v>
      </c>
      <c r="G11" s="586">
        <f>DataBase!G59</f>
        <v>0</v>
      </c>
      <c r="H11" s="586">
        <f>DataBase!H59</f>
        <v>0</v>
      </c>
      <c r="I11" s="586">
        <f>DataBase!I59</f>
        <v>0</v>
      </c>
      <c r="J11" s="586">
        <f>DataBase!J59</f>
        <v>0</v>
      </c>
      <c r="K11" s="586">
        <f>DataBase!K59</f>
        <v>0</v>
      </c>
      <c r="L11" s="586">
        <f>DataBase!L59</f>
        <v>0</v>
      </c>
      <c r="M11" s="586">
        <f>DataBase!M59</f>
        <v>0</v>
      </c>
      <c r="N11" s="586">
        <f>DataBase!N59</f>
        <v>0</v>
      </c>
      <c r="O11" s="587">
        <f t="shared" si="0"/>
        <v>0</v>
      </c>
      <c r="P11" s="580">
        <f t="shared" si="1"/>
        <v>0</v>
      </c>
      <c r="Q11" s="579">
        <f t="shared" si="2"/>
        <v>0</v>
      </c>
      <c r="R11" s="579"/>
    </row>
    <row r="12" spans="1:21" customFormat="1" ht="12.75" customHeight="1" x14ac:dyDescent="0.2">
      <c r="A12" s="562" t="s">
        <v>361</v>
      </c>
      <c r="B12" s="729" t="s">
        <v>1216</v>
      </c>
      <c r="C12" s="586">
        <f>DataBase!C60</f>
        <v>0</v>
      </c>
      <c r="D12" s="586">
        <f>DataBase!D60</f>
        <v>0</v>
      </c>
      <c r="E12" s="586">
        <f>DataBase!E60</f>
        <v>0</v>
      </c>
      <c r="F12" s="586">
        <f>DataBase!F60</f>
        <v>0</v>
      </c>
      <c r="G12" s="586">
        <f>DataBase!G60</f>
        <v>0</v>
      </c>
      <c r="H12" s="586">
        <f>DataBase!H60</f>
        <v>0</v>
      </c>
      <c r="I12" s="586">
        <f>DataBase!I60</f>
        <v>0</v>
      </c>
      <c r="J12" s="586">
        <f>DataBase!J60</f>
        <v>0</v>
      </c>
      <c r="K12" s="586">
        <f>DataBase!K60</f>
        <v>0</v>
      </c>
      <c r="L12" s="586">
        <f>DataBase!L60</f>
        <v>0</v>
      </c>
      <c r="M12" s="586">
        <f>DataBase!M60</f>
        <v>0</v>
      </c>
      <c r="N12" s="586">
        <f>DataBase!N60</f>
        <v>0</v>
      </c>
      <c r="O12" s="587">
        <f t="shared" si="0"/>
        <v>0</v>
      </c>
      <c r="P12" s="580">
        <f t="shared" si="1"/>
        <v>0</v>
      </c>
      <c r="Q12" s="579">
        <f t="shared" si="2"/>
        <v>0</v>
      </c>
      <c r="R12" s="579"/>
    </row>
    <row r="13" spans="1:21" customFormat="1" ht="12.75" customHeight="1" x14ac:dyDescent="0.2">
      <c r="A13" s="159" t="s">
        <v>363</v>
      </c>
      <c r="B13" s="729" t="s">
        <v>1216</v>
      </c>
      <c r="C13" s="586">
        <f>DataBase!C61</f>
        <v>0</v>
      </c>
      <c r="D13" s="586">
        <f>DataBase!D61</f>
        <v>0</v>
      </c>
      <c r="E13" s="586">
        <f>DataBase!E61</f>
        <v>0</v>
      </c>
      <c r="F13" s="586">
        <f>DataBase!F61</f>
        <v>0</v>
      </c>
      <c r="G13" s="586">
        <f>DataBase!G61</f>
        <v>0</v>
      </c>
      <c r="H13" s="586">
        <f>DataBase!H61</f>
        <v>0</v>
      </c>
      <c r="I13" s="586">
        <f>DataBase!I61</f>
        <v>0</v>
      </c>
      <c r="J13" s="586">
        <f>DataBase!J61</f>
        <v>0</v>
      </c>
      <c r="K13" s="586">
        <f>DataBase!K61</f>
        <v>0</v>
      </c>
      <c r="L13" s="586">
        <f>DataBase!L61</f>
        <v>0</v>
      </c>
      <c r="M13" s="586">
        <f>DataBase!M61</f>
        <v>0</v>
      </c>
      <c r="N13" s="586">
        <f>DataBase!N61</f>
        <v>0</v>
      </c>
      <c r="O13" s="143">
        <f>SUM(C13:N13)</f>
        <v>0</v>
      </c>
      <c r="P13" s="580">
        <f t="shared" si="1"/>
        <v>0</v>
      </c>
      <c r="Q13" s="143">
        <f>(O13-P13)</f>
        <v>0</v>
      </c>
      <c r="R13" s="579"/>
    </row>
    <row r="14" spans="1:21" customFormat="1" ht="12.75" customHeight="1" x14ac:dyDescent="0.2">
      <c r="A14" s="562" t="s">
        <v>711</v>
      </c>
      <c r="B14" s="729" t="s">
        <v>1216</v>
      </c>
      <c r="C14" s="586">
        <f>DataBase!C62</f>
        <v>33</v>
      </c>
      <c r="D14" s="586">
        <f>DataBase!D62</f>
        <v>33</v>
      </c>
      <c r="E14" s="586">
        <f>DataBase!E62</f>
        <v>34</v>
      </c>
      <c r="F14" s="586">
        <f>DataBase!F62</f>
        <v>33</v>
      </c>
      <c r="G14" s="586">
        <f>DataBase!G62</f>
        <v>33</v>
      </c>
      <c r="H14" s="586">
        <f>DataBase!H62</f>
        <v>34</v>
      </c>
      <c r="I14" s="586">
        <f>DataBase!I62</f>
        <v>33</v>
      </c>
      <c r="J14" s="586">
        <f>DataBase!J62</f>
        <v>33</v>
      </c>
      <c r="K14" s="586">
        <f>DataBase!K62</f>
        <v>34</v>
      </c>
      <c r="L14" s="586">
        <f>DataBase!L62</f>
        <v>33</v>
      </c>
      <c r="M14" s="586">
        <f>DataBase!M62</f>
        <v>33</v>
      </c>
      <c r="N14" s="586">
        <f>DataBase!N62</f>
        <v>34</v>
      </c>
      <c r="O14" s="579">
        <f t="shared" si="0"/>
        <v>400</v>
      </c>
      <c r="P14" s="580">
        <f t="shared" si="1"/>
        <v>66</v>
      </c>
      <c r="Q14" s="579">
        <f t="shared" si="2"/>
        <v>334</v>
      </c>
      <c r="R14" s="579"/>
    </row>
    <row r="15" spans="1:21" customFormat="1" ht="12.75" customHeight="1" x14ac:dyDescent="0.2">
      <c r="A15" s="562" t="s">
        <v>695</v>
      </c>
      <c r="B15" s="729" t="s">
        <v>1216</v>
      </c>
      <c r="C15" s="586">
        <f>DataBase!C63</f>
        <v>0</v>
      </c>
      <c r="D15" s="586">
        <f>DataBase!D63</f>
        <v>0</v>
      </c>
      <c r="E15" s="586">
        <f>DataBase!E63</f>
        <v>0</v>
      </c>
      <c r="F15" s="586">
        <f>DataBase!F63</f>
        <v>0</v>
      </c>
      <c r="G15" s="586">
        <f>DataBase!G63</f>
        <v>0</v>
      </c>
      <c r="H15" s="586">
        <f>DataBase!H63</f>
        <v>0</v>
      </c>
      <c r="I15" s="586">
        <f>DataBase!I63</f>
        <v>0</v>
      </c>
      <c r="J15" s="586">
        <f>DataBase!J63</f>
        <v>0</v>
      </c>
      <c r="K15" s="586">
        <f>DataBase!K63</f>
        <v>0</v>
      </c>
      <c r="L15" s="586">
        <f>DataBase!L63</f>
        <v>0</v>
      </c>
      <c r="M15" s="586">
        <f>DataBase!M63</f>
        <v>0</v>
      </c>
      <c r="N15" s="586">
        <f>DataBase!N63</f>
        <v>0</v>
      </c>
      <c r="O15" s="579">
        <f>SUM(C15:N15)</f>
        <v>0</v>
      </c>
      <c r="P15" s="580">
        <f t="shared" si="1"/>
        <v>0</v>
      </c>
      <c r="Q15" s="579">
        <f>O15-P15</f>
        <v>0</v>
      </c>
      <c r="R15" s="579"/>
    </row>
    <row r="16" spans="1:21" customFormat="1" ht="12.75" customHeight="1" x14ac:dyDescent="0.2">
      <c r="A16" s="562" t="s">
        <v>712</v>
      </c>
      <c r="B16" s="729" t="s">
        <v>1216</v>
      </c>
      <c r="C16" s="586">
        <f>DataBase!C64</f>
        <v>0</v>
      </c>
      <c r="D16" s="586">
        <f>DataBase!D64</f>
        <v>0</v>
      </c>
      <c r="E16" s="586">
        <f>DataBase!E64</f>
        <v>0</v>
      </c>
      <c r="F16" s="586">
        <f>DataBase!F64</f>
        <v>0</v>
      </c>
      <c r="G16" s="586">
        <f>DataBase!G64</f>
        <v>0</v>
      </c>
      <c r="H16" s="586">
        <f>DataBase!H64</f>
        <v>0</v>
      </c>
      <c r="I16" s="586">
        <f>DataBase!I64</f>
        <v>0</v>
      </c>
      <c r="J16" s="586">
        <f>DataBase!J64</f>
        <v>0</v>
      </c>
      <c r="K16" s="586">
        <f>DataBase!K64</f>
        <v>0</v>
      </c>
      <c r="L16" s="586">
        <f>DataBase!L64</f>
        <v>0</v>
      </c>
      <c r="M16" s="586">
        <f>DataBase!M64</f>
        <v>0</v>
      </c>
      <c r="N16" s="586">
        <f>DataBase!N64</f>
        <v>0</v>
      </c>
      <c r="O16" s="579">
        <f>SUM(C16:N16)</f>
        <v>0</v>
      </c>
      <c r="P16" s="580">
        <f t="shared" si="1"/>
        <v>0</v>
      </c>
      <c r="Q16" s="579">
        <f>O16-P16</f>
        <v>0</v>
      </c>
      <c r="R16" s="579"/>
    </row>
    <row r="17" spans="1:21" customFormat="1" ht="6" customHeight="1" x14ac:dyDescent="0.2">
      <c r="A17" s="562"/>
      <c r="B17" s="729"/>
      <c r="C17" s="586"/>
      <c r="D17" s="586"/>
      <c r="E17" s="586"/>
      <c r="F17" s="586"/>
      <c r="G17" s="586"/>
      <c r="H17" s="586"/>
      <c r="I17" s="586"/>
      <c r="J17" s="586"/>
      <c r="K17" s="586"/>
      <c r="L17" s="586"/>
      <c r="M17" s="586"/>
      <c r="N17" s="586"/>
      <c r="O17" s="587"/>
      <c r="P17" s="580"/>
      <c r="Q17" s="579"/>
      <c r="R17" s="579"/>
    </row>
    <row r="18" spans="1:21" customFormat="1" ht="12.75" customHeight="1" x14ac:dyDescent="0.2">
      <c r="A18" s="562" t="s">
        <v>1108</v>
      </c>
      <c r="B18" s="729" t="s">
        <v>670</v>
      </c>
      <c r="C18" s="586">
        <f>DataBase!C66</f>
        <v>443</v>
      </c>
      <c r="D18" s="586">
        <f>DataBase!D66</f>
        <v>443</v>
      </c>
      <c r="E18" s="586">
        <f>DataBase!E66</f>
        <v>843</v>
      </c>
      <c r="F18" s="586">
        <f>DataBase!F66</f>
        <v>443</v>
      </c>
      <c r="G18" s="586">
        <f>DataBase!G66</f>
        <v>443</v>
      </c>
      <c r="H18" s="586">
        <f>DataBase!H66</f>
        <v>843</v>
      </c>
      <c r="I18" s="586">
        <f>DataBase!I66</f>
        <v>443</v>
      </c>
      <c r="J18" s="586">
        <f>DataBase!J66</f>
        <v>443</v>
      </c>
      <c r="K18" s="586">
        <f>DataBase!K66</f>
        <v>844</v>
      </c>
      <c r="L18" s="586">
        <f>DataBase!L66</f>
        <v>444</v>
      </c>
      <c r="M18" s="586">
        <f>DataBase!M66</f>
        <v>984</v>
      </c>
      <c r="N18" s="586">
        <f>DataBase!N66</f>
        <v>1384</v>
      </c>
      <c r="O18" s="587">
        <f>SUM(C18:N18)</f>
        <v>8000</v>
      </c>
      <c r="P18" s="580">
        <f t="shared" si="1"/>
        <v>886</v>
      </c>
      <c r="Q18" s="579">
        <f>O18-P18</f>
        <v>7114</v>
      </c>
      <c r="R18" s="579"/>
    </row>
    <row r="19" spans="1:21" customFormat="1" ht="12.75" customHeight="1" x14ac:dyDescent="0.2">
      <c r="A19" s="567" t="s">
        <v>775</v>
      </c>
      <c r="B19" s="729" t="s">
        <v>670</v>
      </c>
      <c r="C19" s="586">
        <f>DataBase!C67</f>
        <v>0</v>
      </c>
      <c r="D19" s="586">
        <f>DataBase!D67</f>
        <v>0</v>
      </c>
      <c r="E19" s="586">
        <f>DataBase!E67</f>
        <v>0</v>
      </c>
      <c r="F19" s="586">
        <f>DataBase!F67</f>
        <v>0</v>
      </c>
      <c r="G19" s="586">
        <f>DataBase!G67</f>
        <v>0</v>
      </c>
      <c r="H19" s="586">
        <f>DataBase!H67</f>
        <v>2000</v>
      </c>
      <c r="I19" s="586">
        <f>DataBase!I67</f>
        <v>0</v>
      </c>
      <c r="J19" s="586">
        <f>DataBase!J67</f>
        <v>0</v>
      </c>
      <c r="K19" s="586">
        <f>DataBase!K67</f>
        <v>0</v>
      </c>
      <c r="L19" s="586">
        <f>DataBase!L67</f>
        <v>0</v>
      </c>
      <c r="M19" s="586">
        <f>DataBase!M67</f>
        <v>0</v>
      </c>
      <c r="N19" s="586">
        <f>DataBase!N67</f>
        <v>0</v>
      </c>
      <c r="O19" s="587">
        <f>SUM(C19:N19)</f>
        <v>2000</v>
      </c>
      <c r="P19" s="580">
        <f t="shared" si="1"/>
        <v>0</v>
      </c>
      <c r="Q19" s="579">
        <f>O19-P19</f>
        <v>2000</v>
      </c>
      <c r="R19" s="579"/>
    </row>
    <row r="20" spans="1:21" customFormat="1" ht="12.75" customHeight="1" x14ac:dyDescent="0.2">
      <c r="A20" s="560" t="s">
        <v>395</v>
      </c>
      <c r="B20" s="729" t="s">
        <v>670</v>
      </c>
      <c r="C20" s="586">
        <f>DataBase!C68</f>
        <v>0</v>
      </c>
      <c r="D20" s="586">
        <f>DataBase!D68</f>
        <v>0</v>
      </c>
      <c r="E20" s="586">
        <f>DataBase!E68</f>
        <v>0</v>
      </c>
      <c r="F20" s="586">
        <f>DataBase!F68</f>
        <v>0</v>
      </c>
      <c r="G20" s="586">
        <f>DataBase!G68</f>
        <v>0</v>
      </c>
      <c r="H20" s="586">
        <f>DataBase!H68</f>
        <v>0</v>
      </c>
      <c r="I20" s="586">
        <f>DataBase!I68</f>
        <v>0</v>
      </c>
      <c r="J20" s="586">
        <f>DataBase!J68</f>
        <v>0</v>
      </c>
      <c r="K20" s="586">
        <f>DataBase!K68</f>
        <v>0</v>
      </c>
      <c r="L20" s="586">
        <f>DataBase!L68</f>
        <v>0</v>
      </c>
      <c r="M20" s="586">
        <f>DataBase!M68</f>
        <v>0</v>
      </c>
      <c r="N20" s="586">
        <f>DataBase!N68</f>
        <v>0</v>
      </c>
      <c r="O20" s="587">
        <f>SUM(C20:N20)</f>
        <v>0</v>
      </c>
      <c r="P20" s="580">
        <f t="shared" si="1"/>
        <v>0</v>
      </c>
      <c r="Q20" s="579">
        <f t="shared" ref="Q20:Q26" si="3">O20-P20</f>
        <v>0</v>
      </c>
      <c r="R20" s="579"/>
    </row>
    <row r="21" spans="1:21" customFormat="1" ht="12.75" customHeight="1" x14ac:dyDescent="0.2">
      <c r="A21" s="562" t="s">
        <v>1217</v>
      </c>
      <c r="B21" s="729" t="s">
        <v>670</v>
      </c>
      <c r="C21" s="586">
        <f>DataBase!C69</f>
        <v>0</v>
      </c>
      <c r="D21" s="586">
        <f>DataBase!D69</f>
        <v>0</v>
      </c>
      <c r="E21" s="586">
        <f>DataBase!E69</f>
        <v>0</v>
      </c>
      <c r="F21" s="586">
        <f>DataBase!F69</f>
        <v>0</v>
      </c>
      <c r="G21" s="586">
        <f>DataBase!G69</f>
        <v>0</v>
      </c>
      <c r="H21" s="586">
        <f>DataBase!H69</f>
        <v>0</v>
      </c>
      <c r="I21" s="586">
        <f>DataBase!I69</f>
        <v>0</v>
      </c>
      <c r="J21" s="586">
        <f>DataBase!J69</f>
        <v>0</v>
      </c>
      <c r="K21" s="586">
        <f>DataBase!K69</f>
        <v>0</v>
      </c>
      <c r="L21" s="586">
        <f>DataBase!L69</f>
        <v>0</v>
      </c>
      <c r="M21" s="586">
        <f>DataBase!M69</f>
        <v>0</v>
      </c>
      <c r="N21" s="586">
        <f>DataBase!N69</f>
        <v>0</v>
      </c>
      <c r="O21" s="587">
        <f t="shared" ref="O21:O26" si="4">SUM(C21:N21)</f>
        <v>0</v>
      </c>
      <c r="P21" s="580">
        <f t="shared" si="1"/>
        <v>0</v>
      </c>
      <c r="Q21" s="579">
        <f t="shared" si="3"/>
        <v>0</v>
      </c>
      <c r="R21" s="579"/>
    </row>
    <row r="22" spans="1:21" ht="12.75" customHeight="1" x14ac:dyDescent="0.25">
      <c r="A22" s="567" t="s">
        <v>1233</v>
      </c>
      <c r="B22" s="729" t="s">
        <v>670</v>
      </c>
      <c r="C22" s="586">
        <f>DataBase!C294</f>
        <v>191</v>
      </c>
      <c r="D22" s="586">
        <f>DataBase!D294</f>
        <v>192</v>
      </c>
      <c r="E22" s="586">
        <f>DataBase!E294</f>
        <v>192</v>
      </c>
      <c r="F22" s="586">
        <f>DataBase!F294</f>
        <v>191</v>
      </c>
      <c r="G22" s="586">
        <f>DataBase!G294</f>
        <v>192</v>
      </c>
      <c r="H22" s="586">
        <f>DataBase!H294</f>
        <v>192</v>
      </c>
      <c r="I22" s="586">
        <f>DataBase!I294</f>
        <v>191</v>
      </c>
      <c r="J22" s="586">
        <f>DataBase!J294</f>
        <v>192</v>
      </c>
      <c r="K22" s="586">
        <f>DataBase!K294</f>
        <v>192</v>
      </c>
      <c r="L22" s="586">
        <f>DataBase!L294</f>
        <v>191</v>
      </c>
      <c r="M22" s="586">
        <f>DataBase!M294</f>
        <v>192</v>
      </c>
      <c r="N22" s="586">
        <f>DataBase!N294</f>
        <v>192</v>
      </c>
      <c r="O22" s="587">
        <f t="shared" si="4"/>
        <v>2300</v>
      </c>
      <c r="P22" s="580">
        <f t="shared" si="1"/>
        <v>383</v>
      </c>
      <c r="Q22" s="579">
        <f t="shared" si="3"/>
        <v>1917</v>
      </c>
      <c r="R22" s="579"/>
      <c r="S22" s="14"/>
      <c r="T22" s="14"/>
      <c r="U22" s="14"/>
    </row>
    <row r="23" spans="1:21" ht="12.75" customHeight="1" x14ac:dyDescent="0.25">
      <c r="A23" s="562" t="s">
        <v>30</v>
      </c>
      <c r="B23" s="729" t="s">
        <v>670</v>
      </c>
      <c r="C23" s="586">
        <f>DataBase!C70</f>
        <v>0</v>
      </c>
      <c r="D23" s="586">
        <f>DataBase!D70</f>
        <v>0</v>
      </c>
      <c r="E23" s="586">
        <f>DataBase!E70</f>
        <v>0</v>
      </c>
      <c r="F23" s="586">
        <f>DataBase!F70</f>
        <v>0</v>
      </c>
      <c r="G23" s="586">
        <f>DataBase!G70</f>
        <v>0</v>
      </c>
      <c r="H23" s="586">
        <f>DataBase!H70</f>
        <v>0</v>
      </c>
      <c r="I23" s="586">
        <f>DataBase!I70</f>
        <v>0</v>
      </c>
      <c r="J23" s="586">
        <f>DataBase!J70</f>
        <v>0</v>
      </c>
      <c r="K23" s="586">
        <f>DataBase!K70</f>
        <v>0</v>
      </c>
      <c r="L23" s="586">
        <f>DataBase!L70</f>
        <v>0</v>
      </c>
      <c r="M23" s="586">
        <f>DataBase!M70</f>
        <v>0</v>
      </c>
      <c r="N23" s="586">
        <f>DataBase!N70</f>
        <v>0</v>
      </c>
      <c r="O23" s="587">
        <f>SUM(C23:N23)</f>
        <v>0</v>
      </c>
      <c r="P23" s="580">
        <f t="shared" si="1"/>
        <v>0</v>
      </c>
      <c r="Q23" s="579">
        <f>O23-P23</f>
        <v>0</v>
      </c>
      <c r="R23" s="579"/>
      <c r="S23" s="14"/>
      <c r="T23" s="14"/>
      <c r="U23" s="14"/>
    </row>
    <row r="24" spans="1:21" ht="12.75" customHeight="1" x14ac:dyDescent="0.25">
      <c r="A24" s="544" t="s">
        <v>340</v>
      </c>
      <c r="B24" s="729" t="s">
        <v>751</v>
      </c>
      <c r="C24" s="586">
        <f>DataBase!C71</f>
        <v>0</v>
      </c>
      <c r="D24" s="586">
        <f>DataBase!D71</f>
        <v>0</v>
      </c>
      <c r="E24" s="586">
        <f>DataBase!E71</f>
        <v>0</v>
      </c>
      <c r="F24" s="586">
        <f>DataBase!F71</f>
        <v>0</v>
      </c>
      <c r="G24" s="586">
        <f>DataBase!G71</f>
        <v>0</v>
      </c>
      <c r="H24" s="586">
        <f>DataBase!H71</f>
        <v>0</v>
      </c>
      <c r="I24" s="586">
        <f>DataBase!I71</f>
        <v>0</v>
      </c>
      <c r="J24" s="586">
        <f>DataBase!J71</f>
        <v>0</v>
      </c>
      <c r="K24" s="586">
        <f>DataBase!K71</f>
        <v>0</v>
      </c>
      <c r="L24" s="586">
        <f>DataBase!L71</f>
        <v>0</v>
      </c>
      <c r="M24" s="586">
        <f>DataBase!M71</f>
        <v>0</v>
      </c>
      <c r="N24" s="586">
        <f>DataBase!N71</f>
        <v>0</v>
      </c>
      <c r="O24" s="579">
        <f t="shared" si="4"/>
        <v>0</v>
      </c>
      <c r="P24" s="580">
        <f t="shared" si="1"/>
        <v>0</v>
      </c>
      <c r="Q24" s="579">
        <f t="shared" si="3"/>
        <v>0</v>
      </c>
      <c r="R24" s="579"/>
      <c r="S24" s="14"/>
      <c r="T24" s="14"/>
      <c r="U24" s="14"/>
    </row>
    <row r="25" spans="1:21" ht="12.75" customHeight="1" x14ac:dyDescent="0.25">
      <c r="A25" s="562" t="s">
        <v>713</v>
      </c>
      <c r="B25" s="729" t="s">
        <v>751</v>
      </c>
      <c r="C25" s="586">
        <f>DataBase!C72</f>
        <v>0</v>
      </c>
      <c r="D25" s="586">
        <f>DataBase!D72</f>
        <v>0</v>
      </c>
      <c r="E25" s="586">
        <f>DataBase!E72</f>
        <v>0</v>
      </c>
      <c r="F25" s="586">
        <f>DataBase!F72</f>
        <v>0</v>
      </c>
      <c r="G25" s="586">
        <f>DataBase!G72</f>
        <v>0</v>
      </c>
      <c r="H25" s="586">
        <f>DataBase!H72</f>
        <v>0</v>
      </c>
      <c r="I25" s="586">
        <f>DataBase!I72</f>
        <v>0</v>
      </c>
      <c r="J25" s="586">
        <f>DataBase!J72</f>
        <v>0</v>
      </c>
      <c r="K25" s="586">
        <f>DataBase!K72</f>
        <v>0</v>
      </c>
      <c r="L25" s="586">
        <f>DataBase!L72</f>
        <v>0</v>
      </c>
      <c r="M25" s="586">
        <f>DataBase!M72</f>
        <v>0</v>
      </c>
      <c r="N25" s="586">
        <f>DataBase!N72</f>
        <v>0</v>
      </c>
      <c r="O25" s="579">
        <f t="shared" si="4"/>
        <v>0</v>
      </c>
      <c r="P25" s="580">
        <f t="shared" si="1"/>
        <v>0</v>
      </c>
      <c r="Q25" s="579">
        <f t="shared" si="3"/>
        <v>0</v>
      </c>
      <c r="R25" s="579"/>
      <c r="S25" s="14"/>
      <c r="T25" s="14"/>
      <c r="U25" s="14"/>
    </row>
    <row r="26" spans="1:21" ht="12.75" customHeight="1" x14ac:dyDescent="0.25">
      <c r="A26" s="562" t="s">
        <v>1187</v>
      </c>
      <c r="B26" s="730"/>
      <c r="C26" s="582">
        <f>0</f>
        <v>0</v>
      </c>
      <c r="D26" s="582">
        <f>0</f>
        <v>0</v>
      </c>
      <c r="E26" s="582">
        <f>0</f>
        <v>0</v>
      </c>
      <c r="F26" s="582">
        <f>0</f>
        <v>0</v>
      </c>
      <c r="G26" s="582">
        <f>0</f>
        <v>0</v>
      </c>
      <c r="H26" s="582">
        <f>0</f>
        <v>0</v>
      </c>
      <c r="I26" s="582">
        <f>0</f>
        <v>0</v>
      </c>
      <c r="J26" s="582">
        <f>0</f>
        <v>0</v>
      </c>
      <c r="K26" s="582">
        <f>0</f>
        <v>0</v>
      </c>
      <c r="L26" s="582">
        <f>0</f>
        <v>0</v>
      </c>
      <c r="M26" s="582">
        <f>0</f>
        <v>0</v>
      </c>
      <c r="N26" s="582">
        <f>0</f>
        <v>0</v>
      </c>
      <c r="O26" s="583">
        <f t="shared" si="4"/>
        <v>0</v>
      </c>
      <c r="P26" s="582">
        <f t="shared" si="1"/>
        <v>0</v>
      </c>
      <c r="Q26" s="583">
        <f t="shared" si="3"/>
        <v>0</v>
      </c>
      <c r="R26" s="583"/>
      <c r="S26" s="14"/>
      <c r="T26" s="14"/>
      <c r="U26" s="14"/>
    </row>
    <row r="27" spans="1:21" ht="6" customHeight="1" x14ac:dyDescent="0.25">
      <c r="A27" s="563"/>
      <c r="B27" s="730"/>
      <c r="C27" s="580"/>
      <c r="D27" s="580"/>
      <c r="E27" s="580"/>
      <c r="F27" s="580"/>
      <c r="G27" s="580"/>
      <c r="H27" s="580"/>
      <c r="I27" s="580"/>
      <c r="J27" s="580"/>
      <c r="K27" s="580"/>
      <c r="L27" s="580"/>
      <c r="M27" s="580"/>
      <c r="N27" s="580"/>
      <c r="O27" s="579"/>
      <c r="P27" s="580"/>
      <c r="Q27" s="579"/>
      <c r="R27" s="579"/>
      <c r="S27" s="14"/>
      <c r="T27" s="14"/>
      <c r="U27" s="14"/>
    </row>
    <row r="28" spans="1:21" ht="12.75" customHeight="1" x14ac:dyDescent="0.25">
      <c r="A28" s="569" t="s">
        <v>1218</v>
      </c>
      <c r="B28" s="731"/>
      <c r="C28" s="585">
        <f>SUM(C7:C27)</f>
        <v>842</v>
      </c>
      <c r="D28" s="585">
        <f t="shared" ref="D28:Q28" si="5">SUM(D7:D27)</f>
        <v>793</v>
      </c>
      <c r="E28" s="585">
        <f t="shared" si="5"/>
        <v>1169</v>
      </c>
      <c r="F28" s="585">
        <f t="shared" si="5"/>
        <v>692</v>
      </c>
      <c r="G28" s="585">
        <f t="shared" si="5"/>
        <v>693</v>
      </c>
      <c r="H28" s="585">
        <f t="shared" si="5"/>
        <v>3094</v>
      </c>
      <c r="I28" s="585">
        <f t="shared" si="5"/>
        <v>692</v>
      </c>
      <c r="J28" s="585">
        <f t="shared" si="5"/>
        <v>693</v>
      </c>
      <c r="K28" s="585">
        <f t="shared" si="5"/>
        <v>1095</v>
      </c>
      <c r="L28" s="585">
        <f t="shared" si="5"/>
        <v>693</v>
      </c>
      <c r="M28" s="585">
        <f t="shared" si="5"/>
        <v>1284</v>
      </c>
      <c r="N28" s="585">
        <f t="shared" si="5"/>
        <v>1710</v>
      </c>
      <c r="O28" s="585">
        <f t="shared" si="5"/>
        <v>13450</v>
      </c>
      <c r="P28" s="585">
        <f t="shared" si="5"/>
        <v>1635</v>
      </c>
      <c r="Q28" s="585">
        <f t="shared" si="5"/>
        <v>11815</v>
      </c>
      <c r="R28" s="585"/>
      <c r="S28" s="14"/>
      <c r="T28" s="14"/>
      <c r="U28" s="14"/>
    </row>
    <row r="29" spans="1:21" ht="12.75" customHeight="1" x14ac:dyDescent="0.25">
      <c r="A29" s="570"/>
      <c r="B29" s="711"/>
      <c r="C29" s="585"/>
      <c r="D29" s="578"/>
      <c r="E29" s="578"/>
      <c r="F29" s="578"/>
      <c r="G29" s="578"/>
      <c r="H29" s="578"/>
      <c r="I29" s="578"/>
      <c r="J29" s="578"/>
      <c r="K29" s="578"/>
      <c r="L29" s="578"/>
      <c r="M29" s="578"/>
      <c r="N29" s="578"/>
      <c r="O29" s="578"/>
      <c r="P29" s="578"/>
      <c r="Q29" s="578"/>
      <c r="R29" s="578"/>
      <c r="S29" s="14"/>
      <c r="T29" s="14"/>
      <c r="U29" s="14"/>
    </row>
    <row r="30" spans="1:21" ht="6" customHeight="1" x14ac:dyDescent="0.25">
      <c r="A30" s="722"/>
      <c r="B30" s="723"/>
      <c r="C30" s="724"/>
      <c r="D30" s="724"/>
      <c r="E30" s="724"/>
      <c r="F30" s="724"/>
      <c r="G30" s="724"/>
      <c r="H30" s="724"/>
      <c r="I30" s="724"/>
      <c r="J30" s="724"/>
      <c r="K30" s="724"/>
      <c r="L30" s="724"/>
      <c r="M30" s="724"/>
      <c r="N30" s="724"/>
      <c r="O30" s="724"/>
      <c r="P30" s="724"/>
      <c r="Q30" s="724"/>
      <c r="R30" s="564"/>
      <c r="S30" s="14"/>
      <c r="T30" s="14"/>
      <c r="U30" s="14"/>
    </row>
    <row r="31" spans="1:21" ht="12.75" customHeight="1" x14ac:dyDescent="0.25">
      <c r="A31" s="570"/>
      <c r="B31" s="732"/>
      <c r="C31" s="578"/>
      <c r="D31" s="578"/>
      <c r="E31" s="578"/>
      <c r="F31" s="578"/>
      <c r="G31" s="578"/>
      <c r="H31" s="578"/>
      <c r="I31" s="578"/>
      <c r="J31" s="578"/>
      <c r="K31" s="578"/>
      <c r="L31" s="578"/>
      <c r="M31" s="578"/>
      <c r="N31" s="578"/>
      <c r="O31" s="564"/>
      <c r="P31" s="564"/>
      <c r="Q31" s="564"/>
      <c r="R31" s="564"/>
      <c r="S31" s="14"/>
      <c r="T31" s="14"/>
      <c r="U31" s="14"/>
    </row>
    <row r="32" spans="1:21" ht="12.75" customHeight="1" x14ac:dyDescent="0.25">
      <c r="A32" s="571" t="str">
        <f ca="1">A1</f>
        <v>C:\Users\Felienne\Enron\EnronSpreadsheets\[tracy_geaccone__40367__EMNNG02PL.xls]IncomeState</v>
      </c>
      <c r="B32" s="732"/>
      <c r="C32" s="588"/>
      <c r="D32" s="588"/>
      <c r="E32" s="588"/>
      <c r="F32" s="588"/>
      <c r="G32" s="589"/>
      <c r="H32" s="588"/>
      <c r="I32" s="588"/>
      <c r="J32" s="588"/>
      <c r="K32" s="588"/>
      <c r="L32" s="588"/>
      <c r="M32" s="588"/>
      <c r="N32" s="588"/>
      <c r="O32" s="588"/>
      <c r="P32" s="590"/>
      <c r="Q32" s="564"/>
      <c r="R32" s="564"/>
      <c r="S32" s="14"/>
      <c r="T32" s="14"/>
      <c r="U32" s="14"/>
    </row>
    <row r="33" spans="1:21" ht="12.75" customHeight="1" x14ac:dyDescent="0.25">
      <c r="A33" s="572" t="s">
        <v>1219</v>
      </c>
      <c r="B33" s="732"/>
      <c r="C33" s="588"/>
      <c r="D33" s="588"/>
      <c r="E33" s="588"/>
      <c r="F33" s="588"/>
      <c r="G33" s="588"/>
      <c r="H33" s="588"/>
      <c r="I33" s="588"/>
      <c r="J33" s="588"/>
      <c r="K33" s="588"/>
      <c r="L33" s="588"/>
      <c r="M33" s="588"/>
      <c r="N33" s="588"/>
      <c r="O33" s="588"/>
      <c r="P33" s="590"/>
      <c r="Q33" s="564"/>
      <c r="R33" s="564"/>
      <c r="S33" s="14"/>
      <c r="T33" s="14"/>
      <c r="U33" s="14"/>
    </row>
    <row r="34" spans="1:21" ht="12.75" customHeight="1" x14ac:dyDescent="0.25">
      <c r="A34" s="573" t="str">
        <f>IncomeState!A3</f>
        <v>2002 OPERATING PLAN</v>
      </c>
      <c r="B34" s="733">
        <f ca="1">NOW()</f>
        <v>41887.551126967592</v>
      </c>
      <c r="C34" s="591" t="str">
        <f>DataBase!C2</f>
        <v>PLAN</v>
      </c>
      <c r="D34" s="591" t="str">
        <f>DataBase!D2</f>
        <v>PLAN</v>
      </c>
      <c r="E34" s="591" t="str">
        <f>DataBase!E2</f>
        <v>PLAN</v>
      </c>
      <c r="F34" s="591" t="str">
        <f>DataBase!F2</f>
        <v>PLAN</v>
      </c>
      <c r="G34" s="591" t="str">
        <f>DataBase!G2</f>
        <v>PLAN</v>
      </c>
      <c r="H34" s="591" t="str">
        <f>DataBase!H2</f>
        <v>PLAN</v>
      </c>
      <c r="I34" s="591" t="str">
        <f>DataBase!I2</f>
        <v>PLAN</v>
      </c>
      <c r="J34" s="591" t="str">
        <f>DataBase!J2</f>
        <v>PLAN</v>
      </c>
      <c r="K34" s="591" t="str">
        <f>DataBase!K2</f>
        <v>PLAN</v>
      </c>
      <c r="L34" s="591" t="str">
        <f>DataBase!L2</f>
        <v>PLAN</v>
      </c>
      <c r="M34" s="591" t="str">
        <f>DataBase!M2</f>
        <v>PLAN</v>
      </c>
      <c r="N34" s="591" t="str">
        <f>DataBase!N2</f>
        <v>PLAN</v>
      </c>
      <c r="O34" s="591" t="str">
        <f>DataBase!O2</f>
        <v>TOTAL</v>
      </c>
      <c r="P34" s="592"/>
      <c r="Q34" s="564"/>
      <c r="R34" s="564"/>
      <c r="S34" s="14"/>
      <c r="T34" s="14"/>
      <c r="U34" s="14"/>
    </row>
    <row r="35" spans="1:21" ht="12.75" customHeight="1" x14ac:dyDescent="0.25">
      <c r="A35" s="574"/>
      <c r="B35" s="734">
        <f ca="1">NOW()</f>
        <v>41887.551126967592</v>
      </c>
      <c r="C35" s="593" t="str">
        <f t="shared" ref="C35:O35" si="6">C4</f>
        <v>JAN</v>
      </c>
      <c r="D35" s="593" t="str">
        <f t="shared" si="6"/>
        <v>FEB</v>
      </c>
      <c r="E35" s="593" t="str">
        <f t="shared" si="6"/>
        <v>MAR</v>
      </c>
      <c r="F35" s="593" t="str">
        <f t="shared" si="6"/>
        <v>APR</v>
      </c>
      <c r="G35" s="593" t="str">
        <f t="shared" si="6"/>
        <v>MAY</v>
      </c>
      <c r="H35" s="593" t="str">
        <f t="shared" si="6"/>
        <v>JUN</v>
      </c>
      <c r="I35" s="593" t="str">
        <f t="shared" si="6"/>
        <v>JUL</v>
      </c>
      <c r="J35" s="593" t="str">
        <f t="shared" si="6"/>
        <v>AUG</v>
      </c>
      <c r="K35" s="593" t="str">
        <f t="shared" si="6"/>
        <v>SEP</v>
      </c>
      <c r="L35" s="593" t="str">
        <f t="shared" si="6"/>
        <v>OCT</v>
      </c>
      <c r="M35" s="593" t="str">
        <f t="shared" si="6"/>
        <v>NOV</v>
      </c>
      <c r="N35" s="593" t="str">
        <f t="shared" si="6"/>
        <v>DEC</v>
      </c>
      <c r="O35" s="593" t="str">
        <f t="shared" si="6"/>
        <v>2002</v>
      </c>
      <c r="P35" s="590"/>
      <c r="Q35" s="564"/>
      <c r="R35" s="564"/>
      <c r="S35" s="14"/>
      <c r="T35" s="14"/>
      <c r="U35" s="14"/>
    </row>
    <row r="36" spans="1:21" ht="3.95" customHeight="1" x14ac:dyDescent="0.25">
      <c r="A36" s="570"/>
      <c r="B36" s="732"/>
      <c r="C36" s="594"/>
      <c r="D36" s="594"/>
      <c r="E36" s="594"/>
      <c r="F36" s="594"/>
      <c r="G36" s="594"/>
      <c r="H36" s="594"/>
      <c r="I36" s="594"/>
      <c r="J36" s="594"/>
      <c r="K36" s="594"/>
      <c r="L36" s="594"/>
      <c r="M36" s="594"/>
      <c r="N36" s="594"/>
      <c r="O36" s="594"/>
      <c r="P36" s="590"/>
      <c r="Q36" s="564"/>
      <c r="R36" s="564"/>
      <c r="S36" s="14"/>
      <c r="T36" s="14"/>
      <c r="U36" s="14"/>
    </row>
    <row r="37" spans="1:21" ht="12" customHeight="1" x14ac:dyDescent="0.25">
      <c r="A37" s="569" t="s">
        <v>8</v>
      </c>
      <c r="B37" s="732"/>
      <c r="C37" s="564"/>
      <c r="D37" s="564"/>
      <c r="E37" s="564"/>
      <c r="F37" s="564"/>
      <c r="G37" s="564"/>
      <c r="H37" s="564"/>
      <c r="I37" s="564"/>
      <c r="J37" s="564"/>
      <c r="K37" s="564"/>
      <c r="L37" s="564"/>
      <c r="M37" s="564"/>
      <c r="N37" s="564"/>
      <c r="O37" s="564"/>
      <c r="P37" s="590"/>
      <c r="Q37" s="564"/>
      <c r="R37" s="564"/>
      <c r="S37" s="14"/>
      <c r="T37" s="14"/>
      <c r="U37" s="14"/>
    </row>
    <row r="38" spans="1:21" ht="12" customHeight="1" x14ac:dyDescent="0.25">
      <c r="A38" s="560" t="s">
        <v>9</v>
      </c>
      <c r="B38" s="732"/>
      <c r="C38" s="595">
        <v>0</v>
      </c>
      <c r="D38" s="595">
        <v>0</v>
      </c>
      <c r="E38" s="595">
        <v>0</v>
      </c>
      <c r="F38" s="595">
        <v>0</v>
      </c>
      <c r="G38" s="595">
        <v>0</v>
      </c>
      <c r="H38" s="595">
        <v>0</v>
      </c>
      <c r="I38" s="595">
        <v>0</v>
      </c>
      <c r="J38" s="595">
        <v>0</v>
      </c>
      <c r="K38" s="595">
        <v>0</v>
      </c>
      <c r="L38" s="595">
        <v>0</v>
      </c>
      <c r="M38" s="595">
        <v>0</v>
      </c>
      <c r="N38" s="595">
        <v>0</v>
      </c>
      <c r="O38" s="579">
        <f>SUM(C38:N38)</f>
        <v>0</v>
      </c>
      <c r="P38" s="590"/>
      <c r="Q38" s="564"/>
      <c r="R38" s="564"/>
      <c r="S38" s="14"/>
      <c r="T38" s="14"/>
      <c r="U38" s="14"/>
    </row>
    <row r="39" spans="1:21" ht="12" customHeight="1" x14ac:dyDescent="0.25">
      <c r="A39" s="560" t="s">
        <v>10</v>
      </c>
      <c r="B39" s="732"/>
      <c r="C39" s="595">
        <v>0</v>
      </c>
      <c r="D39" s="595">
        <v>0</v>
      </c>
      <c r="E39" s="595">
        <v>0</v>
      </c>
      <c r="F39" s="595">
        <v>0</v>
      </c>
      <c r="G39" s="595">
        <v>0</v>
      </c>
      <c r="H39" s="595">
        <v>0</v>
      </c>
      <c r="I39" s="595">
        <v>0</v>
      </c>
      <c r="J39" s="595">
        <v>0</v>
      </c>
      <c r="K39" s="595">
        <v>0</v>
      </c>
      <c r="L39" s="595">
        <v>0</v>
      </c>
      <c r="M39" s="595">
        <v>0</v>
      </c>
      <c r="N39" s="595">
        <v>0</v>
      </c>
      <c r="O39" s="579">
        <f>SUM(C39:N39)</f>
        <v>0</v>
      </c>
      <c r="P39" s="590"/>
      <c r="Q39" s="564"/>
      <c r="R39" s="564"/>
      <c r="S39" s="14"/>
      <c r="T39" s="14"/>
      <c r="U39" s="14"/>
    </row>
    <row r="40" spans="1:21" ht="12" customHeight="1" x14ac:dyDescent="0.25">
      <c r="A40" s="560" t="s">
        <v>11</v>
      </c>
      <c r="B40" s="732"/>
      <c r="C40" s="596">
        <v>0</v>
      </c>
      <c r="D40" s="596">
        <v>0</v>
      </c>
      <c r="E40" s="596">
        <v>0</v>
      </c>
      <c r="F40" s="596">
        <v>0</v>
      </c>
      <c r="G40" s="596">
        <v>0</v>
      </c>
      <c r="H40" s="596">
        <v>0</v>
      </c>
      <c r="I40" s="596">
        <v>0</v>
      </c>
      <c r="J40" s="596">
        <v>0</v>
      </c>
      <c r="K40" s="596">
        <v>0</v>
      </c>
      <c r="L40" s="596">
        <v>0</v>
      </c>
      <c r="M40" s="596">
        <v>0</v>
      </c>
      <c r="N40" s="596">
        <v>0</v>
      </c>
      <c r="O40" s="583">
        <f>SUM(C40:N40)</f>
        <v>0</v>
      </c>
      <c r="P40" s="590"/>
      <c r="Q40" s="564"/>
      <c r="R40" s="564"/>
      <c r="S40" s="14"/>
      <c r="T40" s="14"/>
      <c r="U40" s="14"/>
    </row>
    <row r="41" spans="1:21" ht="3.95" customHeight="1" x14ac:dyDescent="0.25">
      <c r="A41" s="570"/>
      <c r="B41" s="732"/>
      <c r="C41" s="564"/>
      <c r="D41" s="564"/>
      <c r="E41" s="564"/>
      <c r="F41" s="564"/>
      <c r="G41" s="564"/>
      <c r="H41" s="564"/>
      <c r="I41" s="564"/>
      <c r="J41" s="564"/>
      <c r="K41" s="564"/>
      <c r="L41" s="564"/>
      <c r="M41" s="564"/>
      <c r="N41" s="564"/>
      <c r="O41" s="564"/>
      <c r="P41" s="590"/>
      <c r="Q41" s="564"/>
      <c r="R41" s="564"/>
      <c r="S41" s="14"/>
      <c r="T41" s="14"/>
      <c r="U41" s="14"/>
    </row>
    <row r="42" spans="1:21" ht="12" customHeight="1" x14ac:dyDescent="0.25">
      <c r="A42" s="560" t="s">
        <v>12</v>
      </c>
      <c r="B42" s="732"/>
      <c r="C42" s="579">
        <f t="shared" ref="C42:N42" si="7">C38+C39+C40</f>
        <v>0</v>
      </c>
      <c r="D42" s="579">
        <f t="shared" si="7"/>
        <v>0</v>
      </c>
      <c r="E42" s="579">
        <f t="shared" si="7"/>
        <v>0</v>
      </c>
      <c r="F42" s="579">
        <f t="shared" si="7"/>
        <v>0</v>
      </c>
      <c r="G42" s="579">
        <f t="shared" si="7"/>
        <v>0</v>
      </c>
      <c r="H42" s="579">
        <f t="shared" si="7"/>
        <v>0</v>
      </c>
      <c r="I42" s="579">
        <f t="shared" si="7"/>
        <v>0</v>
      </c>
      <c r="J42" s="579">
        <f t="shared" si="7"/>
        <v>0</v>
      </c>
      <c r="K42" s="579">
        <f t="shared" si="7"/>
        <v>0</v>
      </c>
      <c r="L42" s="579">
        <f t="shared" si="7"/>
        <v>0</v>
      </c>
      <c r="M42" s="579">
        <f t="shared" si="7"/>
        <v>0</v>
      </c>
      <c r="N42" s="579">
        <f t="shared" si="7"/>
        <v>0</v>
      </c>
      <c r="O42" s="579">
        <f>SUM(C42:N42)</f>
        <v>0</v>
      </c>
      <c r="P42" s="590"/>
      <c r="Q42" s="564"/>
      <c r="R42" s="564"/>
      <c r="S42" s="14"/>
      <c r="T42" s="14"/>
      <c r="U42" s="14"/>
    </row>
    <row r="43" spans="1:21" ht="3.95" customHeight="1" x14ac:dyDescent="0.25">
      <c r="A43" s="570"/>
      <c r="B43" s="732"/>
      <c r="C43" s="564"/>
      <c r="D43" s="564"/>
      <c r="E43" s="564"/>
      <c r="F43" s="564"/>
      <c r="G43" s="564"/>
      <c r="H43" s="564"/>
      <c r="I43" s="564"/>
      <c r="J43" s="564"/>
      <c r="K43" s="564"/>
      <c r="L43" s="564"/>
      <c r="M43" s="564"/>
      <c r="N43" s="564"/>
      <c r="O43" s="564"/>
      <c r="P43" s="590"/>
      <c r="Q43" s="564"/>
      <c r="R43" s="564"/>
      <c r="S43" s="14"/>
      <c r="T43" s="14"/>
      <c r="U43" s="14"/>
    </row>
    <row r="44" spans="1:21" ht="12" customHeight="1" x14ac:dyDescent="0.25">
      <c r="A44" s="562" t="s">
        <v>13</v>
      </c>
      <c r="B44" s="732"/>
      <c r="C44" s="310">
        <f>IF(C42=0,0,ROUND(+C46/C42,4))</f>
        <v>0</v>
      </c>
      <c r="D44" s="310">
        <f t="shared" ref="D44:O44" si="8">IF(D42=0,0,ROUND(+D46/D42,4))</f>
        <v>0</v>
      </c>
      <c r="E44" s="310">
        <f t="shared" si="8"/>
        <v>0</v>
      </c>
      <c r="F44" s="310">
        <f t="shared" si="8"/>
        <v>0</v>
      </c>
      <c r="G44" s="310">
        <f t="shared" si="8"/>
        <v>0</v>
      </c>
      <c r="H44" s="310">
        <f t="shared" si="8"/>
        <v>0</v>
      </c>
      <c r="I44" s="310">
        <f t="shared" si="8"/>
        <v>0</v>
      </c>
      <c r="J44" s="310">
        <f t="shared" si="8"/>
        <v>0</v>
      </c>
      <c r="K44" s="310">
        <f t="shared" si="8"/>
        <v>0</v>
      </c>
      <c r="L44" s="310">
        <f t="shared" si="8"/>
        <v>0</v>
      </c>
      <c r="M44" s="310">
        <f t="shared" si="8"/>
        <v>0</v>
      </c>
      <c r="N44" s="310">
        <f t="shared" si="8"/>
        <v>0</v>
      </c>
      <c r="O44" s="310">
        <f t="shared" si="8"/>
        <v>0</v>
      </c>
      <c r="P44" s="590"/>
      <c r="Q44" s="564"/>
      <c r="R44" s="564"/>
      <c r="S44" s="14"/>
      <c r="T44" s="14"/>
      <c r="U44" s="14"/>
    </row>
    <row r="45" spans="1:21" ht="3.95" customHeight="1" x14ac:dyDescent="0.25">
      <c r="A45" s="570"/>
      <c r="B45" s="732"/>
      <c r="C45" s="564"/>
      <c r="D45" s="564"/>
      <c r="E45" s="564"/>
      <c r="F45" s="564"/>
      <c r="G45" s="564"/>
      <c r="H45" s="564"/>
      <c r="I45" s="564"/>
      <c r="J45" s="564"/>
      <c r="K45" s="564"/>
      <c r="L45" s="564"/>
      <c r="M45" s="564"/>
      <c r="N45" s="564"/>
      <c r="O45" s="564"/>
      <c r="P45" s="590"/>
      <c r="Q45" s="564"/>
      <c r="R45" s="564"/>
      <c r="S45" s="14"/>
      <c r="T45" s="14"/>
      <c r="U45" s="14"/>
    </row>
    <row r="46" spans="1:21" ht="12" customHeight="1" x14ac:dyDescent="0.25">
      <c r="A46" s="575" t="s">
        <v>776</v>
      </c>
      <c r="B46" s="837" t="s">
        <v>778</v>
      </c>
      <c r="C46" s="597">
        <f>Transport!C19+Transport!C31</f>
        <v>552</v>
      </c>
      <c r="D46" s="597">
        <f>Transport!D19+Transport!D31</f>
        <v>552</v>
      </c>
      <c r="E46" s="597">
        <f>Transport!E19+Transport!E31</f>
        <v>552</v>
      </c>
      <c r="F46" s="597">
        <f>Transport!F19+Transport!F31</f>
        <v>552</v>
      </c>
      <c r="G46" s="597">
        <f>Transport!G19+Transport!G31</f>
        <v>552</v>
      </c>
      <c r="H46" s="597">
        <f>Transport!H19+Transport!H31</f>
        <v>552</v>
      </c>
      <c r="I46" s="597">
        <f>Transport!I19+Transport!I31</f>
        <v>552</v>
      </c>
      <c r="J46" s="597">
        <f>Transport!J19+Transport!J31</f>
        <v>552</v>
      </c>
      <c r="K46" s="597">
        <f>Transport!K19+Transport!K31</f>
        <v>552</v>
      </c>
      <c r="L46" s="597">
        <f>Transport!L19+Transport!L31</f>
        <v>552</v>
      </c>
      <c r="M46" s="597">
        <f>Transport!M19+Transport!M31</f>
        <v>552</v>
      </c>
      <c r="N46" s="597">
        <f>Transport!N19+Transport!N31</f>
        <v>552</v>
      </c>
      <c r="O46" s="597">
        <f>SUM(C46:N46)</f>
        <v>6624</v>
      </c>
      <c r="P46" s="590"/>
      <c r="Q46" s="564"/>
      <c r="R46" s="564"/>
      <c r="S46" s="14"/>
      <c r="T46" s="14"/>
      <c r="U46" s="14"/>
    </row>
    <row r="47" spans="1:21" ht="6" customHeight="1" x14ac:dyDescent="0.25">
      <c r="A47" s="570"/>
      <c r="B47" s="732"/>
      <c r="C47" s="663"/>
      <c r="D47" s="564"/>
      <c r="E47" s="564"/>
      <c r="F47" s="564"/>
      <c r="G47" s="564"/>
      <c r="H47" s="564"/>
      <c r="I47" s="564"/>
      <c r="J47" s="564"/>
      <c r="K47" s="564"/>
      <c r="L47" s="564"/>
      <c r="M47" s="564"/>
      <c r="N47" s="564"/>
      <c r="O47" s="564"/>
      <c r="P47" s="590"/>
      <c r="Q47" s="564"/>
      <c r="R47" s="564"/>
      <c r="S47" s="14"/>
      <c r="T47" s="14"/>
      <c r="U47" s="14"/>
    </row>
    <row r="48" spans="1:21" ht="12" customHeight="1" x14ac:dyDescent="0.25">
      <c r="A48" s="575" t="s">
        <v>777</v>
      </c>
      <c r="B48" s="837" t="s">
        <v>339</v>
      </c>
      <c r="C48" s="980">
        <f>-DataBase!C45</f>
        <v>1162</v>
      </c>
      <c r="D48" s="980">
        <f>-DataBase!D45</f>
        <v>1162</v>
      </c>
      <c r="E48" s="980">
        <f>-DataBase!E45</f>
        <v>1162</v>
      </c>
      <c r="F48" s="980">
        <f>-DataBase!F45</f>
        <v>431</v>
      </c>
      <c r="G48" s="980">
        <f>-DataBase!G45</f>
        <v>431</v>
      </c>
      <c r="H48" s="980">
        <f>-DataBase!H45</f>
        <v>50</v>
      </c>
      <c r="I48" s="980">
        <f>-DataBase!I45</f>
        <v>50</v>
      </c>
      <c r="J48" s="980">
        <f>-DataBase!J45</f>
        <v>50</v>
      </c>
      <c r="K48" s="980">
        <f>-DataBase!K45</f>
        <v>331</v>
      </c>
      <c r="L48" s="980">
        <f>-DataBase!L45</f>
        <v>331</v>
      </c>
      <c r="M48" s="980">
        <f>-DataBase!M45</f>
        <v>331</v>
      </c>
      <c r="N48" s="980">
        <f>-DataBase!N45</f>
        <v>1162</v>
      </c>
      <c r="O48" s="598">
        <f>SUM(C48:N48)</f>
        <v>6653</v>
      </c>
      <c r="P48" s="590"/>
      <c r="Q48" s="564"/>
      <c r="R48" s="564"/>
      <c r="S48" s="14"/>
      <c r="T48" s="14"/>
      <c r="U48" s="14"/>
    </row>
    <row r="49" spans="1:21" ht="12" customHeight="1" x14ac:dyDescent="0.25">
      <c r="A49" s="570"/>
      <c r="B49" s="732"/>
      <c r="C49" s="564"/>
      <c r="D49" s="564"/>
      <c r="E49" s="564"/>
      <c r="F49" s="564"/>
      <c r="G49" s="564"/>
      <c r="H49" s="564"/>
      <c r="I49" s="564"/>
      <c r="J49" s="564"/>
      <c r="K49" s="564"/>
      <c r="L49" s="564"/>
      <c r="M49" s="564"/>
      <c r="N49" s="564"/>
      <c r="O49" s="564"/>
      <c r="P49" s="590"/>
      <c r="Q49" s="564"/>
      <c r="R49" s="564"/>
      <c r="S49" s="14"/>
      <c r="T49" s="14"/>
      <c r="U49" s="14"/>
    </row>
    <row r="50" spans="1:21" ht="12" customHeight="1" x14ac:dyDescent="0.25">
      <c r="A50" s="562" t="s">
        <v>14</v>
      </c>
      <c r="B50" s="732"/>
      <c r="C50" s="579">
        <f>C46-C48</f>
        <v>-610</v>
      </c>
      <c r="D50" s="579">
        <f t="shared" ref="D50:N50" si="9">D46-D48</f>
        <v>-610</v>
      </c>
      <c r="E50" s="579">
        <f t="shared" si="9"/>
        <v>-610</v>
      </c>
      <c r="F50" s="579">
        <f t="shared" si="9"/>
        <v>121</v>
      </c>
      <c r="G50" s="579">
        <f t="shared" si="9"/>
        <v>121</v>
      </c>
      <c r="H50" s="579">
        <f t="shared" si="9"/>
        <v>502</v>
      </c>
      <c r="I50" s="579">
        <f t="shared" si="9"/>
        <v>502</v>
      </c>
      <c r="J50" s="579">
        <f t="shared" si="9"/>
        <v>502</v>
      </c>
      <c r="K50" s="579">
        <f t="shared" si="9"/>
        <v>221</v>
      </c>
      <c r="L50" s="579">
        <f t="shared" si="9"/>
        <v>221</v>
      </c>
      <c r="M50" s="579">
        <f t="shared" si="9"/>
        <v>221</v>
      </c>
      <c r="N50" s="579">
        <f t="shared" si="9"/>
        <v>-610</v>
      </c>
      <c r="O50" s="579">
        <f>SUM(C50:N50)</f>
        <v>-29</v>
      </c>
      <c r="P50" s="590"/>
      <c r="Q50" s="564"/>
      <c r="R50" s="564"/>
      <c r="S50" s="14"/>
      <c r="T50" s="14"/>
      <c r="U50" s="14"/>
    </row>
    <row r="51" spans="1:21" ht="12" customHeight="1" x14ac:dyDescent="0.25">
      <c r="A51" s="562" t="s">
        <v>54</v>
      </c>
      <c r="B51" s="837" t="s">
        <v>339</v>
      </c>
      <c r="C51" s="640">
        <f>-DataBase!C108</f>
        <v>7</v>
      </c>
      <c r="D51" s="640">
        <f>-DataBase!D108</f>
        <v>6</v>
      </c>
      <c r="E51" s="640">
        <f>-DataBase!E108</f>
        <v>7</v>
      </c>
      <c r="F51" s="640">
        <f>-DataBase!F108</f>
        <v>6</v>
      </c>
      <c r="G51" s="640">
        <f>-DataBase!G108</f>
        <v>7</v>
      </c>
      <c r="H51" s="640">
        <f>-DataBase!H108</f>
        <v>6</v>
      </c>
      <c r="I51" s="640">
        <f>-DataBase!I108</f>
        <v>7</v>
      </c>
      <c r="J51" s="640">
        <f>-DataBase!J108</f>
        <v>6</v>
      </c>
      <c r="K51" s="640">
        <f>-DataBase!K108</f>
        <v>7</v>
      </c>
      <c r="L51" s="640">
        <f>-DataBase!L108</f>
        <v>6</v>
      </c>
      <c r="M51" s="640">
        <f>-DataBase!M108</f>
        <v>7</v>
      </c>
      <c r="N51" s="640">
        <f>-DataBase!N108</f>
        <v>6</v>
      </c>
      <c r="O51" s="579">
        <f>SUM(C51:N51)</f>
        <v>78</v>
      </c>
      <c r="P51" s="590"/>
      <c r="Q51" s="564"/>
      <c r="R51" s="564"/>
      <c r="S51" s="14"/>
      <c r="T51" s="14"/>
      <c r="U51" s="14"/>
    </row>
    <row r="52" spans="1:21" ht="12" customHeight="1" x14ac:dyDescent="0.25">
      <c r="A52" s="568" t="s">
        <v>1194</v>
      </c>
      <c r="B52" s="732"/>
      <c r="C52" s="580">
        <v>0</v>
      </c>
      <c r="D52" s="580">
        <v>0</v>
      </c>
      <c r="E52" s="580">
        <v>0</v>
      </c>
      <c r="F52" s="580">
        <v>0</v>
      </c>
      <c r="G52" s="580">
        <v>0</v>
      </c>
      <c r="H52" s="580">
        <v>0</v>
      </c>
      <c r="I52" s="580">
        <v>0</v>
      </c>
      <c r="J52" s="580">
        <v>0</v>
      </c>
      <c r="K52" s="580">
        <v>0</v>
      </c>
      <c r="L52" s="580">
        <v>0</v>
      </c>
      <c r="M52" s="580">
        <v>0</v>
      </c>
      <c r="N52" s="580">
        <v>0</v>
      </c>
      <c r="O52" s="579">
        <f>SUM(C52:N52)</f>
        <v>0</v>
      </c>
      <c r="P52" s="590"/>
      <c r="Q52" s="564"/>
      <c r="R52" s="564"/>
      <c r="S52" s="14"/>
      <c r="T52" s="14"/>
      <c r="U52" s="14"/>
    </row>
    <row r="53" spans="1:21" ht="12" customHeight="1" x14ac:dyDescent="0.25">
      <c r="A53" s="560" t="s">
        <v>55</v>
      </c>
      <c r="B53" s="732"/>
      <c r="C53" s="582">
        <v>0</v>
      </c>
      <c r="D53" s="582">
        <v>0</v>
      </c>
      <c r="E53" s="582">
        <v>0</v>
      </c>
      <c r="F53" s="582">
        <v>0</v>
      </c>
      <c r="G53" s="582">
        <v>0</v>
      </c>
      <c r="H53" s="582">
        <v>0</v>
      </c>
      <c r="I53" s="582">
        <v>0</v>
      </c>
      <c r="J53" s="582">
        <v>0</v>
      </c>
      <c r="K53" s="582">
        <v>0</v>
      </c>
      <c r="L53" s="582">
        <v>0</v>
      </c>
      <c r="M53" s="582">
        <v>0</v>
      </c>
      <c r="N53" s="582">
        <v>0</v>
      </c>
      <c r="O53" s="583">
        <f>SUM(C53:N53)</f>
        <v>0</v>
      </c>
      <c r="P53" s="590"/>
      <c r="Q53" s="564"/>
      <c r="R53" s="564"/>
      <c r="S53" s="14"/>
      <c r="T53" s="14"/>
      <c r="U53" s="14"/>
    </row>
    <row r="54" spans="1:21" ht="6" customHeight="1" x14ac:dyDescent="0.25">
      <c r="A54" s="570"/>
      <c r="B54" s="732"/>
      <c r="C54" s="564"/>
      <c r="D54" s="564"/>
      <c r="E54" s="564"/>
      <c r="F54" s="564"/>
      <c r="G54" s="564"/>
      <c r="H54" s="564"/>
      <c r="I54" s="564"/>
      <c r="J54" s="564"/>
      <c r="K54" s="564"/>
      <c r="L54" s="564"/>
      <c r="M54" s="564"/>
      <c r="N54" s="564"/>
      <c r="O54" s="564"/>
      <c r="P54" s="590"/>
      <c r="Q54" s="564"/>
      <c r="R54" s="564"/>
      <c r="S54" s="14"/>
      <c r="T54" s="14"/>
      <c r="U54" s="14"/>
    </row>
    <row r="55" spans="1:21" ht="12" customHeight="1" x14ac:dyDescent="0.25">
      <c r="A55" s="565" t="s">
        <v>56</v>
      </c>
      <c r="B55" s="735"/>
      <c r="C55" s="597">
        <f t="shared" ref="C55:N55" si="10">SUM(C50:C53)</f>
        <v>-603</v>
      </c>
      <c r="D55" s="597">
        <f t="shared" si="10"/>
        <v>-604</v>
      </c>
      <c r="E55" s="597">
        <f t="shared" si="10"/>
        <v>-603</v>
      </c>
      <c r="F55" s="597">
        <f t="shared" si="10"/>
        <v>127</v>
      </c>
      <c r="G55" s="597">
        <f t="shared" si="10"/>
        <v>128</v>
      </c>
      <c r="H55" s="597">
        <f t="shared" si="10"/>
        <v>508</v>
      </c>
      <c r="I55" s="597">
        <f t="shared" si="10"/>
        <v>509</v>
      </c>
      <c r="J55" s="597">
        <f t="shared" si="10"/>
        <v>508</v>
      </c>
      <c r="K55" s="597">
        <f t="shared" si="10"/>
        <v>228</v>
      </c>
      <c r="L55" s="597">
        <f t="shared" si="10"/>
        <v>227</v>
      </c>
      <c r="M55" s="597">
        <f t="shared" si="10"/>
        <v>228</v>
      </c>
      <c r="N55" s="597">
        <f t="shared" si="10"/>
        <v>-604</v>
      </c>
      <c r="O55" s="597">
        <f>SUM(C55:N55)</f>
        <v>49</v>
      </c>
      <c r="P55" s="590"/>
      <c r="Q55" s="564"/>
      <c r="R55" s="564"/>
      <c r="S55" s="14"/>
      <c r="T55" s="14"/>
      <c r="U55" s="14"/>
    </row>
    <row r="56" spans="1:21" ht="6" customHeight="1" x14ac:dyDescent="0.25">
      <c r="A56" s="570"/>
      <c r="B56" s="732"/>
      <c r="C56" s="564"/>
      <c r="D56" s="564"/>
      <c r="E56" s="564"/>
      <c r="F56" s="564"/>
      <c r="G56" s="564"/>
      <c r="H56" s="564"/>
      <c r="I56" s="564"/>
      <c r="J56" s="564"/>
      <c r="K56" s="564"/>
      <c r="L56" s="564"/>
      <c r="M56" s="564"/>
      <c r="N56" s="564"/>
      <c r="O56" s="564"/>
      <c r="P56" s="590"/>
      <c r="Q56" s="564"/>
      <c r="R56" s="564"/>
      <c r="S56" s="14"/>
      <c r="T56" s="14"/>
      <c r="U56" s="14"/>
    </row>
    <row r="57" spans="1:21" ht="12" customHeight="1" x14ac:dyDescent="0.25">
      <c r="A57" s="569" t="s">
        <v>57</v>
      </c>
      <c r="B57" s="735"/>
      <c r="C57" s="597">
        <f t="shared" ref="C57:N57" si="11">-1*C55</f>
        <v>603</v>
      </c>
      <c r="D57" s="597">
        <f t="shared" si="11"/>
        <v>604</v>
      </c>
      <c r="E57" s="597">
        <f t="shared" si="11"/>
        <v>603</v>
      </c>
      <c r="F57" s="597">
        <f t="shared" si="11"/>
        <v>-127</v>
      </c>
      <c r="G57" s="597">
        <f t="shared" si="11"/>
        <v>-128</v>
      </c>
      <c r="H57" s="597">
        <f t="shared" si="11"/>
        <v>-508</v>
      </c>
      <c r="I57" s="597">
        <f t="shared" si="11"/>
        <v>-509</v>
      </c>
      <c r="J57" s="597">
        <f t="shared" si="11"/>
        <v>-508</v>
      </c>
      <c r="K57" s="597">
        <f t="shared" si="11"/>
        <v>-228</v>
      </c>
      <c r="L57" s="597">
        <f t="shared" si="11"/>
        <v>-227</v>
      </c>
      <c r="M57" s="597">
        <f t="shared" si="11"/>
        <v>-228</v>
      </c>
      <c r="N57" s="597">
        <f t="shared" si="11"/>
        <v>604</v>
      </c>
      <c r="O57" s="597">
        <f>SUM(C57:N57)</f>
        <v>-49</v>
      </c>
      <c r="P57" s="590"/>
      <c r="Q57" s="564"/>
      <c r="R57" s="564"/>
      <c r="S57" s="14"/>
      <c r="T57" s="14"/>
      <c r="U57" s="14"/>
    </row>
    <row r="58" spans="1:21" ht="8.25" customHeight="1" x14ac:dyDescent="0.25">
      <c r="A58" s="570"/>
      <c r="B58" s="732"/>
      <c r="C58" s="564"/>
      <c r="D58" s="564"/>
      <c r="E58" s="564"/>
      <c r="F58" s="564"/>
      <c r="G58" s="564"/>
      <c r="H58" s="564"/>
      <c r="I58" s="564"/>
      <c r="J58" s="564"/>
      <c r="K58" s="564"/>
      <c r="L58" s="564"/>
      <c r="M58" s="564"/>
      <c r="N58" s="564"/>
      <c r="O58" s="564"/>
      <c r="P58" s="590"/>
      <c r="Q58" s="564"/>
      <c r="R58" s="564"/>
      <c r="S58" s="14"/>
      <c r="T58" s="14"/>
      <c r="U58" s="14"/>
    </row>
    <row r="59" spans="1:21" ht="6" customHeight="1" x14ac:dyDescent="0.25">
      <c r="A59" s="576"/>
      <c r="B59" s="736"/>
      <c r="C59" s="599"/>
      <c r="D59" s="599"/>
      <c r="E59" s="599"/>
      <c r="F59" s="599"/>
      <c r="G59" s="599"/>
      <c r="H59" s="599"/>
      <c r="I59" s="599"/>
      <c r="J59" s="599"/>
      <c r="K59" s="599"/>
      <c r="L59" s="599"/>
      <c r="M59" s="599"/>
      <c r="N59" s="599"/>
      <c r="O59" s="599"/>
      <c r="P59" s="590"/>
      <c r="Q59" s="564"/>
      <c r="R59" s="564"/>
      <c r="S59" s="14"/>
      <c r="T59" s="14"/>
      <c r="U59" s="14"/>
    </row>
    <row r="60" spans="1:21" ht="9.75" customHeight="1" x14ac:dyDescent="0.25">
      <c r="A60" s="570"/>
      <c r="B60" s="732"/>
      <c r="C60" s="564"/>
      <c r="D60" s="564"/>
      <c r="E60" s="564"/>
      <c r="F60" s="564"/>
      <c r="G60" s="564"/>
      <c r="H60" s="564"/>
      <c r="I60" s="564"/>
      <c r="J60" s="564"/>
      <c r="K60" s="564"/>
      <c r="L60" s="564"/>
      <c r="M60" s="564"/>
      <c r="N60" s="564"/>
      <c r="O60" s="564"/>
      <c r="P60" s="590"/>
      <c r="Q60" s="564"/>
      <c r="R60" s="564"/>
      <c r="S60" s="14"/>
      <c r="T60" s="14"/>
      <c r="U60" s="14"/>
    </row>
    <row r="61" spans="1:21" ht="12" customHeight="1" x14ac:dyDescent="0.25">
      <c r="A61" s="577" t="s">
        <v>58</v>
      </c>
      <c r="B61" s="681" t="s">
        <v>1192</v>
      </c>
      <c r="C61" s="588"/>
      <c r="D61" s="588"/>
      <c r="E61" s="588"/>
      <c r="F61" s="588"/>
      <c r="G61" s="588"/>
      <c r="H61" s="588"/>
      <c r="I61" s="588"/>
      <c r="J61" s="588"/>
      <c r="K61" s="588"/>
      <c r="L61" s="588"/>
      <c r="M61" s="588"/>
      <c r="N61" s="588"/>
      <c r="O61" s="588"/>
      <c r="P61" s="590"/>
      <c r="Q61" s="564"/>
      <c r="R61" s="564"/>
      <c r="S61" s="14"/>
      <c r="T61" s="14"/>
      <c r="U61" s="14"/>
    </row>
    <row r="62" spans="1:21" ht="6" customHeight="1" x14ac:dyDescent="0.25">
      <c r="A62" s="570"/>
      <c r="B62" s="732"/>
      <c r="C62" s="564"/>
      <c r="D62" s="564"/>
      <c r="E62" s="564"/>
      <c r="F62" s="564"/>
      <c r="G62" s="564"/>
      <c r="H62" s="564"/>
      <c r="I62" s="564"/>
      <c r="J62" s="564"/>
      <c r="K62" s="564"/>
      <c r="L62" s="564"/>
      <c r="M62" s="564"/>
      <c r="N62" s="564"/>
      <c r="O62" s="564"/>
      <c r="P62" s="590"/>
      <c r="Q62" s="564"/>
      <c r="R62" s="564"/>
      <c r="S62" s="14"/>
      <c r="T62" s="14"/>
      <c r="U62" s="14"/>
    </row>
    <row r="63" spans="1:21" ht="12" customHeight="1" x14ac:dyDescent="0.25">
      <c r="A63" s="569" t="s">
        <v>59</v>
      </c>
      <c r="B63" s="732"/>
      <c r="C63" s="579">
        <f t="shared" ref="C63:N63" si="12">B73</f>
        <v>840</v>
      </c>
      <c r="D63" s="579">
        <f t="shared" si="12"/>
        <v>1443</v>
      </c>
      <c r="E63" s="579">
        <f t="shared" si="12"/>
        <v>2047</v>
      </c>
      <c r="F63" s="579">
        <f t="shared" si="12"/>
        <v>2650</v>
      </c>
      <c r="G63" s="579">
        <f t="shared" si="12"/>
        <v>2523</v>
      </c>
      <c r="H63" s="579">
        <f t="shared" si="12"/>
        <v>2395</v>
      </c>
      <c r="I63" s="579">
        <f t="shared" si="12"/>
        <v>1887</v>
      </c>
      <c r="J63" s="579">
        <f t="shared" si="12"/>
        <v>1378</v>
      </c>
      <c r="K63" s="579">
        <f t="shared" si="12"/>
        <v>870</v>
      </c>
      <c r="L63" s="579">
        <f t="shared" si="12"/>
        <v>642</v>
      </c>
      <c r="M63" s="579">
        <f t="shared" si="12"/>
        <v>415</v>
      </c>
      <c r="N63" s="579">
        <f t="shared" si="12"/>
        <v>187</v>
      </c>
      <c r="O63" s="564"/>
      <c r="P63" s="590"/>
      <c r="Q63" s="564"/>
      <c r="R63" s="564"/>
      <c r="S63" s="14"/>
      <c r="T63" s="14"/>
      <c r="U63" s="14"/>
    </row>
    <row r="64" spans="1:21" ht="6" customHeight="1" x14ac:dyDescent="0.25">
      <c r="A64" s="570"/>
      <c r="B64" s="732"/>
      <c r="C64" s="564"/>
      <c r="D64" s="564"/>
      <c r="E64" s="564"/>
      <c r="F64" s="564"/>
      <c r="G64" s="564"/>
      <c r="H64" s="564"/>
      <c r="I64" s="564"/>
      <c r="J64" s="564"/>
      <c r="K64" s="564"/>
      <c r="L64" s="564"/>
      <c r="M64" s="564"/>
      <c r="N64" s="564"/>
      <c r="O64" s="564"/>
      <c r="P64" s="590"/>
      <c r="Q64" s="564"/>
      <c r="R64" s="564"/>
      <c r="S64" s="14"/>
      <c r="T64" s="14"/>
      <c r="U64" s="14"/>
    </row>
    <row r="65" spans="1:21" ht="12" customHeight="1" x14ac:dyDescent="0.25">
      <c r="A65" s="568" t="s">
        <v>60</v>
      </c>
      <c r="B65" s="732"/>
      <c r="C65" s="580">
        <v>0</v>
      </c>
      <c r="D65" s="580">
        <v>0</v>
      </c>
      <c r="E65" s="580">
        <v>0</v>
      </c>
      <c r="F65" s="580">
        <v>0</v>
      </c>
      <c r="G65" s="580">
        <v>0</v>
      </c>
      <c r="H65" s="580">
        <v>0</v>
      </c>
      <c r="I65" s="580">
        <v>0</v>
      </c>
      <c r="J65" s="580">
        <v>0</v>
      </c>
      <c r="K65" s="580">
        <v>0</v>
      </c>
      <c r="L65" s="580">
        <v>0</v>
      </c>
      <c r="M65" s="580">
        <v>0</v>
      </c>
      <c r="N65" s="580">
        <v>0</v>
      </c>
      <c r="O65" s="579">
        <f>SUM(C65:N65)</f>
        <v>0</v>
      </c>
      <c r="P65" s="590"/>
      <c r="Q65" s="564"/>
      <c r="R65" s="564"/>
      <c r="S65" s="14"/>
      <c r="T65" s="14"/>
      <c r="U65" s="14"/>
    </row>
    <row r="66" spans="1:21" ht="6" customHeight="1" x14ac:dyDescent="0.25">
      <c r="A66" s="570"/>
      <c r="B66" s="732"/>
      <c r="C66" s="564"/>
      <c r="D66" s="564"/>
      <c r="E66" s="564"/>
      <c r="F66" s="564"/>
      <c r="G66" s="564"/>
      <c r="H66" s="564"/>
      <c r="I66" s="564"/>
      <c r="J66" s="564"/>
      <c r="K66" s="564"/>
      <c r="L66" s="564"/>
      <c r="M66" s="564"/>
      <c r="N66" s="564"/>
      <c r="O66" s="564"/>
      <c r="P66" s="590"/>
      <c r="Q66" s="564"/>
      <c r="R66" s="564"/>
      <c r="S66" s="14"/>
      <c r="T66" s="14"/>
      <c r="U66" s="14"/>
    </row>
    <row r="67" spans="1:21" ht="12" customHeight="1" x14ac:dyDescent="0.25">
      <c r="A67" s="560" t="s">
        <v>61</v>
      </c>
      <c r="B67" s="732"/>
      <c r="C67" s="579">
        <f t="shared" ref="C67:N67" si="13">C57</f>
        <v>603</v>
      </c>
      <c r="D67" s="579">
        <f t="shared" si="13"/>
        <v>604</v>
      </c>
      <c r="E67" s="579">
        <f t="shared" si="13"/>
        <v>603</v>
      </c>
      <c r="F67" s="579">
        <f t="shared" si="13"/>
        <v>-127</v>
      </c>
      <c r="G67" s="579">
        <f t="shared" si="13"/>
        <v>-128</v>
      </c>
      <c r="H67" s="579">
        <f t="shared" si="13"/>
        <v>-508</v>
      </c>
      <c r="I67" s="579">
        <f t="shared" si="13"/>
        <v>-509</v>
      </c>
      <c r="J67" s="579">
        <f t="shared" si="13"/>
        <v>-508</v>
      </c>
      <c r="K67" s="579">
        <f t="shared" si="13"/>
        <v>-228</v>
      </c>
      <c r="L67" s="579">
        <f t="shared" si="13"/>
        <v>-227</v>
      </c>
      <c r="M67" s="579">
        <f t="shared" si="13"/>
        <v>-228</v>
      </c>
      <c r="N67" s="579">
        <f t="shared" si="13"/>
        <v>604</v>
      </c>
      <c r="O67" s="579">
        <f>SUM(C67:N67)</f>
        <v>-49</v>
      </c>
      <c r="P67" s="590"/>
      <c r="Q67" s="564"/>
      <c r="R67" s="564"/>
      <c r="S67" s="14"/>
      <c r="T67" s="14"/>
      <c r="U67" s="14"/>
    </row>
    <row r="68" spans="1:21" ht="6" customHeight="1" x14ac:dyDescent="0.25">
      <c r="A68" s="570"/>
      <c r="B68" s="732"/>
      <c r="C68" s="564"/>
      <c r="D68" s="564"/>
      <c r="E68" s="564"/>
      <c r="F68" s="564"/>
      <c r="G68" s="564"/>
      <c r="H68" s="564"/>
      <c r="I68" s="564"/>
      <c r="J68" s="564"/>
      <c r="K68" s="564"/>
      <c r="L68" s="564"/>
      <c r="M68" s="564"/>
      <c r="N68" s="564"/>
      <c r="O68" s="564"/>
      <c r="P68" s="590"/>
      <c r="Q68" s="564"/>
      <c r="R68" s="564"/>
      <c r="S68" s="14"/>
      <c r="T68" s="14"/>
      <c r="U68" s="14"/>
    </row>
    <row r="69" spans="1:21" ht="12" customHeight="1" x14ac:dyDescent="0.25">
      <c r="A69" s="568" t="s">
        <v>62</v>
      </c>
      <c r="B69" s="732"/>
      <c r="C69" s="580">
        <v>0</v>
      </c>
      <c r="D69" s="580">
        <v>0</v>
      </c>
      <c r="E69" s="580">
        <v>0</v>
      </c>
      <c r="F69" s="580">
        <v>0</v>
      </c>
      <c r="G69" s="580">
        <v>0</v>
      </c>
      <c r="H69" s="580">
        <v>0</v>
      </c>
      <c r="I69" s="580">
        <v>0</v>
      </c>
      <c r="J69" s="580">
        <v>0</v>
      </c>
      <c r="K69" s="580">
        <v>0</v>
      </c>
      <c r="L69" s="580">
        <v>0</v>
      </c>
      <c r="M69" s="580">
        <v>0</v>
      </c>
      <c r="N69" s="580">
        <v>0</v>
      </c>
      <c r="O69" s="579">
        <f>SUM(C69:N69)</f>
        <v>0</v>
      </c>
      <c r="P69" s="590"/>
      <c r="Q69" s="564"/>
      <c r="R69" s="564"/>
      <c r="S69" s="14"/>
      <c r="T69" s="14"/>
      <c r="U69" s="14"/>
    </row>
    <row r="70" spans="1:21" ht="6" customHeight="1" x14ac:dyDescent="0.25">
      <c r="A70" s="570"/>
      <c r="B70" s="732"/>
      <c r="C70" s="564"/>
      <c r="D70" s="564"/>
      <c r="E70" s="564"/>
      <c r="F70" s="564"/>
      <c r="G70" s="564"/>
      <c r="H70" s="564"/>
      <c r="I70" s="564"/>
      <c r="J70" s="564"/>
      <c r="K70" s="564"/>
      <c r="L70" s="564"/>
      <c r="M70" s="564"/>
      <c r="N70" s="564"/>
      <c r="O70" s="564"/>
      <c r="P70" s="590"/>
      <c r="Q70" s="564"/>
      <c r="R70" s="564"/>
      <c r="S70" s="14"/>
      <c r="T70" s="14"/>
      <c r="U70" s="14"/>
    </row>
    <row r="71" spans="1:21" ht="12" customHeight="1" x14ac:dyDescent="0.25">
      <c r="A71" s="560" t="s">
        <v>63</v>
      </c>
      <c r="B71" s="732"/>
      <c r="C71" s="583">
        <f t="shared" ref="C71:N71" si="14">C78</f>
        <v>0</v>
      </c>
      <c r="D71" s="583">
        <f t="shared" si="14"/>
        <v>0</v>
      </c>
      <c r="E71" s="583">
        <f t="shared" si="14"/>
        <v>0</v>
      </c>
      <c r="F71" s="583">
        <f t="shared" si="14"/>
        <v>0</v>
      </c>
      <c r="G71" s="583">
        <f t="shared" si="14"/>
        <v>0</v>
      </c>
      <c r="H71" s="583">
        <f t="shared" si="14"/>
        <v>0</v>
      </c>
      <c r="I71" s="583">
        <f t="shared" si="14"/>
        <v>0</v>
      </c>
      <c r="J71" s="583">
        <f t="shared" si="14"/>
        <v>0</v>
      </c>
      <c r="K71" s="583">
        <f t="shared" si="14"/>
        <v>0</v>
      </c>
      <c r="L71" s="583">
        <f t="shared" si="14"/>
        <v>0</v>
      </c>
      <c r="M71" s="583">
        <f t="shared" si="14"/>
        <v>0</v>
      </c>
      <c r="N71" s="583">
        <f t="shared" si="14"/>
        <v>0</v>
      </c>
      <c r="O71" s="579">
        <f>SUM(C71:N71)</f>
        <v>0</v>
      </c>
      <c r="P71" s="590"/>
      <c r="Q71" s="564"/>
      <c r="R71" s="564"/>
      <c r="S71" s="14"/>
      <c r="T71" s="14"/>
      <c r="U71" s="14"/>
    </row>
    <row r="72" spans="1:21" ht="6" customHeight="1" x14ac:dyDescent="0.25">
      <c r="A72" s="570"/>
      <c r="B72" s="732"/>
      <c r="C72" s="564"/>
      <c r="D72" s="564"/>
      <c r="E72" s="564"/>
      <c r="F72" s="564"/>
      <c r="G72" s="564"/>
      <c r="H72" s="564"/>
      <c r="I72" s="564"/>
      <c r="J72" s="564"/>
      <c r="K72" s="564"/>
      <c r="L72" s="564"/>
      <c r="M72" s="564"/>
      <c r="N72" s="564"/>
      <c r="O72" s="564"/>
      <c r="P72" s="590"/>
      <c r="Q72" s="564"/>
      <c r="R72" s="564"/>
      <c r="S72" s="14"/>
      <c r="T72" s="14"/>
      <c r="U72" s="14"/>
    </row>
    <row r="73" spans="1:21" ht="12" customHeight="1" x14ac:dyDescent="0.25">
      <c r="A73" s="569" t="s">
        <v>64</v>
      </c>
      <c r="B73" s="805">
        <v>840</v>
      </c>
      <c r="C73" s="598">
        <f t="shared" ref="C73:N73" si="15">SUM(C63:C71)</f>
        <v>1443</v>
      </c>
      <c r="D73" s="598">
        <f t="shared" si="15"/>
        <v>2047</v>
      </c>
      <c r="E73" s="598">
        <f t="shared" si="15"/>
        <v>2650</v>
      </c>
      <c r="F73" s="598">
        <f t="shared" si="15"/>
        <v>2523</v>
      </c>
      <c r="G73" s="598">
        <f t="shared" si="15"/>
        <v>2395</v>
      </c>
      <c r="H73" s="598">
        <f t="shared" si="15"/>
        <v>1887</v>
      </c>
      <c r="I73" s="598">
        <f t="shared" si="15"/>
        <v>1378</v>
      </c>
      <c r="J73" s="598">
        <f t="shared" si="15"/>
        <v>870</v>
      </c>
      <c r="K73" s="598">
        <f t="shared" si="15"/>
        <v>642</v>
      </c>
      <c r="L73" s="598">
        <f t="shared" si="15"/>
        <v>415</v>
      </c>
      <c r="M73" s="598">
        <f t="shared" si="15"/>
        <v>187</v>
      </c>
      <c r="N73" s="598">
        <f t="shared" si="15"/>
        <v>791</v>
      </c>
      <c r="O73" s="598"/>
      <c r="P73" s="590"/>
      <c r="Q73" s="564"/>
      <c r="R73" s="564"/>
      <c r="S73" s="14"/>
      <c r="T73" s="14"/>
      <c r="U73" s="14"/>
    </row>
    <row r="74" spans="1:21" ht="12" customHeight="1" x14ac:dyDescent="0.25">
      <c r="A74" s="570"/>
      <c r="B74" s="732"/>
      <c r="C74" s="564"/>
      <c r="D74" s="564"/>
      <c r="E74" s="564"/>
      <c r="F74" s="564"/>
      <c r="G74" s="564"/>
      <c r="H74" s="564"/>
      <c r="I74" s="564"/>
      <c r="J74" s="564"/>
      <c r="K74" s="564"/>
      <c r="L74" s="564"/>
      <c r="M74" s="564"/>
      <c r="N74" s="564"/>
      <c r="O74" s="564"/>
      <c r="P74" s="590"/>
      <c r="Q74" s="564"/>
      <c r="R74" s="564"/>
      <c r="S74" s="14"/>
      <c r="T74" s="14"/>
      <c r="U74" s="14"/>
    </row>
    <row r="75" spans="1:21" ht="12" customHeight="1" x14ac:dyDescent="0.25">
      <c r="A75" s="560" t="s">
        <v>65</v>
      </c>
      <c r="B75" s="732"/>
      <c r="C75" s="600">
        <v>0</v>
      </c>
      <c r="D75" s="600">
        <v>0</v>
      </c>
      <c r="E75" s="600">
        <v>0</v>
      </c>
      <c r="F75" s="600">
        <v>0</v>
      </c>
      <c r="G75" s="600">
        <v>0</v>
      </c>
      <c r="H75" s="600">
        <v>0</v>
      </c>
      <c r="I75" s="600">
        <v>0</v>
      </c>
      <c r="J75" s="600">
        <v>0</v>
      </c>
      <c r="K75" s="600">
        <v>0</v>
      </c>
      <c r="L75" s="600">
        <v>0</v>
      </c>
      <c r="M75" s="600">
        <v>0</v>
      </c>
      <c r="N75" s="600">
        <v>0</v>
      </c>
      <c r="O75" s="564"/>
      <c r="P75" s="590"/>
      <c r="Q75" s="564"/>
      <c r="R75" s="564"/>
      <c r="S75" s="14"/>
      <c r="T75" s="14"/>
      <c r="U75" s="14"/>
    </row>
    <row r="76" spans="1:21" ht="12" customHeight="1" x14ac:dyDescent="0.25">
      <c r="A76" s="560" t="s">
        <v>66</v>
      </c>
      <c r="B76" s="732"/>
      <c r="C76" s="601">
        <f>ROUND((C75/365)*31,4)</f>
        <v>0</v>
      </c>
      <c r="D76" s="601">
        <f>ROUND((D75/365)*28,4)</f>
        <v>0</v>
      </c>
      <c r="E76" s="601">
        <f>ROUND((E75/365)*31,4)</f>
        <v>0</v>
      </c>
      <c r="F76" s="601">
        <f>ROUND((F75/365)*30,4)</f>
        <v>0</v>
      </c>
      <c r="G76" s="601">
        <f>ROUND((G75/365)*31,4)</f>
        <v>0</v>
      </c>
      <c r="H76" s="601">
        <f>ROUND((H75/365)*30,4)</f>
        <v>0</v>
      </c>
      <c r="I76" s="601">
        <f>ROUND((I75/365)*31,4)</f>
        <v>0</v>
      </c>
      <c r="J76" s="601">
        <f>ROUND((J75/365)*31,4)</f>
        <v>0</v>
      </c>
      <c r="K76" s="601">
        <f>ROUND((K75/365)*30,4)</f>
        <v>0</v>
      </c>
      <c r="L76" s="601">
        <f>ROUND((L75/365)*31,4)</f>
        <v>0</v>
      </c>
      <c r="M76" s="601">
        <f>ROUND((M75/365)*30,4)</f>
        <v>0</v>
      </c>
      <c r="N76" s="601">
        <f>ROUND((N75/365)*31,4)</f>
        <v>0</v>
      </c>
      <c r="O76" s="564"/>
      <c r="P76" s="590"/>
      <c r="Q76" s="564"/>
      <c r="R76" s="564"/>
      <c r="S76" s="14"/>
      <c r="T76" s="14"/>
      <c r="U76" s="14"/>
    </row>
    <row r="77" spans="1:21" ht="12" customHeight="1" x14ac:dyDescent="0.25">
      <c r="A77" s="570"/>
      <c r="B77" s="732"/>
      <c r="C77" s="564"/>
      <c r="D77" s="564"/>
      <c r="E77" s="564"/>
      <c r="F77" s="564"/>
      <c r="G77" s="564"/>
      <c r="H77" s="564"/>
      <c r="I77" s="564"/>
      <c r="J77" s="564"/>
      <c r="K77" s="564"/>
      <c r="L77" s="564"/>
      <c r="M77" s="564"/>
      <c r="N77" s="564"/>
      <c r="O77" s="564"/>
      <c r="P77" s="590"/>
      <c r="Q77" s="564"/>
      <c r="R77" s="564"/>
      <c r="S77" s="14"/>
      <c r="T77" s="14"/>
      <c r="U77" s="14"/>
    </row>
    <row r="78" spans="1:21" ht="12.75" customHeight="1" x14ac:dyDescent="0.25">
      <c r="A78" s="569" t="s">
        <v>67</v>
      </c>
      <c r="B78" s="735"/>
      <c r="C78" s="597">
        <f t="shared" ref="C78:N78" si="16">ROUND(B73*C76,0)</f>
        <v>0</v>
      </c>
      <c r="D78" s="597">
        <f t="shared" si="16"/>
        <v>0</v>
      </c>
      <c r="E78" s="597">
        <f t="shared" si="16"/>
        <v>0</v>
      </c>
      <c r="F78" s="597">
        <f t="shared" si="16"/>
        <v>0</v>
      </c>
      <c r="G78" s="597">
        <f t="shared" si="16"/>
        <v>0</v>
      </c>
      <c r="H78" s="597">
        <f t="shared" si="16"/>
        <v>0</v>
      </c>
      <c r="I78" s="597">
        <f t="shared" si="16"/>
        <v>0</v>
      </c>
      <c r="J78" s="597">
        <f t="shared" si="16"/>
        <v>0</v>
      </c>
      <c r="K78" s="597">
        <f t="shared" si="16"/>
        <v>0</v>
      </c>
      <c r="L78" s="597">
        <f t="shared" si="16"/>
        <v>0</v>
      </c>
      <c r="M78" s="597">
        <f t="shared" si="16"/>
        <v>0</v>
      </c>
      <c r="N78" s="597">
        <f t="shared" si="16"/>
        <v>0</v>
      </c>
      <c r="O78" s="597">
        <f>SUM(C78:N78)</f>
        <v>0</v>
      </c>
      <c r="P78" s="590"/>
      <c r="Q78" s="564"/>
      <c r="R78" s="564"/>
      <c r="S78" s="14"/>
      <c r="T78" s="14"/>
      <c r="U78" s="14"/>
    </row>
    <row r="79" spans="1:21" ht="6" customHeight="1" x14ac:dyDescent="0.25">
      <c r="A79" s="570"/>
      <c r="B79" s="732"/>
      <c r="C79" s="564"/>
      <c r="D79" s="564"/>
      <c r="E79" s="564"/>
      <c r="F79" s="564"/>
      <c r="G79" s="564"/>
      <c r="H79" s="564"/>
      <c r="I79" s="564"/>
      <c r="J79" s="564"/>
      <c r="K79" s="564"/>
      <c r="L79" s="564"/>
      <c r="M79" s="564"/>
      <c r="N79" s="564"/>
      <c r="O79" s="564"/>
      <c r="P79" s="590"/>
      <c r="Q79" s="564"/>
      <c r="R79" s="564"/>
      <c r="S79" s="14"/>
      <c r="T79" s="14"/>
      <c r="U79" s="14"/>
    </row>
    <row r="80" spans="1:21" ht="12.75" customHeight="1" x14ac:dyDescent="0.25">
      <c r="A80" s="569" t="s">
        <v>68</v>
      </c>
      <c r="B80" s="732"/>
      <c r="C80" s="579">
        <f>C78</f>
        <v>0</v>
      </c>
      <c r="D80" s="579">
        <f t="shared" ref="D80:N80" si="17">D78+C80</f>
        <v>0</v>
      </c>
      <c r="E80" s="579">
        <f t="shared" si="17"/>
        <v>0</v>
      </c>
      <c r="F80" s="579">
        <f t="shared" si="17"/>
        <v>0</v>
      </c>
      <c r="G80" s="579">
        <f t="shared" si="17"/>
        <v>0</v>
      </c>
      <c r="H80" s="579">
        <f t="shared" si="17"/>
        <v>0</v>
      </c>
      <c r="I80" s="579">
        <f t="shared" si="17"/>
        <v>0</v>
      </c>
      <c r="J80" s="579">
        <f t="shared" si="17"/>
        <v>0</v>
      </c>
      <c r="K80" s="579">
        <f t="shared" si="17"/>
        <v>0</v>
      </c>
      <c r="L80" s="579">
        <f t="shared" si="17"/>
        <v>0</v>
      </c>
      <c r="M80" s="579">
        <f t="shared" si="17"/>
        <v>0</v>
      </c>
      <c r="N80" s="579">
        <f t="shared" si="17"/>
        <v>0</v>
      </c>
      <c r="O80" s="564"/>
      <c r="P80" s="590"/>
      <c r="Q80" s="564"/>
      <c r="R80" s="564"/>
      <c r="S80" s="14"/>
      <c r="T80" s="14"/>
      <c r="U80" s="14"/>
    </row>
    <row r="81" spans="1:21" ht="15.75" x14ac:dyDescent="0.25">
      <c r="A81" s="322"/>
      <c r="B81" s="737"/>
      <c r="C81" s="322"/>
      <c r="D81" s="322"/>
      <c r="E81" s="322"/>
      <c r="F81" s="322"/>
      <c r="G81" s="322"/>
      <c r="H81" s="322"/>
      <c r="I81" s="322"/>
      <c r="J81" s="322"/>
      <c r="K81" s="322"/>
      <c r="L81" s="322"/>
      <c r="M81" s="322"/>
      <c r="N81" s="322"/>
      <c r="O81" s="322"/>
      <c r="P81" s="322"/>
      <c r="Q81" s="322"/>
      <c r="R81" s="322"/>
      <c r="S81" s="14"/>
      <c r="T81" s="14"/>
      <c r="U81" s="14"/>
    </row>
    <row r="82" spans="1:21" ht="15.75" x14ac:dyDescent="0.25">
      <c r="A82" s="14"/>
      <c r="B82" s="738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</row>
    <row r="83" spans="1:21" ht="15.75" x14ac:dyDescent="0.25">
      <c r="A83" s="14"/>
      <c r="B83" s="738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</row>
    <row r="84" spans="1:21" ht="15.75" x14ac:dyDescent="0.25">
      <c r="A84" s="14"/>
      <c r="B84" s="738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</row>
    <row r="85" spans="1:21" ht="15.75" x14ac:dyDescent="0.25">
      <c r="A85" s="14"/>
      <c r="B85" s="738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</row>
    <row r="86" spans="1:21" ht="15.75" x14ac:dyDescent="0.25">
      <c r="A86" s="14"/>
      <c r="B86" s="738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</row>
    <row r="87" spans="1:21" ht="15.75" x14ac:dyDescent="0.25">
      <c r="A87" s="14"/>
      <c r="B87" s="738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</row>
    <row r="88" spans="1:21" ht="15.75" x14ac:dyDescent="0.25">
      <c r="A88" s="14"/>
      <c r="B88" s="738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</row>
    <row r="89" spans="1:21" ht="15.75" x14ac:dyDescent="0.25">
      <c r="A89" s="14"/>
      <c r="B89" s="738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</row>
    <row r="90" spans="1:21" ht="15.75" x14ac:dyDescent="0.25">
      <c r="A90" s="14"/>
      <c r="B90" s="738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</row>
    <row r="91" spans="1:21" ht="15.75" x14ac:dyDescent="0.25">
      <c r="A91" s="14"/>
      <c r="B91" s="738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</row>
    <row r="92" spans="1:21" ht="15.75" x14ac:dyDescent="0.25">
      <c r="A92" s="14"/>
      <c r="B92" s="738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</row>
    <row r="93" spans="1:21" ht="15.75" x14ac:dyDescent="0.25">
      <c r="A93" s="14"/>
      <c r="B93" s="738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</row>
    <row r="94" spans="1:21" ht="15.75" x14ac:dyDescent="0.25">
      <c r="A94" s="14"/>
      <c r="B94" s="738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</row>
    <row r="95" spans="1:21" ht="15.75" x14ac:dyDescent="0.25">
      <c r="A95" s="14"/>
      <c r="B95" s="738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</row>
    <row r="96" spans="1:21" ht="15.75" x14ac:dyDescent="0.25">
      <c r="A96" s="14"/>
      <c r="B96" s="738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</row>
    <row r="97" spans="1:21" ht="15.75" x14ac:dyDescent="0.25">
      <c r="A97" s="14"/>
      <c r="B97" s="738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</row>
    <row r="98" spans="1:21" ht="15.75" x14ac:dyDescent="0.25">
      <c r="A98" s="14"/>
      <c r="B98" s="738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</row>
    <row r="99" spans="1:21" ht="15.75" x14ac:dyDescent="0.25">
      <c r="A99" s="14"/>
      <c r="B99" s="738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</row>
    <row r="100" spans="1:21" ht="15.75" x14ac:dyDescent="0.25">
      <c r="A100" s="14"/>
      <c r="B100" s="738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</row>
    <row r="101" spans="1:21" ht="15.75" x14ac:dyDescent="0.25">
      <c r="A101" s="14"/>
      <c r="B101" s="738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</row>
    <row r="102" spans="1:21" ht="15.75" x14ac:dyDescent="0.25">
      <c r="A102" s="14"/>
      <c r="B102" s="738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</row>
    <row r="103" spans="1:21" ht="15.75" x14ac:dyDescent="0.25">
      <c r="A103" s="14"/>
      <c r="B103" s="738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</row>
    <row r="104" spans="1:21" ht="15.75" x14ac:dyDescent="0.25">
      <c r="A104" s="14"/>
      <c r="B104" s="738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</row>
    <row r="105" spans="1:21" ht="15.75" x14ac:dyDescent="0.25">
      <c r="A105" s="14"/>
      <c r="B105" s="738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</row>
    <row r="106" spans="1:21" ht="15.75" x14ac:dyDescent="0.25">
      <c r="A106" s="14"/>
      <c r="B106" s="738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</row>
    <row r="107" spans="1:21" ht="15.75" x14ac:dyDescent="0.25">
      <c r="A107" s="14"/>
      <c r="B107" s="738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</row>
    <row r="108" spans="1:21" ht="15.75" x14ac:dyDescent="0.25">
      <c r="A108" s="14"/>
      <c r="B108" s="738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</row>
    <row r="109" spans="1:21" ht="15.75" x14ac:dyDescent="0.25">
      <c r="A109" s="14"/>
      <c r="B109" s="738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</row>
    <row r="110" spans="1:21" ht="15.75" x14ac:dyDescent="0.25">
      <c r="A110" s="14"/>
      <c r="B110" s="738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</row>
    <row r="111" spans="1:21" ht="15.75" x14ac:dyDescent="0.25">
      <c r="A111" s="14"/>
      <c r="B111" s="738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</row>
    <row r="112" spans="1:21" ht="15.75" x14ac:dyDescent="0.25">
      <c r="A112" s="14"/>
      <c r="B112" s="738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</row>
    <row r="113" spans="1:21" ht="15.75" x14ac:dyDescent="0.25">
      <c r="A113" s="14"/>
      <c r="B113" s="738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</row>
    <row r="114" spans="1:21" ht="15.75" x14ac:dyDescent="0.25">
      <c r="A114" s="14"/>
      <c r="B114" s="738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</row>
    <row r="115" spans="1:21" ht="15.75" x14ac:dyDescent="0.25">
      <c r="A115" s="14"/>
      <c r="B115" s="738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</row>
    <row r="116" spans="1:21" ht="15.75" x14ac:dyDescent="0.25">
      <c r="A116" s="14"/>
      <c r="B116" s="738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</row>
    <row r="117" spans="1:21" ht="15.75" x14ac:dyDescent="0.25">
      <c r="A117" s="14"/>
      <c r="B117" s="738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</row>
    <row r="118" spans="1:21" ht="15.75" x14ac:dyDescent="0.25">
      <c r="A118" s="14"/>
      <c r="B118" s="738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</row>
    <row r="119" spans="1:21" ht="15.75" x14ac:dyDescent="0.25">
      <c r="A119" s="14"/>
      <c r="B119" s="738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</row>
    <row r="120" spans="1:21" ht="15.75" x14ac:dyDescent="0.25">
      <c r="A120" s="14"/>
      <c r="B120" s="738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</row>
    <row r="121" spans="1:21" ht="15.75" x14ac:dyDescent="0.25">
      <c r="A121" s="14"/>
      <c r="B121" s="738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</row>
    <row r="122" spans="1:21" ht="15.75" x14ac:dyDescent="0.25">
      <c r="A122" s="14"/>
      <c r="B122" s="738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</row>
    <row r="123" spans="1:21" ht="15.75" x14ac:dyDescent="0.25">
      <c r="A123" s="14"/>
      <c r="B123" s="738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</row>
    <row r="124" spans="1:21" ht="15.75" x14ac:dyDescent="0.25">
      <c r="A124" s="14"/>
      <c r="B124" s="738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</row>
    <row r="125" spans="1:21" ht="15.75" x14ac:dyDescent="0.25">
      <c r="A125" s="14"/>
      <c r="B125" s="738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</row>
    <row r="126" spans="1:21" ht="15.75" x14ac:dyDescent="0.25">
      <c r="A126" s="14"/>
      <c r="B126" s="738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</row>
    <row r="127" spans="1:21" ht="15.75" x14ac:dyDescent="0.25">
      <c r="A127" s="14"/>
      <c r="B127" s="738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</row>
    <row r="128" spans="1:21" ht="15.75" x14ac:dyDescent="0.25">
      <c r="A128" s="14"/>
      <c r="B128" s="738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</row>
    <row r="129" spans="1:21" ht="15.75" x14ac:dyDescent="0.25">
      <c r="A129" s="14"/>
      <c r="B129" s="738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</row>
    <row r="130" spans="1:21" ht="15.75" x14ac:dyDescent="0.25">
      <c r="A130" s="14"/>
      <c r="B130" s="738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</row>
    <row r="131" spans="1:21" ht="15.75" x14ac:dyDescent="0.25">
      <c r="A131" s="14"/>
      <c r="B131" s="738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</row>
    <row r="132" spans="1:21" ht="15.75" x14ac:dyDescent="0.25">
      <c r="A132" s="14"/>
      <c r="B132" s="738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</row>
    <row r="133" spans="1:21" ht="15.75" x14ac:dyDescent="0.25">
      <c r="A133" s="14"/>
      <c r="B133" s="738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</row>
    <row r="134" spans="1:21" ht="15.75" x14ac:dyDescent="0.25">
      <c r="A134" s="14"/>
      <c r="B134" s="738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</row>
    <row r="135" spans="1:21" ht="15.75" x14ac:dyDescent="0.25">
      <c r="A135" s="14"/>
      <c r="B135" s="738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</row>
    <row r="136" spans="1:21" ht="15.75" x14ac:dyDescent="0.25">
      <c r="A136" s="14"/>
      <c r="B136" s="738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</row>
    <row r="137" spans="1:21" ht="15.75" x14ac:dyDescent="0.25">
      <c r="A137" s="14"/>
      <c r="B137" s="738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</row>
    <row r="138" spans="1:21" ht="15.75" x14ac:dyDescent="0.25">
      <c r="A138" s="14"/>
      <c r="B138" s="738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</row>
    <row r="139" spans="1:21" ht="15.75" x14ac:dyDescent="0.25">
      <c r="A139" s="14"/>
      <c r="B139" s="738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</row>
    <row r="140" spans="1:21" ht="15.75" x14ac:dyDescent="0.25">
      <c r="A140" s="14"/>
      <c r="B140" s="738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</row>
    <row r="141" spans="1:21" ht="15.75" x14ac:dyDescent="0.25">
      <c r="A141" s="14"/>
      <c r="B141" s="738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</row>
    <row r="142" spans="1:21" ht="15.75" x14ac:dyDescent="0.25">
      <c r="A142" s="14"/>
      <c r="B142" s="738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</row>
    <row r="143" spans="1:21" ht="15.75" x14ac:dyDescent="0.25">
      <c r="A143" s="14"/>
      <c r="B143" s="738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</row>
  </sheetData>
  <phoneticPr fontId="0" type="noConversion"/>
  <printOptions horizontalCentered="1" gridLinesSet="0"/>
  <pageMargins left="0.5" right="0.5" top="0.25" bottom="0" header="0" footer="0"/>
  <pageSetup paperSize="5" scale="89" orientation="landscape" r:id="rId1"/>
  <headerFooter alignWithMargins="0"/>
  <rowBreaks count="1" manualBreakCount="1">
    <brk id="35" max="65535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6">
    <pageSetUpPr fitToPage="1"/>
  </sheetPr>
  <dimension ref="A1:BR118"/>
  <sheetViews>
    <sheetView showGridLines="0" workbookViewId="0">
      <pane xSplit="2" ySplit="5" topLeftCell="F25" activePane="bottomRight" state="frozen"/>
      <selection pane="topRight" activeCell="C1" sqref="C1"/>
      <selection pane="bottomLeft" activeCell="A6" sqref="A6"/>
      <selection pane="bottomRight" activeCell="I30" sqref="I30"/>
    </sheetView>
  </sheetViews>
  <sheetFormatPr defaultColWidth="8.28515625" defaultRowHeight="12.75" x14ac:dyDescent="0.2"/>
  <cols>
    <col min="1" max="1" width="45.7109375" style="15" customWidth="1"/>
    <col min="2" max="2" width="8.7109375" style="744" customWidth="1"/>
    <col min="3" max="14" width="8.7109375" style="15" customWidth="1"/>
    <col min="15" max="22" width="9.7109375" style="15" customWidth="1"/>
    <col min="23" max="23" width="3.7109375" style="15" customWidth="1"/>
    <col min="24" max="25" width="9.7109375" style="15" customWidth="1"/>
    <col min="26" max="16384" width="8.28515625" style="15"/>
  </cols>
  <sheetData>
    <row r="1" spans="1:70" ht="12.75" customHeight="1" x14ac:dyDescent="0.25">
      <c r="A1" s="605" t="str">
        <f ca="1">CELL("FILENAME")</f>
        <v>C:\Users\Felienne\Enron\EnronSpreadsheets\[tracy_geaccone__40367__EMNNG02PL.xls]IncomeState</v>
      </c>
      <c r="B1" s="740"/>
      <c r="C1" s="326"/>
      <c r="D1" s="326"/>
      <c r="E1" s="326"/>
      <c r="F1" s="326"/>
      <c r="G1" s="326"/>
      <c r="H1" s="326"/>
      <c r="I1" s="326"/>
      <c r="J1" s="326"/>
      <c r="K1" s="327" t="s">
        <v>69</v>
      </c>
      <c r="L1" s="328"/>
      <c r="M1" s="328"/>
      <c r="N1" s="328"/>
      <c r="O1" s="329"/>
      <c r="P1" s="328"/>
      <c r="Q1" s="330"/>
      <c r="R1" s="330"/>
      <c r="S1" s="17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</row>
    <row r="2" spans="1:70" ht="12.75" customHeight="1" x14ac:dyDescent="0.25">
      <c r="A2" s="331" t="s">
        <v>70</v>
      </c>
      <c r="B2" s="740"/>
      <c r="C2" s="328"/>
      <c r="D2" s="328"/>
      <c r="E2" s="556"/>
      <c r="F2" s="328"/>
      <c r="G2" s="336"/>
      <c r="H2" s="328"/>
      <c r="I2" s="328"/>
      <c r="J2" s="328"/>
      <c r="K2" s="328"/>
      <c r="L2" s="328"/>
      <c r="M2" s="328"/>
      <c r="N2" s="332"/>
      <c r="O2" s="333"/>
      <c r="P2" s="328"/>
      <c r="Q2" s="330"/>
      <c r="R2" s="330"/>
      <c r="S2" s="17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</row>
    <row r="3" spans="1:70" ht="12.75" customHeight="1" x14ac:dyDescent="0.25">
      <c r="A3" s="552" t="str">
        <f>IncomeState!A3</f>
        <v>2002 OPERATING PLAN</v>
      </c>
      <c r="B3" s="741">
        <f ca="1">NOW()</f>
        <v>41887.551126967592</v>
      </c>
      <c r="C3" s="1000" t="str">
        <f>DataBase!C2</f>
        <v>PLAN</v>
      </c>
      <c r="D3" s="1000" t="str">
        <f>DataBase!D2</f>
        <v>PLAN</v>
      </c>
      <c r="E3" s="1000" t="str">
        <f>DataBase!E2</f>
        <v>PLAN</v>
      </c>
      <c r="F3" s="1000" t="str">
        <f>DataBase!F2</f>
        <v>PLAN</v>
      </c>
      <c r="G3" s="1000" t="str">
        <f>DataBase!G2</f>
        <v>PLAN</v>
      </c>
      <c r="H3" s="1000" t="str">
        <f>DataBase!H2</f>
        <v>PLAN</v>
      </c>
      <c r="I3" s="1000" t="str">
        <f>DataBase!I2</f>
        <v>PLAN</v>
      </c>
      <c r="J3" s="1000" t="str">
        <f>DataBase!J2</f>
        <v>PLAN</v>
      </c>
      <c r="K3" s="1000" t="str">
        <f>DataBase!K2</f>
        <v>PLAN</v>
      </c>
      <c r="L3" s="1000" t="str">
        <f>DataBase!L2</f>
        <v>PLAN</v>
      </c>
      <c r="M3" s="1000" t="str">
        <f>DataBase!M2</f>
        <v>PLAN</v>
      </c>
      <c r="N3" s="1000" t="str">
        <f>DataBase!N2</f>
        <v>PLAN</v>
      </c>
      <c r="O3" s="1000" t="str">
        <f>DataBase!O2</f>
        <v>TOTAL</v>
      </c>
      <c r="P3" s="1000" t="str">
        <f>IncomeState!P6</f>
        <v>FEB.</v>
      </c>
      <c r="Q3" s="1000" t="str">
        <f>IncomeState!Q6</f>
        <v>ESTIMATE</v>
      </c>
      <c r="R3" s="556"/>
      <c r="S3" s="413" t="s">
        <v>808</v>
      </c>
      <c r="T3" s="413" t="s">
        <v>809</v>
      </c>
      <c r="U3" s="413" t="s">
        <v>810</v>
      </c>
      <c r="V3" s="413" t="s">
        <v>811</v>
      </c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</row>
    <row r="4" spans="1:70" ht="12" customHeight="1" x14ac:dyDescent="0.25">
      <c r="A4" s="334"/>
      <c r="B4" s="742">
        <f ca="1">NOW()</f>
        <v>41887.551126967592</v>
      </c>
      <c r="C4" s="1001" t="s">
        <v>1174</v>
      </c>
      <c r="D4" s="1001" t="s">
        <v>1175</v>
      </c>
      <c r="E4" s="1001" t="s">
        <v>1176</v>
      </c>
      <c r="F4" s="1001" t="s">
        <v>1177</v>
      </c>
      <c r="G4" s="1001" t="s">
        <v>1178</v>
      </c>
      <c r="H4" s="1001" t="s">
        <v>1179</v>
      </c>
      <c r="I4" s="1001" t="s">
        <v>1180</v>
      </c>
      <c r="J4" s="1001" t="s">
        <v>1181</v>
      </c>
      <c r="K4" s="1001" t="s">
        <v>1182</v>
      </c>
      <c r="L4" s="1001" t="s">
        <v>1183</v>
      </c>
      <c r="M4" s="1001" t="s">
        <v>1184</v>
      </c>
      <c r="N4" s="1001" t="s">
        <v>1185</v>
      </c>
      <c r="O4" s="1002" t="str">
        <f>DataBase!O3</f>
        <v>2002</v>
      </c>
      <c r="P4" s="1002" t="str">
        <f>IncomeState!P7</f>
        <v>Y-T-D</v>
      </c>
      <c r="Q4" s="1002" t="str">
        <f>IncomeState!Q7</f>
        <v>R.M.</v>
      </c>
      <c r="R4" s="607"/>
      <c r="S4" s="415" t="s">
        <v>814</v>
      </c>
      <c r="T4" s="415" t="s">
        <v>814</v>
      </c>
      <c r="U4" s="415" t="s">
        <v>814</v>
      </c>
      <c r="V4" s="415" t="s">
        <v>814</v>
      </c>
      <c r="W4" s="16"/>
      <c r="X4" s="415" t="s">
        <v>653</v>
      </c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</row>
    <row r="5" spans="1:70" ht="3.95" customHeight="1" x14ac:dyDescent="0.25">
      <c r="A5" s="335"/>
      <c r="B5" s="740"/>
      <c r="C5" s="326"/>
      <c r="D5" s="326"/>
      <c r="E5" s="326"/>
      <c r="F5" s="326"/>
      <c r="G5" s="326"/>
      <c r="H5" s="326"/>
      <c r="I5" s="326"/>
      <c r="J5" s="326"/>
      <c r="K5" s="326"/>
      <c r="L5" s="326"/>
      <c r="M5" s="326"/>
      <c r="N5" s="326"/>
      <c r="O5" s="326"/>
      <c r="P5" s="326"/>
      <c r="Q5" s="326"/>
      <c r="R5" s="32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</row>
    <row r="6" spans="1:70" ht="12.75" customHeight="1" x14ac:dyDescent="0.25">
      <c r="A6" s="745" t="s">
        <v>71</v>
      </c>
      <c r="B6" s="746"/>
      <c r="C6" s="747"/>
      <c r="D6" s="747"/>
      <c r="E6" s="747"/>
      <c r="F6" s="747"/>
      <c r="G6" s="747"/>
      <c r="H6" s="747"/>
      <c r="I6" s="747"/>
      <c r="J6" s="747"/>
      <c r="K6" s="747"/>
      <c r="L6" s="747"/>
      <c r="M6" s="747"/>
      <c r="N6" s="747"/>
      <c r="O6" s="747"/>
      <c r="P6" s="747"/>
      <c r="Q6" s="748"/>
      <c r="R6" s="748"/>
      <c r="S6" s="16"/>
      <c r="T6" s="18"/>
      <c r="U6" s="16"/>
      <c r="V6" s="18"/>
      <c r="W6" s="16"/>
      <c r="X6" s="18"/>
      <c r="Y6" s="16"/>
      <c r="Z6" s="18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</row>
    <row r="7" spans="1:70" ht="12.75" customHeight="1" x14ac:dyDescent="0.25">
      <c r="A7" s="768" t="s">
        <v>365</v>
      </c>
      <c r="B7" s="746"/>
      <c r="C7" s="854">
        <f>-DataBase!C118-C8</f>
        <v>1683</v>
      </c>
      <c r="D7" s="854">
        <f>-DataBase!D118-D8</f>
        <v>1148</v>
      </c>
      <c r="E7" s="854">
        <f>-DataBase!E118-E8</f>
        <v>1025</v>
      </c>
      <c r="F7" s="854">
        <f>-DataBase!F118-F8</f>
        <v>1745</v>
      </c>
      <c r="G7" s="854">
        <f>-DataBase!G118-G8</f>
        <v>1207</v>
      </c>
      <c r="H7" s="854">
        <f>-DataBase!H118-H8</f>
        <v>1094</v>
      </c>
      <c r="I7" s="854">
        <f>-DataBase!I118-I8</f>
        <v>1672</v>
      </c>
      <c r="J7" s="854">
        <f>-DataBase!J118-J8</f>
        <v>1130</v>
      </c>
      <c r="K7" s="854">
        <f>-DataBase!K118-K8</f>
        <v>1055</v>
      </c>
      <c r="L7" s="854">
        <f>-DataBase!L118-L8</f>
        <v>1660</v>
      </c>
      <c r="M7" s="854">
        <f>-DataBase!M118-M8</f>
        <v>1192</v>
      </c>
      <c r="N7" s="854">
        <f>-DataBase!N118-N8</f>
        <v>1094</v>
      </c>
      <c r="O7" s="751">
        <f t="shared" ref="O7:O21" si="0">SUM(C7:N7)</f>
        <v>15705</v>
      </c>
      <c r="P7" s="752">
        <f>SUM(C7:D7)</f>
        <v>2831</v>
      </c>
      <c r="Q7" s="751">
        <f t="shared" ref="Q7:Q21" si="1">O7-P7</f>
        <v>12874</v>
      </c>
      <c r="R7" s="751"/>
      <c r="S7" s="769">
        <f t="shared" ref="S7:S21" si="2">SUM(C7:E7)</f>
        <v>3856</v>
      </c>
      <c r="T7" s="769">
        <f t="shared" ref="T7:T21" si="3">SUM(F7:H7)</f>
        <v>4046</v>
      </c>
      <c r="U7" s="769">
        <f t="shared" ref="U7:U21" si="4">SUM(I7:K7)</f>
        <v>3857</v>
      </c>
      <c r="V7" s="769">
        <f t="shared" ref="V7:V21" si="5">SUM(L7:N7)</f>
        <v>3946</v>
      </c>
      <c r="W7" s="749"/>
      <c r="X7" s="747">
        <f t="shared" ref="X7:X21" si="6">SUM(S7:V7)</f>
        <v>15705</v>
      </c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</row>
    <row r="8" spans="1:70" ht="12.75" customHeight="1" x14ac:dyDescent="0.25">
      <c r="A8" s="856" t="s">
        <v>1188</v>
      </c>
      <c r="B8" s="746"/>
      <c r="C8" s="754">
        <v>0</v>
      </c>
      <c r="D8" s="754">
        <v>0</v>
      </c>
      <c r="E8" s="754">
        <v>0</v>
      </c>
      <c r="F8" s="754">
        <v>0</v>
      </c>
      <c r="G8" s="754">
        <v>0</v>
      </c>
      <c r="H8" s="754">
        <v>0</v>
      </c>
      <c r="I8" s="754">
        <v>0</v>
      </c>
      <c r="J8" s="754">
        <v>0</v>
      </c>
      <c r="K8" s="754">
        <v>0</v>
      </c>
      <c r="L8" s="754">
        <v>0</v>
      </c>
      <c r="M8" s="754">
        <v>0</v>
      </c>
      <c r="N8" s="754">
        <v>0</v>
      </c>
      <c r="O8" s="751">
        <f>SUM(C8:N8)</f>
        <v>0</v>
      </c>
      <c r="P8" s="752">
        <f t="shared" ref="P8:P27" si="7">SUM(C8:D8)</f>
        <v>0</v>
      </c>
      <c r="Q8" s="751">
        <f>O8-P8</f>
        <v>0</v>
      </c>
      <c r="R8" s="751"/>
      <c r="S8" s="769">
        <f>SUM(C8:E8)</f>
        <v>0</v>
      </c>
      <c r="T8" s="769">
        <f>SUM(F8:H8)</f>
        <v>0</v>
      </c>
      <c r="U8" s="769">
        <f>SUM(I8:K8)</f>
        <v>0</v>
      </c>
      <c r="V8" s="769">
        <f>SUM(L8:N8)</f>
        <v>0</v>
      </c>
      <c r="W8" s="749"/>
      <c r="X8" s="747">
        <f>SUM(S8:V8)</f>
        <v>0</v>
      </c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</row>
    <row r="9" spans="1:70" ht="12.75" customHeight="1" x14ac:dyDescent="0.25">
      <c r="A9" s="753" t="s">
        <v>591</v>
      </c>
      <c r="B9" s="746"/>
      <c r="C9" s="854">
        <f>-DataBase!C172-C10</f>
        <v>545</v>
      </c>
      <c r="D9" s="854">
        <f>-DataBase!D172-D10</f>
        <v>545</v>
      </c>
      <c r="E9" s="854">
        <f>-DataBase!E172-E10</f>
        <v>580</v>
      </c>
      <c r="F9" s="854">
        <f>-DataBase!F172-F10</f>
        <v>544</v>
      </c>
      <c r="G9" s="854">
        <f>-DataBase!G172-G10</f>
        <v>545</v>
      </c>
      <c r="H9" s="854">
        <f>-DataBase!H172-H10</f>
        <v>544</v>
      </c>
      <c r="I9" s="854">
        <f>-DataBase!I172-I10</f>
        <v>544</v>
      </c>
      <c r="J9" s="854">
        <f>-DataBase!J172-J10</f>
        <v>544</v>
      </c>
      <c r="K9" s="854">
        <f>-DataBase!K172-K10</f>
        <v>582</v>
      </c>
      <c r="L9" s="854">
        <f>-DataBase!L172-L10</f>
        <v>559</v>
      </c>
      <c r="M9" s="854">
        <f>-DataBase!M172-M10</f>
        <v>545</v>
      </c>
      <c r="N9" s="854">
        <f>-DataBase!N172-N10</f>
        <v>544</v>
      </c>
      <c r="O9" s="751">
        <f t="shared" si="0"/>
        <v>6621</v>
      </c>
      <c r="P9" s="752">
        <f t="shared" si="7"/>
        <v>1090</v>
      </c>
      <c r="Q9" s="751">
        <f t="shared" si="1"/>
        <v>5531</v>
      </c>
      <c r="R9" s="751"/>
      <c r="S9" s="769">
        <f t="shared" si="2"/>
        <v>1670</v>
      </c>
      <c r="T9" s="769">
        <f t="shared" si="3"/>
        <v>1633</v>
      </c>
      <c r="U9" s="769">
        <f t="shared" si="4"/>
        <v>1670</v>
      </c>
      <c r="V9" s="769">
        <f t="shared" si="5"/>
        <v>1648</v>
      </c>
      <c r="W9" s="767"/>
      <c r="X9" s="747">
        <f t="shared" si="6"/>
        <v>6621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</row>
    <row r="10" spans="1:70" ht="12.75" customHeight="1" x14ac:dyDescent="0.25">
      <c r="A10" s="856" t="s">
        <v>1188</v>
      </c>
      <c r="B10" s="746"/>
      <c r="C10" s="754">
        <v>0</v>
      </c>
      <c r="D10" s="754">
        <v>0</v>
      </c>
      <c r="E10" s="754">
        <v>0</v>
      </c>
      <c r="F10" s="754">
        <v>0</v>
      </c>
      <c r="G10" s="754">
        <v>0</v>
      </c>
      <c r="H10" s="754">
        <v>0</v>
      </c>
      <c r="I10" s="754">
        <v>0</v>
      </c>
      <c r="J10" s="754">
        <v>0</v>
      </c>
      <c r="K10" s="754">
        <v>0</v>
      </c>
      <c r="L10" s="754">
        <v>0</v>
      </c>
      <c r="M10" s="754">
        <v>0</v>
      </c>
      <c r="N10" s="754">
        <v>0</v>
      </c>
      <c r="O10" s="751">
        <f t="shared" si="0"/>
        <v>0</v>
      </c>
      <c r="P10" s="752">
        <f t="shared" si="7"/>
        <v>0</v>
      </c>
      <c r="Q10" s="751">
        <f t="shared" si="1"/>
        <v>0</v>
      </c>
      <c r="R10" s="751"/>
      <c r="S10" s="769">
        <f t="shared" si="2"/>
        <v>0</v>
      </c>
      <c r="T10" s="769">
        <f t="shared" si="3"/>
        <v>0</v>
      </c>
      <c r="U10" s="769">
        <f t="shared" si="4"/>
        <v>0</v>
      </c>
      <c r="V10" s="769">
        <f t="shared" si="5"/>
        <v>0</v>
      </c>
      <c r="W10" s="749"/>
      <c r="X10" s="747">
        <f t="shared" si="6"/>
        <v>0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</row>
    <row r="11" spans="1:70" ht="12.75" customHeight="1" x14ac:dyDescent="0.25">
      <c r="A11" s="664" t="s">
        <v>73</v>
      </c>
      <c r="B11" s="746"/>
      <c r="C11" s="854">
        <f>-DataBase!C200-SUM(C12:C14)</f>
        <v>6474</v>
      </c>
      <c r="D11" s="854">
        <f>-DataBase!D200-SUM(D12:D14)</f>
        <v>6968</v>
      </c>
      <c r="E11" s="854">
        <f>-DataBase!E200-SUM(E12:E14)</f>
        <v>6933</v>
      </c>
      <c r="F11" s="854">
        <f>-DataBase!F200-SUM(F12:F14)</f>
        <v>6768</v>
      </c>
      <c r="G11" s="854">
        <f>-DataBase!G200-SUM(G12:G14)</f>
        <v>6791</v>
      </c>
      <c r="H11" s="854">
        <f>-DataBase!H200-SUM(H12:H14)</f>
        <v>7157</v>
      </c>
      <c r="I11" s="854">
        <f>-DataBase!I200-SUM(I12:I14)</f>
        <v>9066</v>
      </c>
      <c r="J11" s="854">
        <f>-DataBase!J200-SUM(J12:J14)</f>
        <v>8173</v>
      </c>
      <c r="K11" s="854">
        <f>-DataBase!K200-SUM(K12:K14)</f>
        <v>8512</v>
      </c>
      <c r="L11" s="854">
        <f>-DataBase!L200-SUM(L12:L14)</f>
        <v>8511</v>
      </c>
      <c r="M11" s="854">
        <f>-DataBase!M200-SUM(M12:M14)</f>
        <v>7670</v>
      </c>
      <c r="N11" s="854">
        <f>-DataBase!N200-SUM(N12:N14)</f>
        <v>8126</v>
      </c>
      <c r="O11" s="751">
        <f>SUM(C11:N11)</f>
        <v>91149</v>
      </c>
      <c r="P11" s="752">
        <f t="shared" si="7"/>
        <v>13442</v>
      </c>
      <c r="Q11" s="751">
        <f>O11-P11</f>
        <v>77707</v>
      </c>
      <c r="R11" s="751"/>
      <c r="S11" s="769">
        <f>SUM(C11:E11)</f>
        <v>20375</v>
      </c>
      <c r="T11" s="769">
        <f>SUM(F11:H11)</f>
        <v>20716</v>
      </c>
      <c r="U11" s="769">
        <f>SUM(I11:K11)</f>
        <v>25751</v>
      </c>
      <c r="V11" s="769">
        <f>SUM(L11:N11)</f>
        <v>24307</v>
      </c>
      <c r="W11" s="749"/>
      <c r="X11" s="747">
        <f>SUM(S11:V11)</f>
        <v>91149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</row>
    <row r="12" spans="1:70" ht="12.75" customHeight="1" x14ac:dyDescent="0.25">
      <c r="A12" s="856" t="s">
        <v>1188</v>
      </c>
      <c r="B12" s="755"/>
      <c r="C12" s="754">
        <v>0</v>
      </c>
      <c r="D12" s="754">
        <v>0</v>
      </c>
      <c r="E12" s="754">
        <v>0</v>
      </c>
      <c r="F12" s="754">
        <v>0</v>
      </c>
      <c r="G12" s="754">
        <v>0</v>
      </c>
      <c r="H12" s="754">
        <v>0</v>
      </c>
      <c r="I12" s="754">
        <v>0</v>
      </c>
      <c r="J12" s="754">
        <v>0</v>
      </c>
      <c r="K12" s="754">
        <v>0</v>
      </c>
      <c r="L12" s="754">
        <v>0</v>
      </c>
      <c r="M12" s="754">
        <v>0</v>
      </c>
      <c r="N12" s="754">
        <v>0</v>
      </c>
      <c r="O12" s="751">
        <f>SUM(C12:N12)</f>
        <v>0</v>
      </c>
      <c r="P12" s="752">
        <f t="shared" si="7"/>
        <v>0</v>
      </c>
      <c r="Q12" s="751">
        <f>O12-P12</f>
        <v>0</v>
      </c>
      <c r="R12" s="751"/>
      <c r="S12" s="769">
        <f>SUM(C12:E12)</f>
        <v>0</v>
      </c>
      <c r="T12" s="769">
        <f>SUM(F12:H12)</f>
        <v>0</v>
      </c>
      <c r="U12" s="769">
        <f>SUM(I12:K12)</f>
        <v>0</v>
      </c>
      <c r="V12" s="769">
        <f>SUM(L12:N12)</f>
        <v>0</v>
      </c>
      <c r="W12" s="749"/>
      <c r="X12" s="747">
        <f>SUM(S12:V12)</f>
        <v>0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</row>
    <row r="13" spans="1:70" ht="12.75" customHeight="1" x14ac:dyDescent="0.25">
      <c r="A13" s="856" t="s">
        <v>1188</v>
      </c>
      <c r="B13" s="755"/>
      <c r="C13" s="754">
        <v>0</v>
      </c>
      <c r="D13" s="754">
        <v>0</v>
      </c>
      <c r="E13" s="754">
        <v>0</v>
      </c>
      <c r="F13" s="754">
        <v>0</v>
      </c>
      <c r="G13" s="754">
        <v>0</v>
      </c>
      <c r="H13" s="754">
        <v>0</v>
      </c>
      <c r="I13" s="754">
        <v>0</v>
      </c>
      <c r="J13" s="754">
        <v>0</v>
      </c>
      <c r="K13" s="754">
        <v>0</v>
      </c>
      <c r="L13" s="754">
        <v>0</v>
      </c>
      <c r="M13" s="754">
        <v>0</v>
      </c>
      <c r="N13" s="754">
        <v>0</v>
      </c>
      <c r="O13" s="751">
        <f>SUM(C13:N13)</f>
        <v>0</v>
      </c>
      <c r="P13" s="752">
        <f t="shared" si="7"/>
        <v>0</v>
      </c>
      <c r="Q13" s="751">
        <f>O13-P13</f>
        <v>0</v>
      </c>
      <c r="R13" s="751"/>
      <c r="S13" s="769">
        <f>SUM(C13:E13)</f>
        <v>0</v>
      </c>
      <c r="T13" s="769">
        <f>SUM(F13:H13)</f>
        <v>0</v>
      </c>
      <c r="U13" s="769">
        <f>SUM(I13:K13)</f>
        <v>0</v>
      </c>
      <c r="V13" s="769">
        <f>SUM(L13:N13)</f>
        <v>0</v>
      </c>
      <c r="W13" s="749"/>
      <c r="X13" s="747">
        <f>SUM(S13:V13)</f>
        <v>0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</row>
    <row r="14" spans="1:70" ht="12.75" customHeight="1" x14ac:dyDescent="0.25">
      <c r="A14" s="856" t="s">
        <v>1188</v>
      </c>
      <c r="B14" s="746"/>
      <c r="C14" s="754">
        <v>0</v>
      </c>
      <c r="D14" s="754">
        <v>0</v>
      </c>
      <c r="E14" s="754">
        <v>0</v>
      </c>
      <c r="F14" s="754">
        <v>0</v>
      </c>
      <c r="G14" s="754">
        <v>0</v>
      </c>
      <c r="H14" s="754">
        <v>0</v>
      </c>
      <c r="I14" s="754">
        <v>0</v>
      </c>
      <c r="J14" s="754">
        <v>0</v>
      </c>
      <c r="K14" s="754">
        <v>0</v>
      </c>
      <c r="L14" s="754">
        <v>0</v>
      </c>
      <c r="M14" s="754">
        <v>0</v>
      </c>
      <c r="N14" s="754">
        <v>0</v>
      </c>
      <c r="O14" s="751">
        <f>SUM(C14:N14)</f>
        <v>0</v>
      </c>
      <c r="P14" s="752">
        <f t="shared" si="7"/>
        <v>0</v>
      </c>
      <c r="Q14" s="751">
        <f>O14-P14</f>
        <v>0</v>
      </c>
      <c r="R14" s="751"/>
      <c r="S14" s="769">
        <f>SUM(C14:E14)</f>
        <v>0</v>
      </c>
      <c r="T14" s="769">
        <f>SUM(F14:H14)</f>
        <v>0</v>
      </c>
      <c r="U14" s="769">
        <f>SUM(I14:K14)</f>
        <v>0</v>
      </c>
      <c r="V14" s="769">
        <f>SUM(L14:N14)</f>
        <v>0</v>
      </c>
      <c r="W14" s="749"/>
      <c r="X14" s="747">
        <f>SUM(S14:V14)</f>
        <v>0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</row>
    <row r="15" spans="1:70" ht="12.75" customHeight="1" x14ac:dyDescent="0.25">
      <c r="A15" s="664" t="s">
        <v>72</v>
      </c>
      <c r="B15" s="746"/>
      <c r="C15" s="854">
        <f>-DataBase!C230-SUM(C16:C19)</f>
        <v>1352</v>
      </c>
      <c r="D15" s="854">
        <f>-DataBase!D230-SUM(D16:D19)</f>
        <v>1371</v>
      </c>
      <c r="E15" s="854">
        <f>-DataBase!E230-SUM(E16:E19)</f>
        <v>1395</v>
      </c>
      <c r="F15" s="854">
        <f>-DataBase!F230-SUM(F16:F19)</f>
        <v>1365</v>
      </c>
      <c r="G15" s="854">
        <f>-DataBase!G230-SUM(G16:G19)</f>
        <v>1364</v>
      </c>
      <c r="H15" s="854">
        <f>-DataBase!H230-SUM(H16:H19)</f>
        <v>1395</v>
      </c>
      <c r="I15" s="854">
        <f>-DataBase!I230-SUM(I16:I19)</f>
        <v>1364</v>
      </c>
      <c r="J15" s="854">
        <f>-DataBase!J230-SUM(J16:J19)</f>
        <v>1365</v>
      </c>
      <c r="K15" s="854">
        <f>-DataBase!K230-SUM(K16:K19)</f>
        <v>1395</v>
      </c>
      <c r="L15" s="854">
        <f>-DataBase!L230-SUM(L16:L19)</f>
        <v>1367</v>
      </c>
      <c r="M15" s="854">
        <f>-DataBase!M230-SUM(M16:M19)</f>
        <v>1368</v>
      </c>
      <c r="N15" s="854">
        <f>-DataBase!N230-SUM(N16:N19)</f>
        <v>1377</v>
      </c>
      <c r="O15" s="751">
        <f t="shared" si="0"/>
        <v>16478</v>
      </c>
      <c r="P15" s="752">
        <f t="shared" si="7"/>
        <v>2723</v>
      </c>
      <c r="Q15" s="751">
        <f t="shared" si="1"/>
        <v>13755</v>
      </c>
      <c r="R15" s="751"/>
      <c r="S15" s="769">
        <f t="shared" si="2"/>
        <v>4118</v>
      </c>
      <c r="T15" s="769">
        <f t="shared" si="3"/>
        <v>4124</v>
      </c>
      <c r="U15" s="769">
        <f t="shared" si="4"/>
        <v>4124</v>
      </c>
      <c r="V15" s="769">
        <f t="shared" si="5"/>
        <v>4112</v>
      </c>
      <c r="W15" s="767"/>
      <c r="X15" s="747">
        <f t="shared" si="6"/>
        <v>16478</v>
      </c>
      <c r="Y15" s="19"/>
      <c r="Z15" s="19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</row>
    <row r="16" spans="1:70" ht="12.75" customHeight="1" x14ac:dyDescent="0.25">
      <c r="A16" s="856" t="s">
        <v>301</v>
      </c>
      <c r="B16" s="755"/>
      <c r="C16" s="754">
        <v>0</v>
      </c>
      <c r="D16" s="754">
        <v>0</v>
      </c>
      <c r="E16" s="754">
        <v>0</v>
      </c>
      <c r="F16" s="754">
        <v>0</v>
      </c>
      <c r="G16" s="754">
        <v>0</v>
      </c>
      <c r="H16" s="754">
        <v>0</v>
      </c>
      <c r="I16" s="754">
        <v>0</v>
      </c>
      <c r="J16" s="754">
        <v>0</v>
      </c>
      <c r="K16" s="754">
        <v>0</v>
      </c>
      <c r="L16" s="754">
        <v>0</v>
      </c>
      <c r="M16" s="754">
        <v>0</v>
      </c>
      <c r="N16" s="754">
        <v>0</v>
      </c>
      <c r="O16" s="751">
        <f t="shared" si="0"/>
        <v>0</v>
      </c>
      <c r="P16" s="752">
        <f t="shared" si="7"/>
        <v>0</v>
      </c>
      <c r="Q16" s="751">
        <f t="shared" si="1"/>
        <v>0</v>
      </c>
      <c r="R16" s="751"/>
      <c r="S16" s="769">
        <f t="shared" si="2"/>
        <v>0</v>
      </c>
      <c r="T16" s="769">
        <f t="shared" si="3"/>
        <v>0</v>
      </c>
      <c r="U16" s="769">
        <f t="shared" si="4"/>
        <v>0</v>
      </c>
      <c r="V16" s="769">
        <f t="shared" si="5"/>
        <v>0</v>
      </c>
      <c r="W16" s="749"/>
      <c r="X16" s="747">
        <f t="shared" si="6"/>
        <v>0</v>
      </c>
      <c r="Y16" s="19"/>
      <c r="Z16" s="19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</row>
    <row r="17" spans="1:70" ht="12.75" customHeight="1" x14ac:dyDescent="0.25">
      <c r="A17" s="856" t="s">
        <v>1188</v>
      </c>
      <c r="B17" s="838" t="s">
        <v>751</v>
      </c>
      <c r="C17" s="754">
        <v>0</v>
      </c>
      <c r="D17" s="754">
        <v>0</v>
      </c>
      <c r="E17" s="754">
        <v>0</v>
      </c>
      <c r="F17" s="754">
        <v>0</v>
      </c>
      <c r="G17" s="754">
        <v>0</v>
      </c>
      <c r="H17" s="754">
        <v>0</v>
      </c>
      <c r="I17" s="754">
        <v>0</v>
      </c>
      <c r="J17" s="754">
        <v>0</v>
      </c>
      <c r="K17" s="754">
        <v>0</v>
      </c>
      <c r="L17" s="754">
        <v>0</v>
      </c>
      <c r="M17" s="754">
        <v>0</v>
      </c>
      <c r="N17" s="754">
        <v>0</v>
      </c>
      <c r="O17" s="751">
        <f t="shared" si="0"/>
        <v>0</v>
      </c>
      <c r="P17" s="752">
        <f t="shared" si="7"/>
        <v>0</v>
      </c>
      <c r="Q17" s="751">
        <f t="shared" si="1"/>
        <v>0</v>
      </c>
      <c r="R17" s="751"/>
      <c r="S17" s="769">
        <f t="shared" si="2"/>
        <v>0</v>
      </c>
      <c r="T17" s="769">
        <f t="shared" si="3"/>
        <v>0</v>
      </c>
      <c r="U17" s="769">
        <f t="shared" si="4"/>
        <v>0</v>
      </c>
      <c r="V17" s="769">
        <f t="shared" si="5"/>
        <v>0</v>
      </c>
      <c r="W17" s="749"/>
      <c r="X17" s="747">
        <f t="shared" si="6"/>
        <v>0</v>
      </c>
      <c r="Y17" s="19"/>
      <c r="Z17" s="19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</row>
    <row r="18" spans="1:70" ht="12.75" customHeight="1" x14ac:dyDescent="0.25">
      <c r="A18" s="856" t="s">
        <v>1188</v>
      </c>
      <c r="B18" s="838"/>
      <c r="C18" s="754">
        <v>0</v>
      </c>
      <c r="D18" s="754">
        <v>0</v>
      </c>
      <c r="E18" s="754">
        <v>0</v>
      </c>
      <c r="F18" s="754">
        <v>0</v>
      </c>
      <c r="G18" s="754">
        <v>0</v>
      </c>
      <c r="H18" s="754">
        <v>0</v>
      </c>
      <c r="I18" s="754">
        <v>0</v>
      </c>
      <c r="J18" s="754">
        <v>0</v>
      </c>
      <c r="K18" s="754">
        <v>0</v>
      </c>
      <c r="L18" s="754">
        <v>0</v>
      </c>
      <c r="M18" s="754">
        <v>0</v>
      </c>
      <c r="N18" s="754">
        <v>0</v>
      </c>
      <c r="O18" s="751">
        <f t="shared" si="0"/>
        <v>0</v>
      </c>
      <c r="P18" s="752">
        <f t="shared" si="7"/>
        <v>0</v>
      </c>
      <c r="Q18" s="751">
        <f t="shared" si="1"/>
        <v>0</v>
      </c>
      <c r="R18" s="751"/>
      <c r="S18" s="769">
        <f t="shared" si="2"/>
        <v>0</v>
      </c>
      <c r="T18" s="769">
        <f t="shared" si="3"/>
        <v>0</v>
      </c>
      <c r="U18" s="769">
        <f t="shared" si="4"/>
        <v>0</v>
      </c>
      <c r="V18" s="769">
        <f t="shared" si="5"/>
        <v>0</v>
      </c>
      <c r="W18" s="749"/>
      <c r="X18" s="747">
        <f t="shared" si="6"/>
        <v>0</v>
      </c>
      <c r="Y18" s="19"/>
      <c r="Z18" s="19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</row>
    <row r="19" spans="1:70" ht="12.75" customHeight="1" x14ac:dyDescent="0.25">
      <c r="A19" s="857" t="s">
        <v>367</v>
      </c>
      <c r="B19" s="838"/>
      <c r="C19" s="858">
        <v>0</v>
      </c>
      <c r="D19" s="858">
        <v>0</v>
      </c>
      <c r="E19" s="858">
        <v>0</v>
      </c>
      <c r="F19" s="858">
        <v>0</v>
      </c>
      <c r="G19" s="858">
        <v>0</v>
      </c>
      <c r="H19" s="858">
        <v>0</v>
      </c>
      <c r="I19" s="754">
        <v>0</v>
      </c>
      <c r="J19" s="754">
        <v>0</v>
      </c>
      <c r="K19" s="754">
        <v>0</v>
      </c>
      <c r="L19" s="754">
        <v>0</v>
      </c>
      <c r="M19" s="858">
        <f>-500+500</f>
        <v>0</v>
      </c>
      <c r="N19" s="858">
        <f>-504+504</f>
        <v>0</v>
      </c>
      <c r="O19" s="751">
        <f t="shared" si="0"/>
        <v>0</v>
      </c>
      <c r="P19" s="752">
        <f t="shared" si="7"/>
        <v>0</v>
      </c>
      <c r="Q19" s="751">
        <f t="shared" si="1"/>
        <v>0</v>
      </c>
      <c r="R19" s="751"/>
      <c r="S19" s="769">
        <f>SUM(C19:E19)</f>
        <v>0</v>
      </c>
      <c r="T19" s="769">
        <f>SUM(F19:H19)</f>
        <v>0</v>
      </c>
      <c r="U19" s="769">
        <f>SUM(I19:K19)</f>
        <v>0</v>
      </c>
      <c r="V19" s="769">
        <f>SUM(L19:N19)</f>
        <v>0</v>
      </c>
      <c r="W19" s="749"/>
      <c r="X19" s="747">
        <f>SUM(S19:V19)</f>
        <v>0</v>
      </c>
      <c r="Y19" s="19"/>
      <c r="Z19" s="19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</row>
    <row r="20" spans="1:70" ht="12.75" customHeight="1" x14ac:dyDescent="0.25">
      <c r="A20" s="753" t="s">
        <v>381</v>
      </c>
      <c r="B20" s="746"/>
      <c r="C20" s="750">
        <f>-DataBase!C237</f>
        <v>0</v>
      </c>
      <c r="D20" s="750">
        <f>-DataBase!D237</f>
        <v>0</v>
      </c>
      <c r="E20" s="750">
        <f>-DataBase!E237</f>
        <v>0</v>
      </c>
      <c r="F20" s="750">
        <f>-DataBase!F237</f>
        <v>0</v>
      </c>
      <c r="G20" s="750">
        <f>-DataBase!G237</f>
        <v>0</v>
      </c>
      <c r="H20" s="750">
        <f>-DataBase!H237</f>
        <v>0</v>
      </c>
      <c r="I20" s="750">
        <f>-DataBase!I237</f>
        <v>0</v>
      </c>
      <c r="J20" s="750">
        <f>-DataBase!J237</f>
        <v>0</v>
      </c>
      <c r="K20" s="750">
        <f>-DataBase!K237</f>
        <v>0</v>
      </c>
      <c r="L20" s="750">
        <f>-DataBase!L237</f>
        <v>0</v>
      </c>
      <c r="M20" s="750">
        <f>-DataBase!M237</f>
        <v>0</v>
      </c>
      <c r="N20" s="750">
        <f>-DataBase!N237</f>
        <v>0</v>
      </c>
      <c r="O20" s="751">
        <f>SUM(C20:N20)</f>
        <v>0</v>
      </c>
      <c r="P20" s="752">
        <f t="shared" si="7"/>
        <v>0</v>
      </c>
      <c r="Q20" s="751">
        <f>O20-P20</f>
        <v>0</v>
      </c>
      <c r="R20" s="756"/>
      <c r="S20" s="769">
        <f>SUM(C20:E20)</f>
        <v>0</v>
      </c>
      <c r="T20" s="769">
        <f>SUM(F20:H20)</f>
        <v>0</v>
      </c>
      <c r="U20" s="769">
        <f>SUM(I20:K20)</f>
        <v>0</v>
      </c>
      <c r="V20" s="769">
        <f>SUM(L20:N20)</f>
        <v>0</v>
      </c>
      <c r="W20" s="749"/>
      <c r="X20" s="747">
        <f>SUM(S20:V20)</f>
        <v>0</v>
      </c>
      <c r="Y20" s="19"/>
      <c r="Z20" s="19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</row>
    <row r="21" spans="1:70" ht="12.75" customHeight="1" x14ac:dyDescent="0.25">
      <c r="A21" s="753" t="s">
        <v>366</v>
      </c>
      <c r="B21" s="746"/>
      <c r="C21" s="854">
        <f>-DataBase!C309-C22</f>
        <v>1381</v>
      </c>
      <c r="D21" s="854">
        <f>-DataBase!D309-D22</f>
        <v>1389</v>
      </c>
      <c r="E21" s="854">
        <f>-DataBase!E309-E22</f>
        <v>1414</v>
      </c>
      <c r="F21" s="854">
        <f>-DataBase!F309-F22</f>
        <v>1402</v>
      </c>
      <c r="G21" s="854">
        <f>-DataBase!G309-G22</f>
        <v>1484</v>
      </c>
      <c r="H21" s="854">
        <f>-DataBase!H309-H22</f>
        <v>1423</v>
      </c>
      <c r="I21" s="854">
        <f>-DataBase!I309-I22</f>
        <v>1407</v>
      </c>
      <c r="J21" s="854">
        <f>-DataBase!J309-J22</f>
        <v>1442</v>
      </c>
      <c r="K21" s="854">
        <f>-DataBase!K309-K22</f>
        <v>1428</v>
      </c>
      <c r="L21" s="854">
        <f>-DataBase!L309-L22</f>
        <v>1411</v>
      </c>
      <c r="M21" s="854">
        <f>-DataBase!M309-M22</f>
        <v>1414</v>
      </c>
      <c r="N21" s="854">
        <f>-DataBase!N309-N22</f>
        <v>1434</v>
      </c>
      <c r="O21" s="751">
        <f t="shared" si="0"/>
        <v>17029</v>
      </c>
      <c r="P21" s="752">
        <f t="shared" si="7"/>
        <v>2770</v>
      </c>
      <c r="Q21" s="751">
        <f t="shared" si="1"/>
        <v>14259</v>
      </c>
      <c r="R21" s="751"/>
      <c r="S21" s="769">
        <f t="shared" si="2"/>
        <v>4184</v>
      </c>
      <c r="T21" s="769">
        <f t="shared" si="3"/>
        <v>4309</v>
      </c>
      <c r="U21" s="769">
        <f t="shared" si="4"/>
        <v>4277</v>
      </c>
      <c r="V21" s="769">
        <f t="shared" si="5"/>
        <v>4259</v>
      </c>
      <c r="W21" s="767"/>
      <c r="X21" s="747">
        <f t="shared" si="6"/>
        <v>17029</v>
      </c>
      <c r="Y21" s="19"/>
      <c r="Z21" s="19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</row>
    <row r="22" spans="1:70" ht="12.75" customHeight="1" x14ac:dyDescent="0.25">
      <c r="A22" s="856" t="s">
        <v>1188</v>
      </c>
      <c r="B22" s="746"/>
      <c r="C22" s="754">
        <v>0</v>
      </c>
      <c r="D22" s="754">
        <v>0</v>
      </c>
      <c r="E22" s="754">
        <v>0</v>
      </c>
      <c r="F22" s="754">
        <v>0</v>
      </c>
      <c r="G22" s="754">
        <v>0</v>
      </c>
      <c r="H22" s="754">
        <v>0</v>
      </c>
      <c r="I22" s="754">
        <v>0</v>
      </c>
      <c r="J22" s="754">
        <v>0</v>
      </c>
      <c r="K22" s="754">
        <v>0</v>
      </c>
      <c r="L22" s="754">
        <v>0</v>
      </c>
      <c r="M22" s="754">
        <v>0</v>
      </c>
      <c r="N22" s="754">
        <v>0</v>
      </c>
      <c r="O22" s="751">
        <f>SUM(C22:N22)</f>
        <v>0</v>
      </c>
      <c r="P22" s="752">
        <f t="shared" si="7"/>
        <v>0</v>
      </c>
      <c r="Q22" s="751">
        <f>O22-P22</f>
        <v>0</v>
      </c>
      <c r="R22" s="751"/>
      <c r="S22" s="769">
        <f>SUM(C22:E22)</f>
        <v>0</v>
      </c>
      <c r="T22" s="769">
        <f>SUM(F22:H22)</f>
        <v>0</v>
      </c>
      <c r="U22" s="769">
        <f>SUM(I22:K22)</f>
        <v>0</v>
      </c>
      <c r="V22" s="769">
        <f>SUM(L22:N22)</f>
        <v>0</v>
      </c>
      <c r="W22" s="749"/>
      <c r="X22" s="747">
        <f>SUM(S22:V22)</f>
        <v>0</v>
      </c>
      <c r="Y22" s="19"/>
      <c r="Z22" s="19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</row>
    <row r="23" spans="1:70" ht="12.75" customHeight="1" x14ac:dyDescent="0.25">
      <c r="A23" s="753" t="s">
        <v>354</v>
      </c>
      <c r="B23" s="746"/>
      <c r="C23" s="750"/>
      <c r="D23" s="750"/>
      <c r="E23" s="750"/>
      <c r="F23" s="750"/>
      <c r="G23" s="750"/>
      <c r="H23" s="750"/>
      <c r="I23" s="750"/>
      <c r="J23" s="750"/>
      <c r="K23" s="750"/>
      <c r="L23" s="750"/>
      <c r="M23" s="750"/>
      <c r="N23" s="750"/>
      <c r="O23" s="751"/>
      <c r="P23" s="752"/>
      <c r="Q23" s="751"/>
      <c r="R23" s="751"/>
      <c r="S23" s="769"/>
      <c r="T23" s="769"/>
      <c r="U23" s="769"/>
      <c r="V23" s="769"/>
      <c r="W23" s="767"/>
      <c r="X23" s="747"/>
      <c r="Y23" s="19"/>
      <c r="Z23" s="19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</row>
    <row r="24" spans="1:70" ht="12.75" customHeight="1" x14ac:dyDescent="0.25">
      <c r="A24" s="753" t="s">
        <v>397</v>
      </c>
      <c r="B24" s="746"/>
      <c r="C24" s="754">
        <v>0</v>
      </c>
      <c r="D24" s="754">
        <v>0</v>
      </c>
      <c r="E24" s="754">
        <v>0</v>
      </c>
      <c r="F24" s="754">
        <v>0</v>
      </c>
      <c r="G24" s="754">
        <v>0</v>
      </c>
      <c r="H24" s="754">
        <f>0</f>
        <v>0</v>
      </c>
      <c r="I24" s="754">
        <f>0</f>
        <v>0</v>
      </c>
      <c r="J24" s="754">
        <f>0</f>
        <v>0</v>
      </c>
      <c r="K24" s="754">
        <f>0</f>
        <v>0</v>
      </c>
      <c r="L24" s="754">
        <f>0</f>
        <v>0</v>
      </c>
      <c r="M24" s="754">
        <f>0</f>
        <v>0</v>
      </c>
      <c r="N24" s="754">
        <f>0</f>
        <v>0</v>
      </c>
      <c r="O24" s="751">
        <f>SUM(C24:N24)</f>
        <v>0</v>
      </c>
      <c r="P24" s="752">
        <f t="shared" si="7"/>
        <v>0</v>
      </c>
      <c r="Q24" s="751">
        <f>O24-P24</f>
        <v>0</v>
      </c>
      <c r="R24" s="751"/>
      <c r="S24" s="769">
        <f>SUM(C24:E24)</f>
        <v>0</v>
      </c>
      <c r="T24" s="769">
        <f>SUM(F24:H24)</f>
        <v>0</v>
      </c>
      <c r="U24" s="769">
        <f>SUM(I24:K24)</f>
        <v>0</v>
      </c>
      <c r="V24" s="769">
        <f>SUM(L24:N24)</f>
        <v>0</v>
      </c>
      <c r="W24" s="749"/>
      <c r="X24" s="747">
        <f>SUM(S24:V24)</f>
        <v>0</v>
      </c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</row>
    <row r="25" spans="1:70" s="547" customFormat="1" ht="12.75" customHeight="1" x14ac:dyDescent="0.25">
      <c r="A25" s="753" t="s">
        <v>398</v>
      </c>
      <c r="C25" s="754">
        <f>0</f>
        <v>0</v>
      </c>
      <c r="D25" s="754">
        <f>0</f>
        <v>0</v>
      </c>
      <c r="E25" s="754">
        <f>0</f>
        <v>0</v>
      </c>
      <c r="F25" s="754">
        <f>0</f>
        <v>0</v>
      </c>
      <c r="G25" s="754">
        <f>0</f>
        <v>0</v>
      </c>
      <c r="H25" s="754">
        <f>0</f>
        <v>0</v>
      </c>
      <c r="I25" s="754">
        <f>0</f>
        <v>0</v>
      </c>
      <c r="J25" s="754">
        <f>0</f>
        <v>0</v>
      </c>
      <c r="K25" s="754">
        <f>0</f>
        <v>0</v>
      </c>
      <c r="L25" s="754">
        <f>0</f>
        <v>0</v>
      </c>
      <c r="M25" s="754">
        <f>0</f>
        <v>0</v>
      </c>
      <c r="N25" s="754">
        <f>0</f>
        <v>0</v>
      </c>
      <c r="O25" s="751">
        <f>SUM(C25:N25)</f>
        <v>0</v>
      </c>
      <c r="P25" s="752">
        <f t="shared" si="7"/>
        <v>0</v>
      </c>
      <c r="Q25" s="751">
        <f>O25-P25</f>
        <v>0</v>
      </c>
      <c r="R25" s="751"/>
      <c r="S25" s="769">
        <f>SUM(C25:E25)</f>
        <v>0</v>
      </c>
      <c r="T25" s="769">
        <f>SUM(F25:H25)</f>
        <v>0</v>
      </c>
      <c r="U25" s="769">
        <f>SUM(I25:K25)</f>
        <v>0</v>
      </c>
      <c r="V25" s="769">
        <f>SUM(L25:N25)</f>
        <v>0</v>
      </c>
      <c r="W25" s="749"/>
      <c r="X25" s="747">
        <f>SUM(S25:V25)</f>
        <v>0</v>
      </c>
      <c r="Y25" s="16"/>
      <c r="Z25" s="16"/>
      <c r="AA25" s="546"/>
      <c r="AB25" s="546"/>
      <c r="AC25" s="546"/>
      <c r="AD25" s="546"/>
      <c r="AE25" s="546"/>
      <c r="AF25" s="546"/>
      <c r="AG25" s="546"/>
      <c r="AH25" s="546"/>
      <c r="AI25" s="546"/>
      <c r="AJ25" s="546"/>
      <c r="AK25" s="546"/>
      <c r="AL25" s="546"/>
      <c r="AM25" s="546"/>
      <c r="AN25" s="546"/>
      <c r="AO25" s="546"/>
      <c r="AP25" s="546"/>
      <c r="AQ25" s="546"/>
      <c r="AR25" s="546"/>
      <c r="AS25" s="546"/>
      <c r="AT25" s="546"/>
      <c r="AU25" s="546"/>
      <c r="AV25" s="546"/>
      <c r="AW25" s="546"/>
      <c r="AX25" s="546"/>
      <c r="AY25" s="546"/>
      <c r="AZ25" s="546"/>
      <c r="BA25" s="546"/>
      <c r="BB25" s="546"/>
      <c r="BC25" s="546"/>
      <c r="BD25" s="546"/>
      <c r="BE25" s="546"/>
      <c r="BF25" s="546"/>
      <c r="BG25" s="546"/>
      <c r="BH25" s="546"/>
      <c r="BI25" s="546"/>
      <c r="BJ25" s="546"/>
      <c r="BK25" s="546"/>
      <c r="BL25" s="546"/>
      <c r="BM25" s="546"/>
      <c r="BN25" s="546"/>
      <c r="BO25" s="546"/>
      <c r="BP25" s="546"/>
      <c r="BQ25" s="546"/>
      <c r="BR25" s="546"/>
    </row>
    <row r="26" spans="1:70" ht="12.75" customHeight="1" x14ac:dyDescent="0.25">
      <c r="A26" s="768" t="s">
        <v>302</v>
      </c>
      <c r="B26" s="746"/>
      <c r="C26" s="776">
        <v>0</v>
      </c>
      <c r="D26" s="776">
        <v>0</v>
      </c>
      <c r="E26" s="776">
        <v>0</v>
      </c>
      <c r="F26" s="776">
        <v>0</v>
      </c>
      <c r="G26" s="776">
        <v>0</v>
      </c>
      <c r="H26" s="776">
        <v>0</v>
      </c>
      <c r="I26" s="776">
        <v>0</v>
      </c>
      <c r="J26" s="776">
        <v>0</v>
      </c>
      <c r="K26" s="776">
        <v>0</v>
      </c>
      <c r="L26" s="776">
        <v>0</v>
      </c>
      <c r="M26" s="776">
        <v>0</v>
      </c>
      <c r="N26" s="776">
        <v>0</v>
      </c>
      <c r="O26" s="751">
        <f>SUM(C26:N26)</f>
        <v>0</v>
      </c>
      <c r="P26" s="752">
        <f t="shared" si="7"/>
        <v>0</v>
      </c>
      <c r="Q26" s="751">
        <f>O26-P26</f>
        <v>0</v>
      </c>
      <c r="R26" s="751"/>
      <c r="S26" s="769">
        <f>SUM(C26:E26)</f>
        <v>0</v>
      </c>
      <c r="T26" s="769">
        <f>SUM(F26:H26)</f>
        <v>0</v>
      </c>
      <c r="U26" s="769">
        <f>SUM(I26:K26)</f>
        <v>0</v>
      </c>
      <c r="V26" s="769">
        <f>SUM(L26:N26)</f>
        <v>0</v>
      </c>
      <c r="W26" s="749"/>
      <c r="X26" s="747">
        <f>SUM(S26:V26)</f>
        <v>0</v>
      </c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</row>
    <row r="27" spans="1:70" ht="12.75" customHeight="1" x14ac:dyDescent="0.25">
      <c r="A27" s="768" t="s">
        <v>1187</v>
      </c>
      <c r="B27" s="746"/>
      <c r="C27" s="777">
        <v>0</v>
      </c>
      <c r="D27" s="777">
        <v>0</v>
      </c>
      <c r="E27" s="777">
        <v>0</v>
      </c>
      <c r="F27" s="777">
        <v>0</v>
      </c>
      <c r="G27" s="777">
        <v>0</v>
      </c>
      <c r="H27" s="777">
        <v>0</v>
      </c>
      <c r="I27" s="777">
        <v>0</v>
      </c>
      <c r="J27" s="777">
        <v>0</v>
      </c>
      <c r="K27" s="777">
        <v>0</v>
      </c>
      <c r="L27" s="777">
        <v>0</v>
      </c>
      <c r="M27" s="777">
        <v>0</v>
      </c>
      <c r="N27" s="777">
        <v>0</v>
      </c>
      <c r="O27" s="756">
        <f>SUM(C27:N27)</f>
        <v>0</v>
      </c>
      <c r="P27" s="757">
        <f t="shared" si="7"/>
        <v>0</v>
      </c>
      <c r="Q27" s="756">
        <f>O27-P27</f>
        <v>0</v>
      </c>
      <c r="R27" s="756"/>
      <c r="S27" s="758">
        <f>SUM(C27:E27)</f>
        <v>0</v>
      </c>
      <c r="T27" s="758">
        <f>SUM(F27:H27)</f>
        <v>0</v>
      </c>
      <c r="U27" s="758">
        <f>SUM(I27:K27)</f>
        <v>0</v>
      </c>
      <c r="V27" s="758">
        <f>SUM(L27:N27)</f>
        <v>0</v>
      </c>
      <c r="W27" s="749"/>
      <c r="X27" s="759">
        <f>SUM(S27:V27)</f>
        <v>0</v>
      </c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</row>
    <row r="28" spans="1:70" ht="3.95" customHeight="1" x14ac:dyDescent="0.25">
      <c r="A28" s="747"/>
      <c r="B28" s="746"/>
      <c r="C28" s="758"/>
      <c r="D28" s="758"/>
      <c r="E28" s="758"/>
      <c r="F28" s="758"/>
      <c r="G28" s="758"/>
      <c r="H28" s="758"/>
      <c r="I28" s="758"/>
      <c r="J28" s="758"/>
      <c r="K28" s="758"/>
      <c r="L28" s="758"/>
      <c r="M28" s="758"/>
      <c r="N28" s="758"/>
      <c r="O28" s="759"/>
      <c r="P28" s="759"/>
      <c r="Q28" s="747"/>
      <c r="R28" s="747"/>
      <c r="S28" s="769"/>
      <c r="T28" s="769"/>
      <c r="U28" s="769"/>
      <c r="V28" s="769"/>
      <c r="W28" s="749"/>
      <c r="X28" s="749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</row>
    <row r="29" spans="1:70" ht="12.75" customHeight="1" x14ac:dyDescent="0.25">
      <c r="A29" s="745" t="s">
        <v>75</v>
      </c>
      <c r="B29" s="760"/>
      <c r="C29" s="761">
        <f t="shared" ref="C29:Q29" si="8">ROUND(SUM(C7:C27),0)</f>
        <v>11435</v>
      </c>
      <c r="D29" s="761">
        <f t="shared" si="8"/>
        <v>11421</v>
      </c>
      <c r="E29" s="761">
        <f t="shared" si="8"/>
        <v>11347</v>
      </c>
      <c r="F29" s="761">
        <f t="shared" si="8"/>
        <v>11824</v>
      </c>
      <c r="G29" s="761">
        <f t="shared" si="8"/>
        <v>11391</v>
      </c>
      <c r="H29" s="761">
        <f t="shared" si="8"/>
        <v>11613</v>
      </c>
      <c r="I29" s="761">
        <f t="shared" si="8"/>
        <v>14053</v>
      </c>
      <c r="J29" s="761">
        <f t="shared" si="8"/>
        <v>12654</v>
      </c>
      <c r="K29" s="761">
        <f t="shared" si="8"/>
        <v>12972</v>
      </c>
      <c r="L29" s="761">
        <f t="shared" si="8"/>
        <v>13508</v>
      </c>
      <c r="M29" s="761">
        <f t="shared" si="8"/>
        <v>12189</v>
      </c>
      <c r="N29" s="761">
        <f t="shared" si="8"/>
        <v>12575</v>
      </c>
      <c r="O29" s="761">
        <f t="shared" si="8"/>
        <v>146982</v>
      </c>
      <c r="P29" s="761">
        <f t="shared" si="8"/>
        <v>22856</v>
      </c>
      <c r="Q29" s="761">
        <f t="shared" si="8"/>
        <v>124126</v>
      </c>
      <c r="R29" s="761"/>
      <c r="S29" s="783">
        <f>SUM(S7:S27)</f>
        <v>34203</v>
      </c>
      <c r="T29" s="783">
        <f>SUM(T7:T27)</f>
        <v>34828</v>
      </c>
      <c r="U29" s="783">
        <f>SUM(U7:U27)</f>
        <v>39679</v>
      </c>
      <c r="V29" s="783">
        <f>SUM(V7:V27)</f>
        <v>38272</v>
      </c>
      <c r="W29" s="749"/>
      <c r="X29" s="783">
        <f>SUM(X7:X27)</f>
        <v>146982</v>
      </c>
      <c r="Y29" s="16"/>
      <c r="Z29" s="747">
        <f>X29-SUM(S29:V29)</f>
        <v>0</v>
      </c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</row>
    <row r="30" spans="1:70" ht="12.75" customHeight="1" x14ac:dyDescent="0.25">
      <c r="A30" s="762"/>
      <c r="B30" s="746"/>
      <c r="C30" s="763"/>
      <c r="D30" s="763"/>
      <c r="E30" s="763"/>
      <c r="F30" s="763"/>
      <c r="G30" s="763"/>
      <c r="H30" s="763"/>
      <c r="I30" s="763"/>
      <c r="J30" s="763"/>
      <c r="K30" s="763"/>
      <c r="L30" s="763"/>
      <c r="M30" s="763"/>
      <c r="N30" s="763"/>
      <c r="O30" s="751"/>
      <c r="P30" s="751"/>
      <c r="Q30" s="751"/>
      <c r="R30" s="751"/>
      <c r="S30" s="747"/>
      <c r="T30" s="747"/>
      <c r="U30" s="747"/>
      <c r="V30" s="747"/>
      <c r="W30" s="749"/>
      <c r="X30" s="749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</row>
    <row r="31" spans="1:70" ht="12.75" customHeight="1" x14ac:dyDescent="0.25">
      <c r="A31" s="778" t="s">
        <v>648</v>
      </c>
      <c r="B31" s="764"/>
      <c r="C31" s="765"/>
      <c r="D31" s="763"/>
      <c r="E31" s="763"/>
      <c r="F31" s="763"/>
      <c r="G31" s="763"/>
      <c r="H31" s="763"/>
      <c r="I31" s="763"/>
      <c r="J31" s="763"/>
      <c r="K31" s="763"/>
      <c r="L31" s="763"/>
      <c r="M31" s="763"/>
      <c r="N31" s="763"/>
      <c r="O31" s="751"/>
      <c r="P31" s="751"/>
      <c r="Q31" s="751"/>
      <c r="R31" s="751"/>
      <c r="S31" s="747"/>
      <c r="T31" s="747"/>
      <c r="U31" s="747"/>
      <c r="V31" s="747"/>
      <c r="W31" s="749"/>
      <c r="X31" s="749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</row>
    <row r="32" spans="1:70" ht="12.75" customHeight="1" x14ac:dyDescent="0.25">
      <c r="A32" s="768" t="s">
        <v>368</v>
      </c>
      <c r="B32" s="764"/>
      <c r="C32" s="750">
        <f>-DataBase!C324</f>
        <v>169</v>
      </c>
      <c r="D32" s="750">
        <f>-DataBase!D324</f>
        <v>197</v>
      </c>
      <c r="E32" s="750">
        <f>-DataBase!E324</f>
        <v>173</v>
      </c>
      <c r="F32" s="750">
        <f>-DataBase!F324</f>
        <v>172</v>
      </c>
      <c r="G32" s="750">
        <f>-DataBase!G324</f>
        <v>173</v>
      </c>
      <c r="H32" s="750">
        <f>-DataBase!H324</f>
        <v>172</v>
      </c>
      <c r="I32" s="750">
        <f>-DataBase!I324</f>
        <v>173</v>
      </c>
      <c r="J32" s="750">
        <f>-DataBase!J324</f>
        <v>172</v>
      </c>
      <c r="K32" s="750">
        <f>-DataBase!K324</f>
        <v>173</v>
      </c>
      <c r="L32" s="750">
        <f>-DataBase!L324</f>
        <v>172</v>
      </c>
      <c r="M32" s="750">
        <f>-DataBase!M324</f>
        <v>173</v>
      </c>
      <c r="N32" s="750">
        <f>-DataBase!N324</f>
        <v>172</v>
      </c>
      <c r="O32" s="751">
        <f t="shared" ref="O32:O37" si="9">SUM(C32:N32)</f>
        <v>2091</v>
      </c>
      <c r="P32" s="752">
        <f t="shared" ref="P32:P37" si="10">SUM(C32:D32)</f>
        <v>366</v>
      </c>
      <c r="Q32" s="751">
        <f t="shared" ref="Q32:Q37" si="11">O32-P32</f>
        <v>1725</v>
      </c>
      <c r="R32" s="751"/>
      <c r="S32" s="769">
        <f t="shared" ref="S32:S37" si="12">SUM(C32:E32)</f>
        <v>539</v>
      </c>
      <c r="T32" s="769">
        <f t="shared" ref="T32:T37" si="13">SUM(F32:H32)</f>
        <v>517</v>
      </c>
      <c r="U32" s="769">
        <f t="shared" ref="U32:U37" si="14">SUM(I32:K32)</f>
        <v>518</v>
      </c>
      <c r="V32" s="769">
        <f t="shared" ref="V32:V37" si="15">SUM(L32:N32)</f>
        <v>517</v>
      </c>
      <c r="W32" s="749"/>
      <c r="X32" s="747">
        <f t="shared" ref="X32:X37" si="16">SUM(S32:V32)</f>
        <v>2091</v>
      </c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</row>
    <row r="33" spans="1:70" ht="12.75" customHeight="1" x14ac:dyDescent="0.25">
      <c r="A33" s="768" t="s">
        <v>369</v>
      </c>
      <c r="B33" s="764"/>
      <c r="C33" s="750">
        <f>-DataBase!C338</f>
        <v>121</v>
      </c>
      <c r="D33" s="750">
        <f>-DataBase!D338</f>
        <v>134</v>
      </c>
      <c r="E33" s="750">
        <f>-DataBase!E338</f>
        <v>124</v>
      </c>
      <c r="F33" s="750">
        <f>-DataBase!F338</f>
        <v>125</v>
      </c>
      <c r="G33" s="750">
        <f>-DataBase!G338</f>
        <v>124</v>
      </c>
      <c r="H33" s="750">
        <f>-DataBase!H338</f>
        <v>125</v>
      </c>
      <c r="I33" s="750">
        <f>-DataBase!I338</f>
        <v>125</v>
      </c>
      <c r="J33" s="750">
        <f>-DataBase!J338</f>
        <v>125</v>
      </c>
      <c r="K33" s="750">
        <f>-DataBase!K338</f>
        <v>125</v>
      </c>
      <c r="L33" s="750">
        <f>-DataBase!L338</f>
        <v>124</v>
      </c>
      <c r="M33" s="750">
        <f>-DataBase!M338</f>
        <v>124</v>
      </c>
      <c r="N33" s="750">
        <f>-DataBase!N338</f>
        <v>125</v>
      </c>
      <c r="O33" s="751">
        <f t="shared" si="9"/>
        <v>1501</v>
      </c>
      <c r="P33" s="752">
        <f t="shared" si="10"/>
        <v>255</v>
      </c>
      <c r="Q33" s="751">
        <f t="shared" si="11"/>
        <v>1246</v>
      </c>
      <c r="R33" s="751"/>
      <c r="S33" s="769">
        <f t="shared" si="12"/>
        <v>379</v>
      </c>
      <c r="T33" s="769">
        <f t="shared" si="13"/>
        <v>374</v>
      </c>
      <c r="U33" s="769">
        <f t="shared" si="14"/>
        <v>375</v>
      </c>
      <c r="V33" s="769">
        <f t="shared" si="15"/>
        <v>373</v>
      </c>
      <c r="W33" s="749"/>
      <c r="X33" s="747">
        <f t="shared" si="16"/>
        <v>1501</v>
      </c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</row>
    <row r="34" spans="1:70" ht="12.75" customHeight="1" x14ac:dyDescent="0.25">
      <c r="A34" s="768" t="s">
        <v>370</v>
      </c>
      <c r="B34" s="764"/>
      <c r="C34" s="750">
        <f>-DataBase!C355</f>
        <v>56</v>
      </c>
      <c r="D34" s="750">
        <f>-DataBase!D355</f>
        <v>62</v>
      </c>
      <c r="E34" s="750">
        <f>-DataBase!E355</f>
        <v>58</v>
      </c>
      <c r="F34" s="750">
        <f>-DataBase!F355</f>
        <v>56</v>
      </c>
      <c r="G34" s="750">
        <f>-DataBase!G355</f>
        <v>57</v>
      </c>
      <c r="H34" s="750">
        <f>-DataBase!H355</f>
        <v>58</v>
      </c>
      <c r="I34" s="750">
        <f>-DataBase!I355</f>
        <v>56</v>
      </c>
      <c r="J34" s="750">
        <f>-DataBase!J355</f>
        <v>56</v>
      </c>
      <c r="K34" s="750">
        <f>-DataBase!K355</f>
        <v>58</v>
      </c>
      <c r="L34" s="750">
        <f>-DataBase!L355</f>
        <v>57</v>
      </c>
      <c r="M34" s="750">
        <f>-DataBase!M355</f>
        <v>56</v>
      </c>
      <c r="N34" s="750">
        <f>-DataBase!N355</f>
        <v>58</v>
      </c>
      <c r="O34" s="751">
        <f t="shared" si="9"/>
        <v>688</v>
      </c>
      <c r="P34" s="752">
        <f t="shared" si="10"/>
        <v>118</v>
      </c>
      <c r="Q34" s="751">
        <f t="shared" si="11"/>
        <v>570</v>
      </c>
      <c r="R34" s="751"/>
      <c r="S34" s="769">
        <f t="shared" si="12"/>
        <v>176</v>
      </c>
      <c r="T34" s="769">
        <f t="shared" si="13"/>
        <v>171</v>
      </c>
      <c r="U34" s="769">
        <f t="shared" si="14"/>
        <v>170</v>
      </c>
      <c r="V34" s="769">
        <f t="shared" si="15"/>
        <v>171</v>
      </c>
      <c r="W34" s="749"/>
      <c r="X34" s="747">
        <f t="shared" si="16"/>
        <v>688</v>
      </c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</row>
    <row r="35" spans="1:70" ht="12.75" customHeight="1" x14ac:dyDescent="0.25">
      <c r="A35" s="781" t="s">
        <v>1194</v>
      </c>
      <c r="B35" s="746"/>
      <c r="C35" s="754">
        <f>0</f>
        <v>0</v>
      </c>
      <c r="D35" s="754">
        <f>0</f>
        <v>0</v>
      </c>
      <c r="E35" s="754">
        <f>0</f>
        <v>0</v>
      </c>
      <c r="F35" s="754">
        <f>0</f>
        <v>0</v>
      </c>
      <c r="G35" s="754">
        <f>0</f>
        <v>0</v>
      </c>
      <c r="H35" s="754">
        <f>0</f>
        <v>0</v>
      </c>
      <c r="I35" s="754">
        <f>0</f>
        <v>0</v>
      </c>
      <c r="J35" s="754">
        <f>0</f>
        <v>0</v>
      </c>
      <c r="K35" s="754">
        <f>0</f>
        <v>0</v>
      </c>
      <c r="L35" s="754">
        <f>0</f>
        <v>0</v>
      </c>
      <c r="M35" s="754">
        <f>0</f>
        <v>0</v>
      </c>
      <c r="N35" s="754">
        <f>0</f>
        <v>0</v>
      </c>
      <c r="O35" s="751">
        <f t="shared" si="9"/>
        <v>0</v>
      </c>
      <c r="P35" s="752">
        <f t="shared" si="10"/>
        <v>0</v>
      </c>
      <c r="Q35" s="751">
        <f t="shared" si="11"/>
        <v>0</v>
      </c>
      <c r="R35" s="751"/>
      <c r="S35" s="769">
        <f t="shared" si="12"/>
        <v>0</v>
      </c>
      <c r="T35" s="769">
        <f t="shared" si="13"/>
        <v>0</v>
      </c>
      <c r="U35" s="769">
        <f t="shared" si="14"/>
        <v>0</v>
      </c>
      <c r="V35" s="769">
        <f t="shared" si="15"/>
        <v>0</v>
      </c>
      <c r="W35" s="749"/>
      <c r="X35" s="747">
        <f t="shared" si="16"/>
        <v>0</v>
      </c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</row>
    <row r="36" spans="1:70" ht="12.75" customHeight="1" x14ac:dyDescent="0.25">
      <c r="A36" s="781" t="s">
        <v>1194</v>
      </c>
      <c r="B36" s="746"/>
      <c r="C36" s="754">
        <f>0</f>
        <v>0</v>
      </c>
      <c r="D36" s="754">
        <f>0</f>
        <v>0</v>
      </c>
      <c r="E36" s="754">
        <f>0</f>
        <v>0</v>
      </c>
      <c r="F36" s="754">
        <f>0</f>
        <v>0</v>
      </c>
      <c r="G36" s="754">
        <f>0</f>
        <v>0</v>
      </c>
      <c r="H36" s="754">
        <f>0</f>
        <v>0</v>
      </c>
      <c r="I36" s="754">
        <f>0</f>
        <v>0</v>
      </c>
      <c r="J36" s="754">
        <f>0</f>
        <v>0</v>
      </c>
      <c r="K36" s="754">
        <f>0</f>
        <v>0</v>
      </c>
      <c r="L36" s="754">
        <f>0</f>
        <v>0</v>
      </c>
      <c r="M36" s="754">
        <f>0</f>
        <v>0</v>
      </c>
      <c r="N36" s="754">
        <f>0</f>
        <v>0</v>
      </c>
      <c r="O36" s="751">
        <f t="shared" si="9"/>
        <v>0</v>
      </c>
      <c r="P36" s="752">
        <f t="shared" si="10"/>
        <v>0</v>
      </c>
      <c r="Q36" s="751">
        <f t="shared" si="11"/>
        <v>0</v>
      </c>
      <c r="R36" s="751"/>
      <c r="S36" s="769">
        <f t="shared" si="12"/>
        <v>0</v>
      </c>
      <c r="T36" s="769">
        <f t="shared" si="13"/>
        <v>0</v>
      </c>
      <c r="U36" s="769">
        <f t="shared" si="14"/>
        <v>0</v>
      </c>
      <c r="V36" s="769">
        <f t="shared" si="15"/>
        <v>0</v>
      </c>
      <c r="W36" s="749"/>
      <c r="X36" s="747">
        <f t="shared" si="16"/>
        <v>0</v>
      </c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</row>
    <row r="37" spans="1:70" ht="12.75" customHeight="1" x14ac:dyDescent="0.25">
      <c r="A37" s="779" t="s">
        <v>74</v>
      </c>
      <c r="B37" s="728"/>
      <c r="C37" s="777">
        <f>0</f>
        <v>0</v>
      </c>
      <c r="D37" s="777">
        <f>0</f>
        <v>0</v>
      </c>
      <c r="E37" s="777">
        <f>0</f>
        <v>0</v>
      </c>
      <c r="F37" s="777">
        <f>0</f>
        <v>0</v>
      </c>
      <c r="G37" s="777">
        <f>0</f>
        <v>0</v>
      </c>
      <c r="H37" s="777">
        <f>0</f>
        <v>0</v>
      </c>
      <c r="I37" s="777">
        <f>0</f>
        <v>0</v>
      </c>
      <c r="J37" s="777">
        <f>0</f>
        <v>0</v>
      </c>
      <c r="K37" s="777">
        <f>0</f>
        <v>0</v>
      </c>
      <c r="L37" s="777">
        <f>0</f>
        <v>0</v>
      </c>
      <c r="M37" s="777">
        <f>0</f>
        <v>0</v>
      </c>
      <c r="N37" s="777">
        <f>0</f>
        <v>0</v>
      </c>
      <c r="O37" s="756">
        <f t="shared" si="9"/>
        <v>0</v>
      </c>
      <c r="P37" s="757">
        <f t="shared" si="10"/>
        <v>0</v>
      </c>
      <c r="Q37" s="756">
        <f t="shared" si="11"/>
        <v>0</v>
      </c>
      <c r="R37" s="756"/>
      <c r="S37" s="758">
        <f t="shared" si="12"/>
        <v>0</v>
      </c>
      <c r="T37" s="758">
        <f t="shared" si="13"/>
        <v>0</v>
      </c>
      <c r="U37" s="758">
        <f t="shared" si="14"/>
        <v>0</v>
      </c>
      <c r="V37" s="758">
        <f t="shared" si="15"/>
        <v>0</v>
      </c>
      <c r="W37" s="749"/>
      <c r="X37" s="759">
        <f t="shared" si="16"/>
        <v>0</v>
      </c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</row>
    <row r="38" spans="1:70" ht="3.95" customHeight="1" x14ac:dyDescent="0.25">
      <c r="A38" s="747"/>
      <c r="B38" s="746"/>
      <c r="C38" s="759"/>
      <c r="D38" s="759"/>
      <c r="E38" s="759"/>
      <c r="F38" s="759"/>
      <c r="G38" s="759"/>
      <c r="H38" s="759"/>
      <c r="I38" s="759"/>
      <c r="J38" s="759"/>
      <c r="K38" s="759"/>
      <c r="L38" s="759"/>
      <c r="M38" s="759"/>
      <c r="N38" s="759"/>
      <c r="O38" s="759"/>
      <c r="P38" s="759"/>
      <c r="Q38" s="747"/>
      <c r="R38" s="751"/>
      <c r="S38" s="769"/>
      <c r="T38" s="769"/>
      <c r="U38" s="769"/>
      <c r="V38" s="769"/>
      <c r="W38" s="749"/>
      <c r="X38" s="749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</row>
    <row r="39" spans="1:70" ht="12.75" customHeight="1" x14ac:dyDescent="0.25">
      <c r="A39" s="745" t="s">
        <v>649</v>
      </c>
      <c r="B39" s="780"/>
      <c r="C39" s="772">
        <f t="shared" ref="C39:Q39" si="17">SUM(C32:C37)</f>
        <v>346</v>
      </c>
      <c r="D39" s="772">
        <f t="shared" si="17"/>
        <v>393</v>
      </c>
      <c r="E39" s="772">
        <f t="shared" si="17"/>
        <v>355</v>
      </c>
      <c r="F39" s="772">
        <f t="shared" si="17"/>
        <v>353</v>
      </c>
      <c r="G39" s="772">
        <f t="shared" si="17"/>
        <v>354</v>
      </c>
      <c r="H39" s="772">
        <f t="shared" si="17"/>
        <v>355</v>
      </c>
      <c r="I39" s="772">
        <f t="shared" si="17"/>
        <v>354</v>
      </c>
      <c r="J39" s="772">
        <f t="shared" si="17"/>
        <v>353</v>
      </c>
      <c r="K39" s="772">
        <f t="shared" si="17"/>
        <v>356</v>
      </c>
      <c r="L39" s="772">
        <f t="shared" si="17"/>
        <v>353</v>
      </c>
      <c r="M39" s="772">
        <f t="shared" si="17"/>
        <v>353</v>
      </c>
      <c r="N39" s="772">
        <f t="shared" si="17"/>
        <v>355</v>
      </c>
      <c r="O39" s="772">
        <f t="shared" si="17"/>
        <v>4280</v>
      </c>
      <c r="P39" s="772">
        <f t="shared" si="17"/>
        <v>739</v>
      </c>
      <c r="Q39" s="772">
        <f t="shared" si="17"/>
        <v>3541</v>
      </c>
      <c r="R39" s="766"/>
      <c r="S39" s="756">
        <f>SUM(S32:S37)</f>
        <v>1094</v>
      </c>
      <c r="T39" s="756">
        <f>SUM(T32:T37)</f>
        <v>1062</v>
      </c>
      <c r="U39" s="756">
        <f>SUM(U32:U37)</f>
        <v>1063</v>
      </c>
      <c r="V39" s="756">
        <f>SUM(V32:V37)</f>
        <v>1061</v>
      </c>
      <c r="W39" s="749"/>
      <c r="X39" s="756">
        <f>SUM(X32:X37)</f>
        <v>4280</v>
      </c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</row>
    <row r="40" spans="1:70" ht="12.75" customHeight="1" x14ac:dyDescent="0.25">
      <c r="A40" s="762"/>
      <c r="B40" s="746"/>
      <c r="C40" s="763"/>
      <c r="D40" s="763"/>
      <c r="E40" s="763"/>
      <c r="F40" s="763"/>
      <c r="G40" s="763"/>
      <c r="H40" s="763"/>
      <c r="I40" s="763"/>
      <c r="J40" s="763"/>
      <c r="K40" s="763"/>
      <c r="L40" s="763"/>
      <c r="M40" s="763"/>
      <c r="N40" s="763"/>
      <c r="O40" s="751"/>
      <c r="P40" s="751"/>
      <c r="Q40" s="751"/>
      <c r="R40" s="751"/>
      <c r="S40" s="747"/>
      <c r="T40" s="747"/>
      <c r="U40" s="747"/>
      <c r="V40" s="747"/>
      <c r="W40" s="749"/>
      <c r="X40" s="749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</row>
    <row r="41" spans="1:70" ht="12.75" customHeight="1" x14ac:dyDescent="0.25">
      <c r="A41" s="745" t="s">
        <v>650</v>
      </c>
      <c r="B41" s="746"/>
      <c r="C41" s="763"/>
      <c r="D41" s="763"/>
      <c r="E41" s="763"/>
      <c r="F41" s="763"/>
      <c r="G41" s="763"/>
      <c r="H41" s="763"/>
      <c r="I41" s="763"/>
      <c r="J41" s="763"/>
      <c r="K41" s="763"/>
      <c r="L41" s="763"/>
      <c r="M41" s="763"/>
      <c r="N41" s="763"/>
      <c r="O41" s="751"/>
      <c r="P41" s="751"/>
      <c r="Q41" s="751"/>
      <c r="R41" s="751"/>
      <c r="S41" s="747"/>
      <c r="T41" s="747"/>
      <c r="U41" s="747"/>
      <c r="V41" s="747"/>
      <c r="W41" s="767"/>
      <c r="X41" s="767"/>
      <c r="Y41" s="19"/>
      <c r="Z41" s="19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</row>
    <row r="42" spans="1:70" ht="12.75" customHeight="1" x14ac:dyDescent="0.25">
      <c r="A42" s="768" t="s">
        <v>1161</v>
      </c>
      <c r="B42" s="746"/>
      <c r="C42" s="854">
        <f>-DataBase!C235-SUM(C43:C44)</f>
        <v>1749</v>
      </c>
      <c r="D42" s="854">
        <f>-DataBase!D235-SUM(D43:D44)</f>
        <v>1749</v>
      </c>
      <c r="E42" s="854">
        <f>-DataBase!E235-SUM(E43:E44)</f>
        <v>1749</v>
      </c>
      <c r="F42" s="854">
        <f>-DataBase!F235-SUM(F43:F44)</f>
        <v>1749</v>
      </c>
      <c r="G42" s="854">
        <f>-DataBase!G235-SUM(G43:G44)</f>
        <v>1749</v>
      </c>
      <c r="H42" s="854">
        <f>-DataBase!H235-SUM(H43:H44)</f>
        <v>1749</v>
      </c>
      <c r="I42" s="854">
        <f>-DataBase!I235-SUM(I43:I44)</f>
        <v>1749</v>
      </c>
      <c r="J42" s="854">
        <f>-DataBase!J235-SUM(J43:J44)</f>
        <v>1749</v>
      </c>
      <c r="K42" s="854">
        <f>-DataBase!K235-SUM(K43:K44)</f>
        <v>1749</v>
      </c>
      <c r="L42" s="854">
        <f>-DataBase!L235-SUM(L43:L44)</f>
        <v>1749</v>
      </c>
      <c r="M42" s="854">
        <f>-DataBase!M235-SUM(M43:M44)</f>
        <v>1749</v>
      </c>
      <c r="N42" s="854">
        <f>-DataBase!N235-SUM(N43:N44)</f>
        <v>1749</v>
      </c>
      <c r="O42" s="751">
        <f>SUM(C42:N42)</f>
        <v>20988</v>
      </c>
      <c r="P42" s="752">
        <f>SUM(C42:D42)</f>
        <v>3498</v>
      </c>
      <c r="Q42" s="751">
        <f>O42-P42</f>
        <v>17490</v>
      </c>
      <c r="R42" s="751"/>
      <c r="S42" s="769">
        <f>SUM(C42:E42)</f>
        <v>5247</v>
      </c>
      <c r="T42" s="769">
        <f>SUM(F42:H42)</f>
        <v>5247</v>
      </c>
      <c r="U42" s="769">
        <f>SUM(I42:K42)</f>
        <v>5247</v>
      </c>
      <c r="V42" s="769">
        <f>SUM(L42:N42)</f>
        <v>5247</v>
      </c>
      <c r="W42" s="749"/>
      <c r="X42" s="747">
        <f>SUM(S42:V42)</f>
        <v>20988</v>
      </c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</row>
    <row r="43" spans="1:70" ht="12.75" customHeight="1" x14ac:dyDescent="0.25">
      <c r="A43" s="781" t="s">
        <v>1194</v>
      </c>
      <c r="B43" s="746"/>
      <c r="C43" s="754">
        <f>0</f>
        <v>0</v>
      </c>
      <c r="D43" s="754">
        <f>0</f>
        <v>0</v>
      </c>
      <c r="E43" s="754">
        <f>0</f>
        <v>0</v>
      </c>
      <c r="F43" s="754">
        <f>0</f>
        <v>0</v>
      </c>
      <c r="G43" s="754">
        <f>0</f>
        <v>0</v>
      </c>
      <c r="H43" s="754">
        <f>0</f>
        <v>0</v>
      </c>
      <c r="I43" s="754">
        <f>0</f>
        <v>0</v>
      </c>
      <c r="J43" s="754">
        <f>0</f>
        <v>0</v>
      </c>
      <c r="K43" s="754">
        <f>0</f>
        <v>0</v>
      </c>
      <c r="L43" s="754">
        <f>0</f>
        <v>0</v>
      </c>
      <c r="M43" s="754">
        <f>0</f>
        <v>0</v>
      </c>
      <c r="N43" s="754">
        <f>0</f>
        <v>0</v>
      </c>
      <c r="O43" s="751">
        <f>SUM(C43:N43)</f>
        <v>0</v>
      </c>
      <c r="P43" s="752">
        <f>SUM(C43:D43)</f>
        <v>0</v>
      </c>
      <c r="Q43" s="751">
        <f>O43-P43</f>
        <v>0</v>
      </c>
      <c r="R43" s="751"/>
      <c r="S43" s="769">
        <f>SUM(C43:E43)</f>
        <v>0</v>
      </c>
      <c r="T43" s="769">
        <f>SUM(F43:H43)</f>
        <v>0</v>
      </c>
      <c r="U43" s="769">
        <f>SUM(I43:K43)</f>
        <v>0</v>
      </c>
      <c r="V43" s="769">
        <f>SUM(L43:N43)</f>
        <v>0</v>
      </c>
      <c r="W43" s="749"/>
      <c r="X43" s="747">
        <f>SUM(S43:V43)</f>
        <v>0</v>
      </c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</row>
    <row r="44" spans="1:70" ht="12.75" customHeight="1" x14ac:dyDescent="0.25">
      <c r="A44" s="782" t="s">
        <v>651</v>
      </c>
      <c r="B44" s="746"/>
      <c r="C44" s="777">
        <f>0</f>
        <v>0</v>
      </c>
      <c r="D44" s="777">
        <f>0</f>
        <v>0</v>
      </c>
      <c r="E44" s="777">
        <f>0</f>
        <v>0</v>
      </c>
      <c r="F44" s="777">
        <f>0</f>
        <v>0</v>
      </c>
      <c r="G44" s="777">
        <f>0</f>
        <v>0</v>
      </c>
      <c r="H44" s="777">
        <f>0</f>
        <v>0</v>
      </c>
      <c r="I44" s="777">
        <f>0</f>
        <v>0</v>
      </c>
      <c r="J44" s="777">
        <f>0</f>
        <v>0</v>
      </c>
      <c r="K44" s="777">
        <f>0</f>
        <v>0</v>
      </c>
      <c r="L44" s="777">
        <f>0</f>
        <v>0</v>
      </c>
      <c r="M44" s="777">
        <f>0</f>
        <v>0</v>
      </c>
      <c r="N44" s="777">
        <f>0</f>
        <v>0</v>
      </c>
      <c r="O44" s="756">
        <f>SUM(C44:N44)</f>
        <v>0</v>
      </c>
      <c r="P44" s="757">
        <f>SUM(C44:D44)</f>
        <v>0</v>
      </c>
      <c r="Q44" s="756">
        <f>O44-P44</f>
        <v>0</v>
      </c>
      <c r="R44" s="756"/>
      <c r="S44" s="758">
        <f>SUM(C44:E44)</f>
        <v>0</v>
      </c>
      <c r="T44" s="758">
        <f>SUM(F44:H44)</f>
        <v>0</v>
      </c>
      <c r="U44" s="758">
        <f>SUM(I44:K44)</f>
        <v>0</v>
      </c>
      <c r="V44" s="758">
        <f>SUM(L44:N44)</f>
        <v>0</v>
      </c>
      <c r="W44" s="749"/>
      <c r="X44" s="759">
        <f>SUM(S44:V44)</f>
        <v>0</v>
      </c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</row>
    <row r="45" spans="1:70" ht="3.95" customHeight="1" x14ac:dyDescent="0.25">
      <c r="A45" s="747"/>
      <c r="B45" s="746"/>
      <c r="C45" s="747"/>
      <c r="D45" s="747"/>
      <c r="E45" s="747"/>
      <c r="F45" s="747"/>
      <c r="G45" s="747"/>
      <c r="H45" s="747"/>
      <c r="I45" s="747"/>
      <c r="J45" s="747"/>
      <c r="K45" s="747"/>
      <c r="L45" s="747"/>
      <c r="M45" s="747"/>
      <c r="N45" s="747"/>
      <c r="O45" s="747"/>
      <c r="P45" s="747"/>
      <c r="Q45" s="747"/>
      <c r="R45" s="756"/>
      <c r="S45" s="769"/>
      <c r="T45" s="769"/>
      <c r="U45" s="769"/>
      <c r="V45" s="769"/>
      <c r="W45" s="749"/>
      <c r="X45" s="749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</row>
    <row r="46" spans="1:70" ht="12.75" customHeight="1" x14ac:dyDescent="0.25">
      <c r="A46" s="745" t="s">
        <v>652</v>
      </c>
      <c r="B46" s="780"/>
      <c r="C46" s="756">
        <f t="shared" ref="C46:N46" si="18">SUM(C42:C44)</f>
        <v>1749</v>
      </c>
      <c r="D46" s="756">
        <f t="shared" si="18"/>
        <v>1749</v>
      </c>
      <c r="E46" s="756">
        <f t="shared" si="18"/>
        <v>1749</v>
      </c>
      <c r="F46" s="756">
        <f t="shared" si="18"/>
        <v>1749</v>
      </c>
      <c r="G46" s="756">
        <f t="shared" si="18"/>
        <v>1749</v>
      </c>
      <c r="H46" s="756">
        <f t="shared" si="18"/>
        <v>1749</v>
      </c>
      <c r="I46" s="756">
        <f t="shared" si="18"/>
        <v>1749</v>
      </c>
      <c r="J46" s="756">
        <f t="shared" si="18"/>
        <v>1749</v>
      </c>
      <c r="K46" s="756">
        <f t="shared" si="18"/>
        <v>1749</v>
      </c>
      <c r="L46" s="756">
        <f t="shared" si="18"/>
        <v>1749</v>
      </c>
      <c r="M46" s="756">
        <f t="shared" si="18"/>
        <v>1749</v>
      </c>
      <c r="N46" s="756">
        <f t="shared" si="18"/>
        <v>1749</v>
      </c>
      <c r="O46" s="756">
        <f>SUM(O41:O44)</f>
        <v>20988</v>
      </c>
      <c r="P46" s="756">
        <f>SUM(P41:P44)</f>
        <v>3498</v>
      </c>
      <c r="Q46" s="756">
        <f>SUM(Q41:Q44)</f>
        <v>17490</v>
      </c>
      <c r="R46" s="766"/>
      <c r="S46" s="756">
        <f>SUM(S42:S44)</f>
        <v>5247</v>
      </c>
      <c r="T46" s="756">
        <f>SUM(T42:T44)</f>
        <v>5247</v>
      </c>
      <c r="U46" s="756">
        <f>SUM(U42:U44)</f>
        <v>5247</v>
      </c>
      <c r="V46" s="756">
        <f>SUM(V42:V44)</f>
        <v>5247</v>
      </c>
      <c r="W46" s="749"/>
      <c r="X46" s="756">
        <f>SUM(X42:X44)</f>
        <v>20988</v>
      </c>
      <c r="Y46" s="19"/>
      <c r="Z46" s="19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</row>
    <row r="47" spans="1:70" ht="6" customHeight="1" x14ac:dyDescent="0.25">
      <c r="A47" s="745"/>
      <c r="B47" s="760"/>
      <c r="C47" s="770"/>
      <c r="D47" s="770"/>
      <c r="E47" s="770"/>
      <c r="F47" s="770"/>
      <c r="G47" s="770"/>
      <c r="H47" s="770"/>
      <c r="I47" s="770"/>
      <c r="J47" s="770"/>
      <c r="K47" s="770"/>
      <c r="L47" s="770"/>
      <c r="M47" s="770"/>
      <c r="N47" s="770"/>
      <c r="O47" s="771"/>
      <c r="P47" s="771"/>
      <c r="Q47" s="751"/>
      <c r="R47" s="751"/>
      <c r="S47" s="769"/>
      <c r="T47" s="769"/>
      <c r="U47" s="769"/>
      <c r="V47" s="769"/>
      <c r="W47" s="749"/>
      <c r="X47" s="767"/>
      <c r="Y47" s="19"/>
      <c r="Z47" s="19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</row>
    <row r="48" spans="1:70" ht="12.75" customHeight="1" x14ac:dyDescent="0.25">
      <c r="A48" s="745" t="s">
        <v>76</v>
      </c>
      <c r="B48" s="746"/>
      <c r="C48" s="761">
        <f t="shared" ref="C48:Q48" si="19">C46+C39</f>
        <v>2095</v>
      </c>
      <c r="D48" s="761">
        <f t="shared" si="19"/>
        <v>2142</v>
      </c>
      <c r="E48" s="761">
        <f t="shared" si="19"/>
        <v>2104</v>
      </c>
      <c r="F48" s="761">
        <f t="shared" si="19"/>
        <v>2102</v>
      </c>
      <c r="G48" s="761">
        <f t="shared" si="19"/>
        <v>2103</v>
      </c>
      <c r="H48" s="761">
        <f t="shared" si="19"/>
        <v>2104</v>
      </c>
      <c r="I48" s="761">
        <f t="shared" si="19"/>
        <v>2103</v>
      </c>
      <c r="J48" s="761">
        <f t="shared" si="19"/>
        <v>2102</v>
      </c>
      <c r="K48" s="761">
        <f t="shared" si="19"/>
        <v>2105</v>
      </c>
      <c r="L48" s="761">
        <f t="shared" si="19"/>
        <v>2102</v>
      </c>
      <c r="M48" s="761">
        <f t="shared" si="19"/>
        <v>2102</v>
      </c>
      <c r="N48" s="761">
        <f t="shared" si="19"/>
        <v>2104</v>
      </c>
      <c r="O48" s="761">
        <f t="shared" si="19"/>
        <v>25268</v>
      </c>
      <c r="P48" s="761">
        <f t="shared" si="19"/>
        <v>4237</v>
      </c>
      <c r="Q48" s="761">
        <f t="shared" si="19"/>
        <v>21031</v>
      </c>
      <c r="R48" s="761"/>
      <c r="S48" s="784">
        <f>S39+S46</f>
        <v>6341</v>
      </c>
      <c r="T48" s="784">
        <f>T39+T46</f>
        <v>6309</v>
      </c>
      <c r="U48" s="784">
        <f>U39+U46</f>
        <v>6310</v>
      </c>
      <c r="V48" s="784">
        <f>V39+V46</f>
        <v>6308</v>
      </c>
      <c r="W48" s="749"/>
      <c r="X48" s="784">
        <f>X39+X46</f>
        <v>25268</v>
      </c>
      <c r="Y48" s="19"/>
      <c r="Z48" s="19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</row>
    <row r="49" spans="1:70" ht="12.75" customHeight="1" x14ac:dyDescent="0.25">
      <c r="A49" s="762"/>
      <c r="B49" s="746"/>
      <c r="C49" s="772"/>
      <c r="D49" s="772"/>
      <c r="E49" s="772"/>
      <c r="F49" s="772"/>
      <c r="G49" s="772"/>
      <c r="H49" s="772"/>
      <c r="I49" s="772"/>
      <c r="J49" s="772"/>
      <c r="K49" s="772"/>
      <c r="L49" s="772"/>
      <c r="M49" s="772"/>
      <c r="N49" s="772"/>
      <c r="O49" s="756"/>
      <c r="P49" s="756"/>
      <c r="Q49" s="756"/>
      <c r="R49" s="756"/>
      <c r="S49" s="769"/>
      <c r="T49" s="769"/>
      <c r="U49" s="769"/>
      <c r="V49" s="769"/>
      <c r="W49" s="749"/>
      <c r="X49" s="749"/>
      <c r="Y49" s="19"/>
      <c r="Z49" s="19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</row>
    <row r="50" spans="1:70" ht="12.75" customHeight="1" x14ac:dyDescent="0.25">
      <c r="A50" s="773" t="s">
        <v>77</v>
      </c>
      <c r="B50" s="760"/>
      <c r="C50" s="774">
        <f t="shared" ref="C50:Q50" si="20">ROUND(C48+C29,0)</f>
        <v>13530</v>
      </c>
      <c r="D50" s="774">
        <f t="shared" si="20"/>
        <v>13563</v>
      </c>
      <c r="E50" s="774">
        <f t="shared" si="20"/>
        <v>13451</v>
      </c>
      <c r="F50" s="774">
        <f t="shared" si="20"/>
        <v>13926</v>
      </c>
      <c r="G50" s="774">
        <f t="shared" si="20"/>
        <v>13494</v>
      </c>
      <c r="H50" s="774">
        <f t="shared" si="20"/>
        <v>13717</v>
      </c>
      <c r="I50" s="774">
        <f t="shared" si="20"/>
        <v>16156</v>
      </c>
      <c r="J50" s="774">
        <f t="shared" si="20"/>
        <v>14756</v>
      </c>
      <c r="K50" s="774">
        <f t="shared" si="20"/>
        <v>15077</v>
      </c>
      <c r="L50" s="774">
        <f t="shared" si="20"/>
        <v>15610</v>
      </c>
      <c r="M50" s="774">
        <f t="shared" si="20"/>
        <v>14291</v>
      </c>
      <c r="N50" s="774">
        <f t="shared" si="20"/>
        <v>14679</v>
      </c>
      <c r="O50" s="775">
        <f t="shared" si="20"/>
        <v>172250</v>
      </c>
      <c r="P50" s="775">
        <f t="shared" si="20"/>
        <v>27093</v>
      </c>
      <c r="Q50" s="775">
        <f t="shared" si="20"/>
        <v>145157</v>
      </c>
      <c r="R50" s="775"/>
      <c r="S50" s="785">
        <f>S29+S48</f>
        <v>40544</v>
      </c>
      <c r="T50" s="785">
        <f>T29+T48</f>
        <v>41137</v>
      </c>
      <c r="U50" s="785">
        <f>U29+U48</f>
        <v>45989</v>
      </c>
      <c r="V50" s="785">
        <f>V29+V48</f>
        <v>44580</v>
      </c>
      <c r="W50" s="749"/>
      <c r="X50" s="785">
        <f>X29+X48</f>
        <v>172250</v>
      </c>
      <c r="Y50" s="751">
        <f>X50-O50</f>
        <v>0</v>
      </c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</row>
    <row r="51" spans="1:70" ht="12.75" customHeight="1" x14ac:dyDescent="0.25">
      <c r="A51" s="545"/>
      <c r="B51" s="743"/>
      <c r="C51" s="656"/>
      <c r="D51" s="656"/>
      <c r="E51" s="656"/>
      <c r="F51" s="656"/>
      <c r="G51" s="656"/>
      <c r="H51" s="656"/>
      <c r="I51" s="656"/>
      <c r="J51" s="656"/>
      <c r="K51" s="656"/>
      <c r="L51" s="656"/>
      <c r="M51" s="656"/>
      <c r="N51" s="656"/>
      <c r="O51" s="657"/>
      <c r="P51" s="16"/>
      <c r="Q51" s="16"/>
      <c r="R51" s="16"/>
      <c r="S51" s="545"/>
      <c r="T51" s="545"/>
      <c r="U51" s="545"/>
      <c r="V51" s="545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</row>
    <row r="52" spans="1:70" ht="12.75" customHeight="1" x14ac:dyDescent="0.25">
      <c r="A52" s="833" t="s">
        <v>323</v>
      </c>
      <c r="B52" s="743"/>
      <c r="C52" s="835">
        <v>0</v>
      </c>
      <c r="D52" s="835">
        <v>0</v>
      </c>
      <c r="E52" s="835">
        <v>0</v>
      </c>
      <c r="F52" s="835">
        <v>0</v>
      </c>
      <c r="G52" s="835">
        <v>0</v>
      </c>
      <c r="H52" s="835">
        <v>0</v>
      </c>
      <c r="I52" s="835">
        <v>0</v>
      </c>
      <c r="J52" s="835">
        <v>0</v>
      </c>
      <c r="K52" s="835">
        <v>0</v>
      </c>
      <c r="L52" s="835">
        <v>0</v>
      </c>
      <c r="M52" s="835">
        <v>0</v>
      </c>
      <c r="N52" s="835">
        <v>0</v>
      </c>
      <c r="O52" s="756">
        <f>SUM(C52:N52)</f>
        <v>0</v>
      </c>
      <c r="P52" s="757">
        <f>SUM(C52:D52)</f>
        <v>0</v>
      </c>
      <c r="Q52" s="756">
        <f>O52-P52</f>
        <v>0</v>
      </c>
      <c r="R52" s="16"/>
      <c r="S52" s="758">
        <f>SUM(C52:E52)</f>
        <v>0</v>
      </c>
      <c r="T52" s="758">
        <f>SUM(F52:H52)</f>
        <v>0</v>
      </c>
      <c r="U52" s="758">
        <f>SUM(I52:K52)</f>
        <v>0</v>
      </c>
      <c r="V52" s="758">
        <f>SUM(L52:N52)</f>
        <v>0</v>
      </c>
      <c r="W52" s="749"/>
      <c r="X52" s="759">
        <f>SUM(S52:V52)</f>
        <v>0</v>
      </c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</row>
    <row r="53" spans="1:70" ht="12.75" customHeight="1" x14ac:dyDescent="0.25">
      <c r="A53" s="762"/>
      <c r="B53" s="743"/>
      <c r="C53" s="776"/>
      <c r="D53" s="776"/>
      <c r="E53" s="776"/>
      <c r="F53" s="776"/>
      <c r="G53" s="776"/>
      <c r="H53" s="776"/>
      <c r="I53" s="776"/>
      <c r="J53" s="776"/>
      <c r="K53" s="776"/>
      <c r="L53" s="776"/>
      <c r="M53" s="776"/>
      <c r="N53" s="776"/>
      <c r="O53" s="751"/>
      <c r="P53" s="752"/>
      <c r="Q53" s="751"/>
      <c r="R53" s="16"/>
      <c r="S53" s="545"/>
      <c r="T53" s="545"/>
      <c r="U53" s="545"/>
      <c r="V53" s="545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</row>
    <row r="54" spans="1:70" ht="12.75" customHeight="1" x14ac:dyDescent="0.25">
      <c r="A54" s="833" t="s">
        <v>324</v>
      </c>
      <c r="B54" s="743"/>
      <c r="C54" s="834">
        <f>C50-C52</f>
        <v>13530</v>
      </c>
      <c r="D54" s="834">
        <f t="shared" ref="D54:X54" si="21">D50-D52</f>
        <v>13563</v>
      </c>
      <c r="E54" s="834">
        <f t="shared" si="21"/>
        <v>13451</v>
      </c>
      <c r="F54" s="834">
        <f t="shared" si="21"/>
        <v>13926</v>
      </c>
      <c r="G54" s="834">
        <f t="shared" si="21"/>
        <v>13494</v>
      </c>
      <c r="H54" s="834">
        <f t="shared" si="21"/>
        <v>13717</v>
      </c>
      <c r="I54" s="834">
        <f t="shared" si="21"/>
        <v>16156</v>
      </c>
      <c r="J54" s="834">
        <f t="shared" si="21"/>
        <v>14756</v>
      </c>
      <c r="K54" s="834">
        <f t="shared" si="21"/>
        <v>15077</v>
      </c>
      <c r="L54" s="834">
        <f t="shared" si="21"/>
        <v>15610</v>
      </c>
      <c r="M54" s="834">
        <f t="shared" si="21"/>
        <v>14291</v>
      </c>
      <c r="N54" s="834">
        <f t="shared" si="21"/>
        <v>14679</v>
      </c>
      <c r="O54" s="834">
        <f t="shared" si="21"/>
        <v>172250</v>
      </c>
      <c r="P54" s="834">
        <f t="shared" si="21"/>
        <v>27093</v>
      </c>
      <c r="Q54" s="834">
        <f t="shared" si="21"/>
        <v>145157</v>
      </c>
      <c r="R54" s="16"/>
      <c r="S54" s="834">
        <f t="shared" si="21"/>
        <v>40544</v>
      </c>
      <c r="T54" s="834">
        <f t="shared" si="21"/>
        <v>41137</v>
      </c>
      <c r="U54" s="834">
        <f t="shared" si="21"/>
        <v>45989</v>
      </c>
      <c r="V54" s="834">
        <f t="shared" si="21"/>
        <v>44580</v>
      </c>
      <c r="W54" s="16"/>
      <c r="X54" s="834">
        <f t="shared" si="21"/>
        <v>172250</v>
      </c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</row>
    <row r="55" spans="1:70" ht="15.75" x14ac:dyDescent="0.25">
      <c r="A55" s="16"/>
      <c r="B55" s="743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545"/>
      <c r="T55" s="545"/>
      <c r="U55" s="545"/>
      <c r="V55" s="545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</row>
    <row r="56" spans="1:70" ht="15.75" x14ac:dyDescent="0.25">
      <c r="A56" s="16"/>
      <c r="B56" s="743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545"/>
      <c r="T56" s="545"/>
      <c r="U56" s="545"/>
      <c r="V56" s="545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</row>
    <row r="57" spans="1:70" ht="15.75" x14ac:dyDescent="0.25">
      <c r="A57" s="16"/>
      <c r="B57" s="743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545"/>
      <c r="T57" s="545"/>
      <c r="U57" s="545"/>
      <c r="V57" s="545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</row>
    <row r="58" spans="1:70" ht="15.75" x14ac:dyDescent="0.25">
      <c r="A58" s="16"/>
      <c r="B58" s="743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545"/>
      <c r="T58" s="545"/>
      <c r="U58" s="545"/>
      <c r="V58" s="545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</row>
    <row r="59" spans="1:70" ht="15.75" x14ac:dyDescent="0.25">
      <c r="A59" s="16"/>
      <c r="B59" s="743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545"/>
      <c r="T59" s="545"/>
      <c r="U59" s="545"/>
      <c r="V59" s="545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</row>
    <row r="60" spans="1:70" ht="15.75" x14ac:dyDescent="0.25">
      <c r="A60" s="16"/>
      <c r="B60" s="743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545"/>
      <c r="T60" s="545"/>
      <c r="U60" s="545"/>
      <c r="V60" s="545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</row>
    <row r="61" spans="1:70" ht="15.75" x14ac:dyDescent="0.25">
      <c r="A61" s="16"/>
      <c r="B61" s="743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545"/>
      <c r="T61" s="545"/>
      <c r="U61" s="545"/>
      <c r="V61" s="545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</row>
    <row r="62" spans="1:70" ht="15.75" x14ac:dyDescent="0.25">
      <c r="A62" s="16"/>
      <c r="B62" s="743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545"/>
      <c r="T62" s="545"/>
      <c r="U62" s="545"/>
      <c r="V62" s="545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</row>
    <row r="63" spans="1:70" ht="15.75" x14ac:dyDescent="0.25">
      <c r="A63" s="16"/>
      <c r="B63" s="743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545"/>
      <c r="T63" s="545"/>
      <c r="U63" s="545"/>
      <c r="V63" s="545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</row>
    <row r="64" spans="1:70" ht="15.75" x14ac:dyDescent="0.25">
      <c r="A64" s="16"/>
      <c r="B64" s="743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545"/>
      <c r="T64" s="545"/>
      <c r="U64" s="545"/>
      <c r="V64" s="545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</row>
    <row r="65" spans="1:70" ht="15.75" x14ac:dyDescent="0.25">
      <c r="A65" s="16"/>
      <c r="B65" s="743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545"/>
      <c r="T65" s="545"/>
      <c r="U65" s="545"/>
      <c r="V65" s="545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</row>
    <row r="66" spans="1:70" ht="15.75" x14ac:dyDescent="0.25">
      <c r="A66" s="16"/>
      <c r="B66" s="743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545"/>
      <c r="T66" s="545"/>
      <c r="U66" s="545"/>
      <c r="V66" s="545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</row>
    <row r="67" spans="1:70" ht="15.75" x14ac:dyDescent="0.25">
      <c r="A67" s="16"/>
      <c r="B67" s="743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545"/>
      <c r="T67" s="545"/>
      <c r="U67" s="545"/>
      <c r="V67" s="545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</row>
    <row r="68" spans="1:70" ht="15.75" x14ac:dyDescent="0.25">
      <c r="A68" s="16"/>
      <c r="B68" s="743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545"/>
      <c r="T68" s="545"/>
      <c r="U68" s="545"/>
      <c r="V68" s="545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</row>
    <row r="69" spans="1:70" ht="15.75" x14ac:dyDescent="0.25">
      <c r="A69" s="16"/>
      <c r="B69" s="743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545"/>
      <c r="T69" s="545"/>
      <c r="U69" s="545"/>
      <c r="V69" s="545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</row>
    <row r="70" spans="1:70" ht="15.75" x14ac:dyDescent="0.25">
      <c r="A70" s="16"/>
      <c r="B70" s="743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545"/>
      <c r="T70" s="545"/>
      <c r="U70" s="545"/>
      <c r="V70" s="545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</row>
    <row r="71" spans="1:70" ht="15.75" x14ac:dyDescent="0.25">
      <c r="A71" s="16"/>
      <c r="B71" s="743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545"/>
      <c r="T71" s="545"/>
      <c r="U71" s="545"/>
      <c r="V71" s="545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</row>
    <row r="72" spans="1:70" ht="15.75" x14ac:dyDescent="0.25">
      <c r="A72" s="16"/>
      <c r="B72" s="743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545"/>
      <c r="T72" s="545"/>
      <c r="U72" s="545"/>
      <c r="V72" s="545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</row>
    <row r="73" spans="1:70" ht="15.75" x14ac:dyDescent="0.25">
      <c r="A73" s="16"/>
      <c r="B73" s="743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545"/>
      <c r="T73" s="545"/>
      <c r="U73" s="545"/>
      <c r="V73" s="545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</row>
    <row r="74" spans="1:70" ht="15.75" x14ac:dyDescent="0.25">
      <c r="A74" s="16"/>
      <c r="B74" s="743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545"/>
      <c r="T74" s="545"/>
      <c r="U74" s="545"/>
      <c r="V74" s="545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</row>
    <row r="75" spans="1:70" ht="15.75" x14ac:dyDescent="0.25">
      <c r="A75" s="16"/>
      <c r="B75" s="743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545"/>
      <c r="T75" s="545"/>
      <c r="U75" s="545"/>
      <c r="V75" s="545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</row>
    <row r="76" spans="1:70" ht="15.75" x14ac:dyDescent="0.25">
      <c r="A76" s="16"/>
      <c r="B76" s="743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545"/>
      <c r="T76" s="545"/>
      <c r="U76" s="545"/>
      <c r="V76" s="545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</row>
    <row r="77" spans="1:70" ht="15.75" x14ac:dyDescent="0.25">
      <c r="A77" s="16"/>
      <c r="B77" s="743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545"/>
      <c r="T77" s="545"/>
      <c r="U77" s="545"/>
      <c r="V77" s="545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</row>
    <row r="78" spans="1:70" ht="15.75" x14ac:dyDescent="0.25">
      <c r="A78" s="16"/>
      <c r="B78" s="743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545"/>
      <c r="T78" s="545"/>
      <c r="U78" s="545"/>
      <c r="V78" s="545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</row>
    <row r="79" spans="1:70" ht="15.75" x14ac:dyDescent="0.25">
      <c r="A79" s="16"/>
      <c r="B79" s="743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545"/>
      <c r="T79" s="545"/>
      <c r="U79" s="545"/>
      <c r="V79" s="545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</row>
    <row r="80" spans="1:70" ht="15.75" x14ac:dyDescent="0.25">
      <c r="A80" s="16"/>
      <c r="B80" s="743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545"/>
      <c r="T80" s="545"/>
      <c r="U80" s="545"/>
      <c r="V80" s="545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</row>
    <row r="81" spans="1:70" ht="15.75" x14ac:dyDescent="0.25">
      <c r="A81" s="16"/>
      <c r="B81" s="743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545"/>
      <c r="T81" s="545"/>
      <c r="U81" s="545"/>
      <c r="V81" s="545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</row>
    <row r="82" spans="1:70" ht="15.75" x14ac:dyDescent="0.25">
      <c r="A82" s="16"/>
      <c r="B82" s="743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545"/>
      <c r="T82" s="545"/>
      <c r="U82" s="545"/>
      <c r="V82" s="545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</row>
    <row r="83" spans="1:70" ht="15.75" x14ac:dyDescent="0.25">
      <c r="A83" s="16"/>
      <c r="B83" s="743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545"/>
      <c r="T83" s="545"/>
      <c r="U83" s="545"/>
      <c r="V83" s="545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</row>
    <row r="84" spans="1:70" ht="15.75" x14ac:dyDescent="0.25">
      <c r="A84" s="16"/>
      <c r="B84" s="743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545"/>
      <c r="T84" s="545"/>
      <c r="U84" s="545"/>
      <c r="V84" s="545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</row>
    <row r="85" spans="1:70" ht="15.75" x14ac:dyDescent="0.25">
      <c r="A85" s="16"/>
      <c r="B85" s="743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545"/>
      <c r="T85" s="545"/>
      <c r="U85" s="545"/>
      <c r="V85" s="545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</row>
    <row r="86" spans="1:70" ht="15.75" x14ac:dyDescent="0.25">
      <c r="A86" s="16"/>
      <c r="B86" s="743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545"/>
      <c r="T86" s="545"/>
      <c r="U86" s="545"/>
      <c r="V86" s="545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</row>
    <row r="87" spans="1:70" ht="15.75" x14ac:dyDescent="0.25">
      <c r="A87" s="16"/>
      <c r="B87" s="743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545"/>
      <c r="T87" s="545"/>
      <c r="U87" s="545"/>
      <c r="V87" s="545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</row>
    <row r="88" spans="1:70" ht="15.75" x14ac:dyDescent="0.25">
      <c r="A88" s="16"/>
      <c r="B88" s="743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545"/>
      <c r="T88" s="545"/>
      <c r="U88" s="545"/>
      <c r="V88" s="545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</row>
    <row r="89" spans="1:70" ht="15.75" x14ac:dyDescent="0.25">
      <c r="A89" s="16"/>
      <c r="B89" s="743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545"/>
      <c r="T89" s="545"/>
      <c r="U89" s="545"/>
      <c r="V89" s="545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</row>
    <row r="90" spans="1:70" ht="15.75" x14ac:dyDescent="0.25">
      <c r="A90" s="16"/>
      <c r="B90" s="743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545"/>
      <c r="T90" s="545"/>
      <c r="U90" s="545"/>
      <c r="V90" s="545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</row>
    <row r="91" spans="1:70" ht="15.75" x14ac:dyDescent="0.25">
      <c r="A91" s="16"/>
      <c r="B91" s="743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545"/>
      <c r="T91" s="545"/>
      <c r="U91" s="545"/>
      <c r="V91" s="545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</row>
    <row r="92" spans="1:70" ht="15.75" x14ac:dyDescent="0.25">
      <c r="A92" s="16"/>
      <c r="B92" s="743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545"/>
      <c r="T92" s="545"/>
      <c r="U92" s="545"/>
      <c r="V92" s="545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</row>
    <row r="93" spans="1:70" ht="15.75" x14ac:dyDescent="0.25">
      <c r="A93" s="16"/>
      <c r="B93" s="743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545"/>
      <c r="T93" s="545"/>
      <c r="U93" s="545"/>
      <c r="V93" s="545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</row>
    <row r="94" spans="1:70" ht="15.75" x14ac:dyDescent="0.25">
      <c r="A94" s="16"/>
      <c r="B94" s="743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545"/>
      <c r="T94" s="545"/>
      <c r="U94" s="545"/>
      <c r="V94" s="545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</row>
    <row r="95" spans="1:70" ht="15.75" x14ac:dyDescent="0.25">
      <c r="A95" s="16"/>
      <c r="B95" s="743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545"/>
      <c r="T95" s="545"/>
      <c r="U95" s="545"/>
      <c r="V95" s="545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</row>
    <row r="96" spans="1:70" ht="15.75" x14ac:dyDescent="0.25">
      <c r="A96" s="16"/>
      <c r="B96" s="743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545"/>
      <c r="T96" s="545"/>
      <c r="U96" s="545"/>
      <c r="V96" s="545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</row>
    <row r="97" spans="1:70" ht="15.75" x14ac:dyDescent="0.25">
      <c r="A97" s="16"/>
      <c r="B97" s="743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545"/>
      <c r="T97" s="545"/>
      <c r="U97" s="545"/>
      <c r="V97" s="545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</row>
    <row r="98" spans="1:70" ht="15.75" x14ac:dyDescent="0.25">
      <c r="A98" s="16"/>
      <c r="B98" s="743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</row>
    <row r="99" spans="1:70" ht="15.75" x14ac:dyDescent="0.25">
      <c r="A99" s="16"/>
      <c r="B99" s="743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</row>
    <row r="100" spans="1:70" ht="15.75" x14ac:dyDescent="0.25">
      <c r="A100" s="16"/>
      <c r="B100" s="743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</row>
    <row r="101" spans="1:70" ht="15.75" x14ac:dyDescent="0.25">
      <c r="A101" s="16"/>
      <c r="B101" s="743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</row>
    <row r="102" spans="1:70" ht="15.75" x14ac:dyDescent="0.25">
      <c r="A102" s="16"/>
      <c r="B102" s="743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</row>
    <row r="103" spans="1:70" ht="15.75" x14ac:dyDescent="0.25">
      <c r="A103" s="16"/>
      <c r="B103" s="743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</row>
    <row r="104" spans="1:70" ht="15.75" x14ac:dyDescent="0.25">
      <c r="A104" s="16"/>
      <c r="B104" s="743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</row>
    <row r="105" spans="1:70" ht="15.75" x14ac:dyDescent="0.25">
      <c r="A105" s="16"/>
      <c r="B105" s="743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</row>
    <row r="106" spans="1:70" ht="15.75" x14ac:dyDescent="0.25">
      <c r="A106" s="16"/>
      <c r="B106" s="743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</row>
    <row r="107" spans="1:70" ht="15.75" x14ac:dyDescent="0.25">
      <c r="A107" s="16"/>
      <c r="B107" s="743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</row>
    <row r="108" spans="1:70" ht="15.75" x14ac:dyDescent="0.25">
      <c r="A108" s="16"/>
      <c r="B108" s="743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</row>
    <row r="109" spans="1:70" ht="15.75" x14ac:dyDescent="0.25">
      <c r="A109" s="16"/>
      <c r="B109" s="743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</row>
    <row r="110" spans="1:70" ht="15.75" x14ac:dyDescent="0.25">
      <c r="A110" s="16"/>
      <c r="B110" s="743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</row>
    <row r="111" spans="1:70" ht="15.75" x14ac:dyDescent="0.25">
      <c r="A111" s="16"/>
      <c r="B111" s="743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</row>
    <row r="112" spans="1:70" ht="15.75" x14ac:dyDescent="0.25">
      <c r="A112" s="16"/>
      <c r="B112" s="743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</row>
    <row r="113" spans="1:70" ht="15.75" x14ac:dyDescent="0.25">
      <c r="A113" s="16"/>
      <c r="B113" s="743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</row>
    <row r="114" spans="1:70" ht="15.75" x14ac:dyDescent="0.25">
      <c r="A114" s="16"/>
      <c r="B114" s="743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</row>
    <row r="115" spans="1:70" ht="15.75" x14ac:dyDescent="0.25">
      <c r="A115" s="16"/>
      <c r="B115" s="743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</row>
    <row r="116" spans="1:70" ht="15.75" x14ac:dyDescent="0.25">
      <c r="A116" s="16"/>
      <c r="B116" s="743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</row>
    <row r="117" spans="1:70" ht="15.75" x14ac:dyDescent="0.25">
      <c r="A117" s="16"/>
      <c r="B117" s="743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</row>
    <row r="118" spans="1:70" ht="15.75" x14ac:dyDescent="0.25">
      <c r="A118" s="16"/>
      <c r="B118" s="743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</row>
  </sheetData>
  <phoneticPr fontId="0" type="noConversion"/>
  <printOptions horizontalCentered="1" gridLinesSet="0"/>
  <pageMargins left="0.5" right="0.5" top="0.5" bottom="0.25" header="0" footer="0"/>
  <pageSetup paperSize="5" scale="88" orientation="landscape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7">
    <pageSetUpPr autoPageBreaks="0" fitToPage="1"/>
  </sheetPr>
  <dimension ref="A1:AL681"/>
  <sheetViews>
    <sheetView showGridLines="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RowHeight="12.75" x14ac:dyDescent="0.2"/>
  <cols>
    <col min="1" max="1" width="45.7109375" style="57" customWidth="1"/>
    <col min="2" max="2" width="8.7109375" style="92" customWidth="1"/>
    <col min="3" max="3" width="9.7109375" style="57" customWidth="1"/>
    <col min="4" max="15" width="8.7109375" style="57" customWidth="1"/>
    <col min="16" max="16" width="9.7109375" style="57" customWidth="1"/>
    <col min="17" max="18" width="7.42578125" style="57" customWidth="1"/>
    <col min="19" max="21" width="8.28515625" style="57" customWidth="1"/>
    <col min="22" max="22" width="30.5703125" style="57" customWidth="1"/>
    <col min="23" max="36" width="9.140625" style="57"/>
    <col min="37" max="38" width="7.42578125" style="57" customWidth="1"/>
    <col min="39" max="44" width="8.28515625" style="57" customWidth="1"/>
    <col min="45" max="16384" width="9.140625" style="57"/>
  </cols>
  <sheetData>
    <row r="1" spans="1:38" x14ac:dyDescent="0.2">
      <c r="A1" s="605" t="str">
        <f ca="1">CELL("FILENAME")</f>
        <v>C:\Users\Felienne\Enron\EnronSpreadsheets\[tracy_geaccone__40367__EMNNG02PL.xls]IncomeState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38" x14ac:dyDescent="0.2">
      <c r="A2" s="340" t="s">
        <v>1193</v>
      </c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</row>
    <row r="3" spans="1:38" x14ac:dyDescent="0.2">
      <c r="A3" s="552" t="str">
        <f>IncomeState!A3</f>
        <v>2002 OPERATING PLAN</v>
      </c>
      <c r="B3" s="786">
        <f ca="1">NOW()</f>
        <v>41887.551126967592</v>
      </c>
      <c r="C3" s="489" t="s">
        <v>78</v>
      </c>
      <c r="D3" s="60"/>
      <c r="E3" s="59"/>
      <c r="F3" s="59"/>
      <c r="G3" s="60"/>
      <c r="H3" s="60"/>
      <c r="I3" s="60"/>
      <c r="J3" s="59"/>
      <c r="K3" s="59"/>
      <c r="L3" s="59"/>
      <c r="M3" s="59"/>
      <c r="N3" s="59"/>
      <c r="O3" s="59"/>
      <c r="P3" s="90"/>
    </row>
    <row r="4" spans="1:38" ht="12.95" customHeight="1" x14ac:dyDescent="0.2">
      <c r="A4" s="61"/>
      <c r="B4" s="787">
        <f ca="1">NOW()</f>
        <v>41887.55112708333</v>
      </c>
      <c r="C4" s="341" t="s">
        <v>79</v>
      </c>
      <c r="D4" s="342" t="s">
        <v>1174</v>
      </c>
      <c r="E4" s="342" t="s">
        <v>1175</v>
      </c>
      <c r="F4" s="342" t="s">
        <v>1176</v>
      </c>
      <c r="G4" s="342" t="s">
        <v>1177</v>
      </c>
      <c r="H4" s="342" t="s">
        <v>1178</v>
      </c>
      <c r="I4" s="342" t="s">
        <v>1179</v>
      </c>
      <c r="J4" s="342" t="s">
        <v>1180</v>
      </c>
      <c r="K4" s="342" t="s">
        <v>1181</v>
      </c>
      <c r="L4" s="342" t="s">
        <v>1182</v>
      </c>
      <c r="M4" s="342" t="s">
        <v>1183</v>
      </c>
      <c r="N4" s="342" t="s">
        <v>1184</v>
      </c>
      <c r="O4" s="342" t="s">
        <v>1185</v>
      </c>
      <c r="P4" s="607" t="str">
        <f>IncomeState!O7</f>
        <v>2002</v>
      </c>
    </row>
    <row r="5" spans="1:38" ht="3.95" customHeight="1" x14ac:dyDescent="0.2"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4"/>
    </row>
    <row r="6" spans="1:38" x14ac:dyDescent="0.2">
      <c r="A6" s="344" t="s">
        <v>81</v>
      </c>
      <c r="B6" s="788"/>
    </row>
    <row r="7" spans="1:38" x14ac:dyDescent="0.2">
      <c r="A7" s="67" t="s">
        <v>9</v>
      </c>
      <c r="B7" s="788"/>
      <c r="D7" s="68">
        <v>0</v>
      </c>
      <c r="E7" s="68">
        <v>0</v>
      </c>
      <c r="F7" s="68">
        <v>0</v>
      </c>
      <c r="G7" s="68">
        <v>0</v>
      </c>
      <c r="H7" s="68">
        <v>0</v>
      </c>
      <c r="I7" s="68">
        <v>0</v>
      </c>
      <c r="J7" s="68">
        <v>0</v>
      </c>
      <c r="K7" s="68">
        <v>0</v>
      </c>
      <c r="L7" s="68">
        <v>0</v>
      </c>
      <c r="M7" s="68">
        <v>0</v>
      </c>
      <c r="N7" s="68">
        <v>0</v>
      </c>
      <c r="O7" s="68">
        <v>0</v>
      </c>
      <c r="P7" s="69">
        <f>SUM(D7:O7)</f>
        <v>0</v>
      </c>
    </row>
    <row r="8" spans="1:38" x14ac:dyDescent="0.2">
      <c r="A8" s="351" t="s">
        <v>82</v>
      </c>
      <c r="D8" s="68">
        <v>0</v>
      </c>
      <c r="E8" s="68">
        <v>0</v>
      </c>
      <c r="F8" s="68">
        <v>0</v>
      </c>
      <c r="G8" s="68">
        <v>0</v>
      </c>
      <c r="H8" s="68">
        <v>0</v>
      </c>
      <c r="I8" s="68">
        <v>0</v>
      </c>
      <c r="J8" s="68">
        <v>0</v>
      </c>
      <c r="K8" s="68">
        <v>0</v>
      </c>
      <c r="L8" s="68">
        <v>0</v>
      </c>
      <c r="M8" s="68">
        <v>0</v>
      </c>
      <c r="N8" s="68">
        <v>0</v>
      </c>
      <c r="O8" s="68">
        <v>0</v>
      </c>
      <c r="P8" s="69">
        <f>SUM(D8:O8)</f>
        <v>0</v>
      </c>
    </row>
    <row r="9" spans="1:38" x14ac:dyDescent="0.2">
      <c r="A9" s="351" t="s">
        <v>85</v>
      </c>
      <c r="D9" s="267">
        <v>0</v>
      </c>
      <c r="E9" s="267">
        <v>0</v>
      </c>
      <c r="F9" s="267">
        <v>0</v>
      </c>
      <c r="G9" s="267">
        <v>0</v>
      </c>
      <c r="H9" s="267">
        <v>0</v>
      </c>
      <c r="I9" s="267">
        <v>0</v>
      </c>
      <c r="J9" s="267">
        <v>0</v>
      </c>
      <c r="K9" s="267">
        <v>0</v>
      </c>
      <c r="L9" s="267">
        <v>0</v>
      </c>
      <c r="M9" s="267">
        <v>0</v>
      </c>
      <c r="N9" s="267">
        <v>0</v>
      </c>
      <c r="O9" s="267">
        <v>0</v>
      </c>
      <c r="P9" s="71">
        <f>SUM(D9:O9)</f>
        <v>0</v>
      </c>
    </row>
    <row r="10" spans="1:38" ht="3.95" customHeight="1" x14ac:dyDescent="0.2">
      <c r="A10" s="79"/>
    </row>
    <row r="11" spans="1:38" x14ac:dyDescent="0.2">
      <c r="A11" s="67" t="s">
        <v>12</v>
      </c>
      <c r="B11" s="788"/>
      <c r="D11" s="69">
        <f t="shared" ref="D11:O11" si="0">D7+D8+D9</f>
        <v>0</v>
      </c>
      <c r="E11" s="69">
        <f t="shared" si="0"/>
        <v>0</v>
      </c>
      <c r="F11" s="69">
        <f t="shared" si="0"/>
        <v>0</v>
      </c>
      <c r="G11" s="69">
        <f t="shared" si="0"/>
        <v>0</v>
      </c>
      <c r="H11" s="69">
        <f t="shared" si="0"/>
        <v>0</v>
      </c>
      <c r="I11" s="69">
        <f t="shared" si="0"/>
        <v>0</v>
      </c>
      <c r="J11" s="69">
        <f t="shared" si="0"/>
        <v>0</v>
      </c>
      <c r="K11" s="69">
        <f t="shared" si="0"/>
        <v>0</v>
      </c>
      <c r="L11" s="69">
        <f t="shared" si="0"/>
        <v>0</v>
      </c>
      <c r="M11" s="69">
        <f t="shared" si="0"/>
        <v>0</v>
      </c>
      <c r="N11" s="69">
        <f t="shared" si="0"/>
        <v>0</v>
      </c>
      <c r="O11" s="69">
        <f t="shared" si="0"/>
        <v>0</v>
      </c>
      <c r="P11" s="69">
        <f>SUM(D11:O11)</f>
        <v>0</v>
      </c>
    </row>
    <row r="12" spans="1:38" ht="3.95" customHeight="1" x14ac:dyDescent="0.2">
      <c r="A12" s="79"/>
    </row>
    <row r="13" spans="1:38" x14ac:dyDescent="0.2">
      <c r="A13" s="351" t="s">
        <v>88</v>
      </c>
      <c r="B13" s="788"/>
      <c r="D13" s="310">
        <f>IF(D11=0,0,ROUND(+D15/D11,4))</f>
        <v>0</v>
      </c>
      <c r="E13" s="310">
        <f t="shared" ref="E13:P13" si="1">IF(E11=0,0,ROUND(+E15/E11,4))</f>
        <v>0</v>
      </c>
      <c r="F13" s="310">
        <f t="shared" si="1"/>
        <v>0</v>
      </c>
      <c r="G13" s="310">
        <f t="shared" si="1"/>
        <v>0</v>
      </c>
      <c r="H13" s="310">
        <f t="shared" si="1"/>
        <v>0</v>
      </c>
      <c r="I13" s="310">
        <f t="shared" si="1"/>
        <v>0</v>
      </c>
      <c r="J13" s="310">
        <f t="shared" si="1"/>
        <v>0</v>
      </c>
      <c r="K13" s="310">
        <f t="shared" si="1"/>
        <v>0</v>
      </c>
      <c r="L13" s="310">
        <f t="shared" si="1"/>
        <v>0</v>
      </c>
      <c r="M13" s="310">
        <f t="shared" si="1"/>
        <v>0</v>
      </c>
      <c r="N13" s="310">
        <f t="shared" si="1"/>
        <v>0</v>
      </c>
      <c r="O13" s="310">
        <f t="shared" si="1"/>
        <v>0</v>
      </c>
      <c r="P13" s="310">
        <f t="shared" si="1"/>
        <v>0</v>
      </c>
      <c r="AL13" s="94"/>
    </row>
    <row r="14" spans="1:38" ht="3.95" customHeight="1" x14ac:dyDescent="0.2"/>
    <row r="15" spans="1:38" x14ac:dyDescent="0.2">
      <c r="A15" s="351" t="s">
        <v>89</v>
      </c>
      <c r="B15" s="789"/>
      <c r="D15" s="69">
        <f>Transport!C13</f>
        <v>0</v>
      </c>
      <c r="E15" s="69">
        <f>Transport!D13</f>
        <v>0</v>
      </c>
      <c r="F15" s="69">
        <f>Transport!E13</f>
        <v>0</v>
      </c>
      <c r="G15" s="69">
        <f>Transport!F13</f>
        <v>0</v>
      </c>
      <c r="H15" s="69">
        <f>Transport!G13</f>
        <v>0</v>
      </c>
      <c r="I15" s="69">
        <f>Transport!H13</f>
        <v>0</v>
      </c>
      <c r="J15" s="69">
        <f>Transport!I13</f>
        <v>0</v>
      </c>
      <c r="K15" s="69">
        <f>Transport!J13</f>
        <v>0</v>
      </c>
      <c r="L15" s="69">
        <f>Transport!K13</f>
        <v>0</v>
      </c>
      <c r="M15" s="69">
        <f>Transport!L13</f>
        <v>0</v>
      </c>
      <c r="N15" s="69">
        <f>Transport!M13</f>
        <v>0</v>
      </c>
      <c r="O15" s="69">
        <f>Transport!N13</f>
        <v>0</v>
      </c>
      <c r="P15" s="69">
        <f>SUM(D15:O15)</f>
        <v>0</v>
      </c>
      <c r="Q15" s="93"/>
      <c r="R15" s="76"/>
      <c r="AL15" s="76"/>
    </row>
    <row r="16" spans="1:38" x14ac:dyDescent="0.2">
      <c r="A16" s="77" t="s">
        <v>90</v>
      </c>
      <c r="D16" s="68">
        <v>0</v>
      </c>
      <c r="E16" s="68">
        <v>0</v>
      </c>
      <c r="F16" s="68">
        <v>0</v>
      </c>
      <c r="G16" s="68">
        <v>0</v>
      </c>
      <c r="H16" s="68">
        <v>0</v>
      </c>
      <c r="I16" s="68">
        <v>0</v>
      </c>
      <c r="J16" s="68">
        <v>0</v>
      </c>
      <c r="K16" s="68">
        <v>0</v>
      </c>
      <c r="L16" s="68">
        <v>0</v>
      </c>
      <c r="M16" s="68">
        <v>0</v>
      </c>
      <c r="N16" s="68">
        <v>0</v>
      </c>
      <c r="O16" s="68">
        <v>0</v>
      </c>
      <c r="P16" s="69">
        <f>SUM(D16:O16)</f>
        <v>0</v>
      </c>
    </row>
    <row r="17" spans="1:38" x14ac:dyDescent="0.2">
      <c r="A17" s="77" t="s">
        <v>1188</v>
      </c>
      <c r="D17" s="267">
        <v>0</v>
      </c>
      <c r="E17" s="267">
        <v>0</v>
      </c>
      <c r="F17" s="267">
        <v>0</v>
      </c>
      <c r="G17" s="267">
        <v>0</v>
      </c>
      <c r="H17" s="267">
        <v>0</v>
      </c>
      <c r="I17" s="267">
        <v>0</v>
      </c>
      <c r="J17" s="267">
        <v>0</v>
      </c>
      <c r="K17" s="267">
        <v>0</v>
      </c>
      <c r="L17" s="267">
        <v>0</v>
      </c>
      <c r="M17" s="267">
        <v>0</v>
      </c>
      <c r="N17" s="267">
        <v>0</v>
      </c>
      <c r="O17" s="267">
        <v>0</v>
      </c>
      <c r="P17" s="71">
        <f>SUM(D17:O17)</f>
        <v>0</v>
      </c>
    </row>
    <row r="18" spans="1:38" ht="3.95" customHeight="1" x14ac:dyDescent="0.2"/>
    <row r="19" spans="1:38" x14ac:dyDescent="0.2">
      <c r="A19" s="350" t="s">
        <v>91</v>
      </c>
      <c r="D19" s="87">
        <f t="shared" ref="D19:P19" si="2">SUM(D15:D17)</f>
        <v>0</v>
      </c>
      <c r="E19" s="87">
        <f t="shared" si="2"/>
        <v>0</v>
      </c>
      <c r="F19" s="87">
        <f t="shared" si="2"/>
        <v>0</v>
      </c>
      <c r="G19" s="87">
        <f t="shared" si="2"/>
        <v>0</v>
      </c>
      <c r="H19" s="87">
        <f t="shared" si="2"/>
        <v>0</v>
      </c>
      <c r="I19" s="87">
        <f t="shared" si="2"/>
        <v>0</v>
      </c>
      <c r="J19" s="87">
        <f t="shared" si="2"/>
        <v>0</v>
      </c>
      <c r="K19" s="87">
        <f t="shared" si="2"/>
        <v>0</v>
      </c>
      <c r="L19" s="87">
        <f t="shared" si="2"/>
        <v>0</v>
      </c>
      <c r="M19" s="87">
        <f t="shared" si="2"/>
        <v>0</v>
      </c>
      <c r="N19" s="87">
        <f t="shared" si="2"/>
        <v>0</v>
      </c>
      <c r="O19" s="87">
        <f t="shared" si="2"/>
        <v>0</v>
      </c>
      <c r="P19" s="87">
        <f t="shared" si="2"/>
        <v>0</v>
      </c>
    </row>
    <row r="20" spans="1:38" ht="8.1" customHeight="1" x14ac:dyDescent="0.2">
      <c r="A20" s="66"/>
      <c r="B20" s="788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AL20" s="89"/>
    </row>
    <row r="21" spans="1:38" x14ac:dyDescent="0.2">
      <c r="A21" s="352" t="s">
        <v>92</v>
      </c>
    </row>
    <row r="22" spans="1:38" x14ac:dyDescent="0.2">
      <c r="A22" s="95" t="s">
        <v>93</v>
      </c>
      <c r="D22" s="68">
        <v>0</v>
      </c>
      <c r="E22" s="68">
        <v>0</v>
      </c>
      <c r="F22" s="68">
        <v>0</v>
      </c>
      <c r="G22" s="68">
        <v>0</v>
      </c>
      <c r="H22" s="68">
        <v>0</v>
      </c>
      <c r="I22" s="68">
        <v>0</v>
      </c>
      <c r="J22" s="68">
        <v>0</v>
      </c>
      <c r="K22" s="68">
        <v>0</v>
      </c>
      <c r="L22" s="68">
        <v>0</v>
      </c>
      <c r="M22" s="68">
        <v>0</v>
      </c>
      <c r="N22" s="68">
        <v>0</v>
      </c>
      <c r="O22" s="68">
        <v>0</v>
      </c>
      <c r="P22" s="69">
        <f t="shared" ref="P22:P28" si="3">SUM(D22:O22)</f>
        <v>0</v>
      </c>
    </row>
    <row r="23" spans="1:38" x14ac:dyDescent="0.2">
      <c r="A23" s="95" t="s">
        <v>94</v>
      </c>
      <c r="D23" s="68">
        <v>0</v>
      </c>
      <c r="E23" s="68">
        <v>0</v>
      </c>
      <c r="F23" s="68">
        <v>0</v>
      </c>
      <c r="G23" s="68">
        <v>0</v>
      </c>
      <c r="H23" s="68">
        <v>0</v>
      </c>
      <c r="I23" s="68">
        <v>0</v>
      </c>
      <c r="J23" s="68">
        <v>0</v>
      </c>
      <c r="K23" s="68">
        <v>0</v>
      </c>
      <c r="L23" s="68">
        <v>0</v>
      </c>
      <c r="M23" s="68">
        <v>0</v>
      </c>
      <c r="N23" s="68">
        <v>0</v>
      </c>
      <c r="O23" s="68">
        <v>0</v>
      </c>
      <c r="P23" s="69">
        <f t="shared" si="3"/>
        <v>0</v>
      </c>
    </row>
    <row r="24" spans="1:38" x14ac:dyDescent="0.2">
      <c r="A24" s="95" t="s">
        <v>95</v>
      </c>
      <c r="D24" s="68">
        <v>0</v>
      </c>
      <c r="E24" s="68">
        <v>0</v>
      </c>
      <c r="F24" s="68">
        <v>0</v>
      </c>
      <c r="G24" s="68">
        <v>0</v>
      </c>
      <c r="H24" s="68">
        <v>0</v>
      </c>
      <c r="I24" s="68">
        <v>0</v>
      </c>
      <c r="J24" s="68">
        <v>0</v>
      </c>
      <c r="K24" s="68">
        <v>0</v>
      </c>
      <c r="L24" s="68">
        <v>0</v>
      </c>
      <c r="M24" s="68">
        <v>0</v>
      </c>
      <c r="N24" s="68">
        <v>0</v>
      </c>
      <c r="O24" s="68">
        <v>0</v>
      </c>
      <c r="P24" s="69">
        <f t="shared" si="3"/>
        <v>0</v>
      </c>
    </row>
    <row r="25" spans="1:38" x14ac:dyDescent="0.2">
      <c r="A25" s="95" t="s">
        <v>96</v>
      </c>
      <c r="D25" s="68">
        <v>0</v>
      </c>
      <c r="E25" s="68">
        <v>0</v>
      </c>
      <c r="F25" s="68">
        <v>0</v>
      </c>
      <c r="G25" s="68">
        <v>0</v>
      </c>
      <c r="H25" s="68">
        <v>0</v>
      </c>
      <c r="I25" s="68">
        <v>0</v>
      </c>
      <c r="J25" s="68">
        <v>0</v>
      </c>
      <c r="K25" s="68">
        <v>0</v>
      </c>
      <c r="L25" s="68">
        <v>0</v>
      </c>
      <c r="M25" s="68">
        <v>0</v>
      </c>
      <c r="N25" s="68">
        <v>0</v>
      </c>
      <c r="O25" s="68">
        <v>0</v>
      </c>
      <c r="P25" s="69">
        <f t="shared" si="3"/>
        <v>0</v>
      </c>
    </row>
    <row r="26" spans="1:38" x14ac:dyDescent="0.2">
      <c r="A26" s="95" t="s">
        <v>97</v>
      </c>
      <c r="D26" s="68">
        <v>0</v>
      </c>
      <c r="E26" s="68">
        <v>0</v>
      </c>
      <c r="F26" s="68">
        <v>0</v>
      </c>
      <c r="G26" s="68">
        <v>0</v>
      </c>
      <c r="H26" s="68">
        <v>0</v>
      </c>
      <c r="I26" s="68">
        <v>0</v>
      </c>
      <c r="J26" s="68">
        <v>0</v>
      </c>
      <c r="K26" s="68">
        <v>0</v>
      </c>
      <c r="L26" s="68">
        <v>0</v>
      </c>
      <c r="M26" s="68">
        <v>0</v>
      </c>
      <c r="N26" s="68">
        <v>0</v>
      </c>
      <c r="O26" s="68">
        <v>0</v>
      </c>
      <c r="P26" s="69">
        <f t="shared" si="3"/>
        <v>0</v>
      </c>
    </row>
    <row r="27" spans="1:38" x14ac:dyDescent="0.2">
      <c r="A27" s="95" t="s">
        <v>98</v>
      </c>
      <c r="D27" s="68">
        <v>0</v>
      </c>
      <c r="E27" s="68">
        <v>0</v>
      </c>
      <c r="F27" s="68">
        <v>0</v>
      </c>
      <c r="G27" s="68">
        <v>0</v>
      </c>
      <c r="H27" s="68">
        <v>0</v>
      </c>
      <c r="I27" s="68">
        <v>0</v>
      </c>
      <c r="J27" s="68">
        <v>0</v>
      </c>
      <c r="K27" s="68">
        <v>0</v>
      </c>
      <c r="L27" s="68">
        <v>0</v>
      </c>
      <c r="M27" s="68">
        <v>0</v>
      </c>
      <c r="N27" s="68">
        <v>0</v>
      </c>
      <c r="O27" s="68">
        <v>0</v>
      </c>
      <c r="P27" s="69">
        <f t="shared" si="3"/>
        <v>0</v>
      </c>
    </row>
    <row r="28" spans="1:38" x14ac:dyDescent="0.2">
      <c r="A28" s="95" t="s">
        <v>1188</v>
      </c>
      <c r="D28" s="267">
        <v>0</v>
      </c>
      <c r="E28" s="267">
        <v>0</v>
      </c>
      <c r="F28" s="267">
        <v>0</v>
      </c>
      <c r="G28" s="267">
        <v>0</v>
      </c>
      <c r="H28" s="267">
        <v>0</v>
      </c>
      <c r="I28" s="267">
        <v>0</v>
      </c>
      <c r="J28" s="267">
        <v>0</v>
      </c>
      <c r="K28" s="267">
        <v>0</v>
      </c>
      <c r="L28" s="267">
        <v>0</v>
      </c>
      <c r="M28" s="267">
        <v>0</v>
      </c>
      <c r="N28" s="267">
        <v>0</v>
      </c>
      <c r="O28" s="267">
        <v>0</v>
      </c>
      <c r="P28" s="71">
        <f t="shared" si="3"/>
        <v>0</v>
      </c>
    </row>
    <row r="29" spans="1:38" ht="3.95" customHeight="1" x14ac:dyDescent="0.2">
      <c r="A29" s="79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</row>
    <row r="30" spans="1:38" x14ac:dyDescent="0.2">
      <c r="A30" s="350" t="s">
        <v>99</v>
      </c>
      <c r="B30" s="789"/>
      <c r="C30" s="58"/>
      <c r="D30" s="87">
        <f t="shared" ref="D30:O30" si="4">SUM(D22:D28)</f>
        <v>0</v>
      </c>
      <c r="E30" s="87">
        <f t="shared" si="4"/>
        <v>0</v>
      </c>
      <c r="F30" s="87">
        <f t="shared" si="4"/>
        <v>0</v>
      </c>
      <c r="G30" s="87">
        <f t="shared" si="4"/>
        <v>0</v>
      </c>
      <c r="H30" s="87">
        <f t="shared" si="4"/>
        <v>0</v>
      </c>
      <c r="I30" s="87">
        <f t="shared" si="4"/>
        <v>0</v>
      </c>
      <c r="J30" s="87">
        <f t="shared" si="4"/>
        <v>0</v>
      </c>
      <c r="K30" s="87">
        <f t="shared" si="4"/>
        <v>0</v>
      </c>
      <c r="L30" s="87">
        <f t="shared" si="4"/>
        <v>0</v>
      </c>
      <c r="M30" s="87">
        <f t="shared" si="4"/>
        <v>0</v>
      </c>
      <c r="N30" s="87">
        <f t="shared" si="4"/>
        <v>0</v>
      </c>
      <c r="O30" s="87">
        <f t="shared" si="4"/>
        <v>0</v>
      </c>
      <c r="P30" s="87">
        <f>SUM(D30:O30)</f>
        <v>0</v>
      </c>
      <c r="Q30" s="93"/>
      <c r="R30" s="93"/>
      <c r="AL30" s="68"/>
    </row>
    <row r="31" spans="1:38" ht="6" customHeight="1" x14ac:dyDescent="0.2">
      <c r="Q31" s="76"/>
      <c r="R31" s="93"/>
      <c r="AL31" s="76"/>
    </row>
    <row r="32" spans="1:38" x14ac:dyDescent="0.2">
      <c r="A32" s="67" t="s">
        <v>100</v>
      </c>
      <c r="B32" s="788"/>
      <c r="D32" s="69">
        <f t="shared" ref="D32:O32" si="5">D19-D30</f>
        <v>0</v>
      </c>
      <c r="E32" s="69">
        <f t="shared" si="5"/>
        <v>0</v>
      </c>
      <c r="F32" s="69">
        <f t="shared" si="5"/>
        <v>0</v>
      </c>
      <c r="G32" s="69">
        <f t="shared" si="5"/>
        <v>0</v>
      </c>
      <c r="H32" s="69">
        <f t="shared" si="5"/>
        <v>0</v>
      </c>
      <c r="I32" s="69">
        <f t="shared" si="5"/>
        <v>0</v>
      </c>
      <c r="J32" s="69">
        <f t="shared" si="5"/>
        <v>0</v>
      </c>
      <c r="K32" s="69">
        <f t="shared" si="5"/>
        <v>0</v>
      </c>
      <c r="L32" s="69">
        <f t="shared" si="5"/>
        <v>0</v>
      </c>
      <c r="M32" s="69">
        <f t="shared" si="5"/>
        <v>0</v>
      </c>
      <c r="N32" s="69">
        <f t="shared" si="5"/>
        <v>0</v>
      </c>
      <c r="O32" s="69">
        <f t="shared" si="5"/>
        <v>0</v>
      </c>
      <c r="P32" s="69">
        <f>SUM(D32:O32)</f>
        <v>0</v>
      </c>
    </row>
    <row r="33" spans="1:36" x14ac:dyDescent="0.2">
      <c r="A33" s="77" t="s">
        <v>101</v>
      </c>
      <c r="D33" s="68">
        <v>0</v>
      </c>
      <c r="E33" s="68">
        <v>0</v>
      </c>
      <c r="F33" s="68">
        <v>0</v>
      </c>
      <c r="G33" s="68">
        <v>0</v>
      </c>
      <c r="H33" s="68">
        <v>0</v>
      </c>
      <c r="I33" s="68">
        <v>0</v>
      </c>
      <c r="J33" s="68">
        <v>0</v>
      </c>
      <c r="K33" s="68">
        <v>0</v>
      </c>
      <c r="L33" s="68">
        <v>0</v>
      </c>
      <c r="M33" s="68">
        <v>0</v>
      </c>
      <c r="N33" s="68">
        <v>0</v>
      </c>
      <c r="O33" s="68">
        <v>0</v>
      </c>
      <c r="P33" s="69">
        <f>SUM(D33:O33)</f>
        <v>0</v>
      </c>
      <c r="Q33" s="69"/>
    </row>
    <row r="34" spans="1:36" x14ac:dyDescent="0.2">
      <c r="A34" s="77" t="s">
        <v>1194</v>
      </c>
      <c r="D34" s="68">
        <v>0</v>
      </c>
      <c r="E34" s="68">
        <v>0</v>
      </c>
      <c r="F34" s="68">
        <v>0</v>
      </c>
      <c r="G34" s="68">
        <v>0</v>
      </c>
      <c r="H34" s="68">
        <v>0</v>
      </c>
      <c r="I34" s="68">
        <v>0</v>
      </c>
      <c r="J34" s="68">
        <v>0</v>
      </c>
      <c r="K34" s="68">
        <v>0</v>
      </c>
      <c r="L34" s="68">
        <v>0</v>
      </c>
      <c r="M34" s="68">
        <v>0</v>
      </c>
      <c r="N34" s="68">
        <v>0</v>
      </c>
      <c r="O34" s="68">
        <v>0</v>
      </c>
      <c r="P34" s="69">
        <f>SUM(D34:O34)</f>
        <v>0</v>
      </c>
      <c r="Q34" s="69"/>
    </row>
    <row r="35" spans="1:36" x14ac:dyDescent="0.2">
      <c r="A35" s="351" t="s">
        <v>102</v>
      </c>
      <c r="D35" s="267">
        <v>0</v>
      </c>
      <c r="E35" s="267">
        <v>0</v>
      </c>
      <c r="F35" s="267">
        <v>0</v>
      </c>
      <c r="G35" s="267">
        <v>0</v>
      </c>
      <c r="H35" s="267">
        <v>0</v>
      </c>
      <c r="I35" s="267">
        <v>0</v>
      </c>
      <c r="J35" s="267">
        <v>0</v>
      </c>
      <c r="K35" s="267">
        <v>0</v>
      </c>
      <c r="L35" s="267">
        <v>0</v>
      </c>
      <c r="M35" s="267">
        <v>0</v>
      </c>
      <c r="N35" s="267">
        <v>0</v>
      </c>
      <c r="O35" s="267">
        <v>0</v>
      </c>
      <c r="P35" s="71">
        <f>SUM(D35:O35)</f>
        <v>0</v>
      </c>
      <c r="Q35" s="69"/>
      <c r="V35" s="79"/>
    </row>
    <row r="36" spans="1:36" ht="3.95" customHeight="1" x14ac:dyDescent="0.2"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</row>
    <row r="37" spans="1:36" x14ac:dyDescent="0.2">
      <c r="A37" s="56" t="str">
        <f>A542</f>
        <v xml:space="preserve">      TOTAL OVER / (UNDER) RECOVERY</v>
      </c>
      <c r="B37" s="790"/>
      <c r="C37" s="58"/>
      <c r="D37" s="74">
        <f t="shared" ref="D37:O37" si="6">SUM(D32:D35)</f>
        <v>0</v>
      </c>
      <c r="E37" s="74">
        <f t="shared" si="6"/>
        <v>0</v>
      </c>
      <c r="F37" s="74">
        <f t="shared" si="6"/>
        <v>0</v>
      </c>
      <c r="G37" s="74">
        <f t="shared" si="6"/>
        <v>0</v>
      </c>
      <c r="H37" s="74">
        <f t="shared" si="6"/>
        <v>0</v>
      </c>
      <c r="I37" s="74">
        <f t="shared" si="6"/>
        <v>0</v>
      </c>
      <c r="J37" s="74">
        <f t="shared" si="6"/>
        <v>0</v>
      </c>
      <c r="K37" s="74">
        <f t="shared" si="6"/>
        <v>0</v>
      </c>
      <c r="L37" s="74">
        <f t="shared" si="6"/>
        <v>0</v>
      </c>
      <c r="M37" s="74">
        <f t="shared" si="6"/>
        <v>0</v>
      </c>
      <c r="N37" s="74">
        <f t="shared" si="6"/>
        <v>0</v>
      </c>
      <c r="O37" s="74">
        <f t="shared" si="6"/>
        <v>0</v>
      </c>
      <c r="P37" s="74">
        <f>SUM(D37:O37)</f>
        <v>0</v>
      </c>
      <c r="Q37" s="58"/>
      <c r="V37" s="79"/>
    </row>
    <row r="38" spans="1:36" ht="8.1" customHeight="1" x14ac:dyDescent="0.2">
      <c r="A38" s="66"/>
      <c r="B38" s="788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76"/>
      <c r="R38" s="76"/>
      <c r="V38" s="66"/>
    </row>
    <row r="39" spans="1:36" x14ac:dyDescent="0.2">
      <c r="A39" s="350" t="s">
        <v>104</v>
      </c>
      <c r="B39" s="789"/>
      <c r="C39" s="58"/>
      <c r="D39" s="74">
        <f t="shared" ref="D39:O39" si="7">-1*D37</f>
        <v>0</v>
      </c>
      <c r="E39" s="74">
        <f t="shared" si="7"/>
        <v>0</v>
      </c>
      <c r="F39" s="74">
        <f t="shared" si="7"/>
        <v>0</v>
      </c>
      <c r="G39" s="74">
        <f t="shared" si="7"/>
        <v>0</v>
      </c>
      <c r="H39" s="74">
        <f t="shared" si="7"/>
        <v>0</v>
      </c>
      <c r="I39" s="74">
        <f t="shared" si="7"/>
        <v>0</v>
      </c>
      <c r="J39" s="74">
        <f t="shared" si="7"/>
        <v>0</v>
      </c>
      <c r="K39" s="74">
        <f t="shared" si="7"/>
        <v>0</v>
      </c>
      <c r="L39" s="74">
        <f t="shared" si="7"/>
        <v>0</v>
      </c>
      <c r="M39" s="74">
        <f t="shared" si="7"/>
        <v>0</v>
      </c>
      <c r="N39" s="74">
        <f t="shared" si="7"/>
        <v>0</v>
      </c>
      <c r="O39" s="74">
        <f t="shared" si="7"/>
        <v>0</v>
      </c>
      <c r="P39" s="74">
        <f>SUM(D39:O39)</f>
        <v>0</v>
      </c>
      <c r="V39" s="66"/>
    </row>
    <row r="40" spans="1:36" x14ac:dyDescent="0.2">
      <c r="R40" s="76"/>
    </row>
    <row r="41" spans="1:36" x14ac:dyDescent="0.2">
      <c r="A41" s="344" t="s">
        <v>105</v>
      </c>
      <c r="B41" s="788"/>
      <c r="D41" s="68">
        <v>0</v>
      </c>
      <c r="E41" s="68">
        <v>0</v>
      </c>
      <c r="F41" s="68">
        <v>0</v>
      </c>
      <c r="G41" s="68">
        <v>0</v>
      </c>
      <c r="H41" s="68">
        <v>0</v>
      </c>
      <c r="I41" s="68">
        <v>0</v>
      </c>
      <c r="J41" s="68">
        <v>0</v>
      </c>
      <c r="K41" s="68">
        <v>0</v>
      </c>
      <c r="L41" s="68">
        <v>0</v>
      </c>
      <c r="M41" s="68">
        <v>0</v>
      </c>
      <c r="N41" s="68">
        <v>0</v>
      </c>
      <c r="O41" s="68">
        <v>0</v>
      </c>
      <c r="P41" s="74">
        <f>SUM(D41:O41)</f>
        <v>0</v>
      </c>
    </row>
    <row r="42" spans="1:36" ht="3.95" customHeight="1" x14ac:dyDescent="0.2">
      <c r="A42" s="66"/>
      <c r="B42" s="788"/>
    </row>
    <row r="43" spans="1:36" x14ac:dyDescent="0.2">
      <c r="A43" s="344" t="s">
        <v>106</v>
      </c>
      <c r="B43" s="788"/>
      <c r="D43" s="69">
        <f t="shared" ref="D43:O43" si="8">D39-D41</f>
        <v>0</v>
      </c>
      <c r="E43" s="69">
        <f t="shared" si="8"/>
        <v>0</v>
      </c>
      <c r="F43" s="69">
        <f t="shared" si="8"/>
        <v>0</v>
      </c>
      <c r="G43" s="69">
        <f t="shared" si="8"/>
        <v>0</v>
      </c>
      <c r="H43" s="69">
        <f t="shared" si="8"/>
        <v>0</v>
      </c>
      <c r="I43" s="69">
        <f t="shared" si="8"/>
        <v>0</v>
      </c>
      <c r="J43" s="69">
        <f t="shared" si="8"/>
        <v>0</v>
      </c>
      <c r="K43" s="69">
        <f t="shared" si="8"/>
        <v>0</v>
      </c>
      <c r="L43" s="69">
        <f t="shared" si="8"/>
        <v>0</v>
      </c>
      <c r="M43" s="69">
        <f t="shared" si="8"/>
        <v>0</v>
      </c>
      <c r="N43" s="69">
        <f t="shared" si="8"/>
        <v>0</v>
      </c>
      <c r="O43" s="69">
        <f t="shared" si="8"/>
        <v>0</v>
      </c>
      <c r="P43" s="74">
        <f>SUM(D43:O43)</f>
        <v>0</v>
      </c>
      <c r="Q43" s="58"/>
    </row>
    <row r="44" spans="1:36" ht="5.25" customHeight="1" x14ac:dyDescent="0.2">
      <c r="A44" s="66"/>
      <c r="B44" s="788"/>
    </row>
    <row r="45" spans="1:36" ht="5.25" customHeight="1" x14ac:dyDescent="0.2">
      <c r="A45" s="81"/>
      <c r="B45" s="791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</row>
    <row r="46" spans="1:36" ht="5.25" customHeight="1" x14ac:dyDescent="0.2"/>
    <row r="47" spans="1:36" x14ac:dyDescent="0.2">
      <c r="A47" s="356" t="s">
        <v>107</v>
      </c>
      <c r="B47" s="792"/>
      <c r="C47" s="343" t="s">
        <v>906</v>
      </c>
      <c r="D47" s="85"/>
      <c r="E47" s="85"/>
      <c r="F47" s="85"/>
      <c r="G47" s="73"/>
      <c r="H47" s="73"/>
      <c r="I47" s="73"/>
      <c r="J47" s="73"/>
      <c r="K47" s="73"/>
      <c r="L47" s="85"/>
      <c r="M47" s="85"/>
      <c r="N47" s="85"/>
      <c r="O47" s="85"/>
      <c r="P47" s="85"/>
      <c r="V47" s="66"/>
      <c r="X47" s="79"/>
      <c r="Y47" s="79"/>
      <c r="Z47" s="79"/>
      <c r="AA47" s="79"/>
      <c r="AB47" s="66"/>
      <c r="AC47" s="66"/>
      <c r="AD47" s="66"/>
      <c r="AE47" s="66"/>
      <c r="AF47" s="79"/>
      <c r="AG47" s="79"/>
      <c r="AH47" s="79"/>
      <c r="AI47" s="79"/>
      <c r="AJ47" s="79"/>
    </row>
    <row r="48" spans="1:36" ht="3.95" customHeight="1" x14ac:dyDescent="0.2">
      <c r="A48" s="345"/>
      <c r="B48" s="793"/>
    </row>
    <row r="49" spans="1:36" x14ac:dyDescent="0.2">
      <c r="A49" s="344" t="s">
        <v>59</v>
      </c>
      <c r="B49" s="788"/>
      <c r="C49" s="345"/>
      <c r="D49" s="69">
        <f t="shared" ref="D49:O49" si="9">C59</f>
        <v>-68</v>
      </c>
      <c r="E49" s="69">
        <f t="shared" si="9"/>
        <v>-68</v>
      </c>
      <c r="F49" s="69">
        <f t="shared" si="9"/>
        <v>-69</v>
      </c>
      <c r="G49" s="69">
        <f t="shared" si="9"/>
        <v>-69</v>
      </c>
      <c r="H49" s="69">
        <f t="shared" si="9"/>
        <v>-70</v>
      </c>
      <c r="I49" s="69">
        <f t="shared" si="9"/>
        <v>-70</v>
      </c>
      <c r="J49" s="69">
        <f t="shared" si="9"/>
        <v>-71</v>
      </c>
      <c r="K49" s="69">
        <f t="shared" si="9"/>
        <v>-71</v>
      </c>
      <c r="L49" s="69">
        <f t="shared" si="9"/>
        <v>-72</v>
      </c>
      <c r="M49" s="69">
        <f t="shared" si="9"/>
        <v>-72</v>
      </c>
      <c r="N49" s="69">
        <f t="shared" si="9"/>
        <v>-73</v>
      </c>
      <c r="O49" s="69">
        <f t="shared" si="9"/>
        <v>-73</v>
      </c>
      <c r="P49" s="69"/>
      <c r="Q49" s="76"/>
      <c r="V49" s="66"/>
      <c r="W49" s="66"/>
      <c r="X49" s="68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</row>
    <row r="50" spans="1:36" ht="6" customHeight="1" x14ac:dyDescent="0.2">
      <c r="A50" s="345"/>
      <c r="B50" s="793"/>
      <c r="C50" s="345"/>
    </row>
    <row r="51" spans="1:36" x14ac:dyDescent="0.2">
      <c r="A51" s="95" t="s">
        <v>108</v>
      </c>
      <c r="B51" s="91"/>
      <c r="C51" s="345"/>
      <c r="D51" s="68">
        <v>0</v>
      </c>
      <c r="E51" s="68">
        <v>0</v>
      </c>
      <c r="F51" s="68">
        <v>0</v>
      </c>
      <c r="G51" s="68">
        <v>0</v>
      </c>
      <c r="H51" s="68">
        <v>0</v>
      </c>
      <c r="I51" s="68">
        <v>0</v>
      </c>
      <c r="J51" s="68">
        <v>0</v>
      </c>
      <c r="K51" s="68">
        <v>0</v>
      </c>
      <c r="L51" s="68">
        <v>0</v>
      </c>
      <c r="M51" s="68">
        <v>0</v>
      </c>
      <c r="N51" s="68">
        <v>0</v>
      </c>
      <c r="O51" s="68">
        <v>0</v>
      </c>
      <c r="P51" s="69">
        <f>SUM(D51:O51)</f>
        <v>0</v>
      </c>
      <c r="V51" s="79"/>
      <c r="W51" s="79"/>
      <c r="X51" s="68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</row>
    <row r="52" spans="1:36" ht="6" customHeight="1" x14ac:dyDescent="0.2">
      <c r="A52" s="66"/>
      <c r="B52" s="788"/>
      <c r="C52" s="345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V52" s="66"/>
      <c r="W52" s="66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</row>
    <row r="53" spans="1:36" x14ac:dyDescent="0.2">
      <c r="A53" s="67" t="s">
        <v>109</v>
      </c>
      <c r="B53" s="788"/>
      <c r="C53" s="345"/>
      <c r="D53" s="69">
        <f t="shared" ref="D53:O53" si="10">D43</f>
        <v>0</v>
      </c>
      <c r="E53" s="69">
        <f t="shared" si="10"/>
        <v>0</v>
      </c>
      <c r="F53" s="69">
        <f t="shared" si="10"/>
        <v>0</v>
      </c>
      <c r="G53" s="69">
        <f t="shared" si="10"/>
        <v>0</v>
      </c>
      <c r="H53" s="69">
        <f t="shared" si="10"/>
        <v>0</v>
      </c>
      <c r="I53" s="69">
        <f t="shared" si="10"/>
        <v>0</v>
      </c>
      <c r="J53" s="69">
        <f t="shared" si="10"/>
        <v>0</v>
      </c>
      <c r="K53" s="69">
        <f t="shared" si="10"/>
        <v>0</v>
      </c>
      <c r="L53" s="69">
        <f t="shared" si="10"/>
        <v>0</v>
      </c>
      <c r="M53" s="69">
        <f t="shared" si="10"/>
        <v>0</v>
      </c>
      <c r="N53" s="69">
        <f t="shared" si="10"/>
        <v>0</v>
      </c>
      <c r="O53" s="69">
        <f t="shared" si="10"/>
        <v>0</v>
      </c>
      <c r="P53" s="69">
        <f>SUM(D53:O53)</f>
        <v>0</v>
      </c>
      <c r="Q53" s="76"/>
      <c r="V53" s="66"/>
      <c r="W53" s="66"/>
      <c r="X53" s="68"/>
      <c r="Y53" s="68"/>
      <c r="Z53" s="68"/>
      <c r="AA53" s="68"/>
      <c r="AB53" s="68"/>
      <c r="AC53" s="68"/>
      <c r="AD53" s="68"/>
      <c r="AE53" s="68"/>
      <c r="AF53" s="68"/>
      <c r="AG53" s="68"/>
      <c r="AH53" s="68"/>
      <c r="AI53" s="68"/>
    </row>
    <row r="54" spans="1:36" ht="6" customHeight="1" x14ac:dyDescent="0.2">
      <c r="A54" s="66"/>
      <c r="B54" s="788"/>
      <c r="C54" s="345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V54" s="66"/>
      <c r="W54" s="66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</row>
    <row r="55" spans="1:36" x14ac:dyDescent="0.2">
      <c r="A55" s="67" t="s">
        <v>110</v>
      </c>
      <c r="B55" s="788"/>
      <c r="C55" s="345"/>
      <c r="D55" s="268">
        <v>0</v>
      </c>
      <c r="E55" s="268">
        <v>0</v>
      </c>
      <c r="F55" s="268">
        <v>0</v>
      </c>
      <c r="G55" s="268">
        <v>0</v>
      </c>
      <c r="H55" s="268">
        <v>0</v>
      </c>
      <c r="I55" s="268">
        <v>0</v>
      </c>
      <c r="J55" s="268">
        <v>0</v>
      </c>
      <c r="K55" s="268">
        <v>0</v>
      </c>
      <c r="L55" s="268">
        <v>0</v>
      </c>
      <c r="M55" s="268">
        <v>0</v>
      </c>
      <c r="N55" s="268">
        <v>0</v>
      </c>
      <c r="O55" s="268">
        <v>0</v>
      </c>
      <c r="P55" s="69">
        <f>SUM(D55:O55)</f>
        <v>0</v>
      </c>
      <c r="Q55" s="76"/>
      <c r="V55" s="66"/>
      <c r="W55" s="66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</row>
    <row r="56" spans="1:36" ht="6" customHeight="1" x14ac:dyDescent="0.2">
      <c r="A56" s="66"/>
      <c r="B56" s="788"/>
      <c r="C56" s="345"/>
      <c r="D56" s="268"/>
      <c r="E56" s="268"/>
      <c r="F56" s="268"/>
      <c r="G56" s="268"/>
      <c r="H56" s="268"/>
      <c r="I56" s="268"/>
      <c r="J56" s="268"/>
      <c r="K56" s="268"/>
      <c r="L56" s="268"/>
      <c r="M56" s="268"/>
      <c r="N56" s="268"/>
      <c r="O56" s="268"/>
      <c r="P56" s="69"/>
      <c r="V56" s="66"/>
      <c r="W56" s="66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</row>
    <row r="57" spans="1:36" x14ac:dyDescent="0.2">
      <c r="A57" s="67" t="s">
        <v>111</v>
      </c>
      <c r="B57" s="788"/>
      <c r="C57" s="345"/>
      <c r="D57" s="71">
        <f t="shared" ref="D57:O57" si="11">D66</f>
        <v>0</v>
      </c>
      <c r="E57" s="71">
        <f t="shared" si="11"/>
        <v>-1</v>
      </c>
      <c r="F57" s="71">
        <f t="shared" si="11"/>
        <v>0</v>
      </c>
      <c r="G57" s="71">
        <f t="shared" si="11"/>
        <v>-1</v>
      </c>
      <c r="H57" s="71">
        <f t="shared" si="11"/>
        <v>0</v>
      </c>
      <c r="I57" s="71">
        <f t="shared" si="11"/>
        <v>-1</v>
      </c>
      <c r="J57" s="71">
        <f t="shared" si="11"/>
        <v>0</v>
      </c>
      <c r="K57" s="71">
        <f t="shared" si="11"/>
        <v>-1</v>
      </c>
      <c r="L57" s="71">
        <f t="shared" si="11"/>
        <v>0</v>
      </c>
      <c r="M57" s="71">
        <f t="shared" si="11"/>
        <v>-1</v>
      </c>
      <c r="N57" s="71">
        <f t="shared" si="11"/>
        <v>0</v>
      </c>
      <c r="O57" s="71">
        <f t="shared" si="11"/>
        <v>-1</v>
      </c>
      <c r="P57" s="71">
        <f>SUM(D57:O57)</f>
        <v>-6</v>
      </c>
      <c r="Q57" s="96"/>
      <c r="V57" s="66"/>
      <c r="W57" s="66"/>
      <c r="X57" s="68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</row>
    <row r="58" spans="1:36" ht="3.95" customHeight="1" x14ac:dyDescent="0.2">
      <c r="A58" s="66"/>
      <c r="B58" s="788"/>
      <c r="C58" s="345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V58" s="66"/>
      <c r="W58" s="66"/>
      <c r="X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</row>
    <row r="59" spans="1:36" x14ac:dyDescent="0.2">
      <c r="A59" s="344" t="s">
        <v>64</v>
      </c>
      <c r="B59" s="793"/>
      <c r="C59" s="658">
        <v>-68</v>
      </c>
      <c r="D59" s="87">
        <f t="shared" ref="D59:O59" si="12">SUM(D49:D57)</f>
        <v>-68</v>
      </c>
      <c r="E59" s="87">
        <f t="shared" si="12"/>
        <v>-69</v>
      </c>
      <c r="F59" s="87">
        <f t="shared" si="12"/>
        <v>-69</v>
      </c>
      <c r="G59" s="87">
        <f t="shared" si="12"/>
        <v>-70</v>
      </c>
      <c r="H59" s="87">
        <f t="shared" si="12"/>
        <v>-70</v>
      </c>
      <c r="I59" s="87">
        <f t="shared" si="12"/>
        <v>-71</v>
      </c>
      <c r="J59" s="87">
        <f t="shared" si="12"/>
        <v>-71</v>
      </c>
      <c r="K59" s="87">
        <f t="shared" si="12"/>
        <v>-72</v>
      </c>
      <c r="L59" s="87">
        <f t="shared" si="12"/>
        <v>-72</v>
      </c>
      <c r="M59" s="87">
        <f t="shared" si="12"/>
        <v>-73</v>
      </c>
      <c r="N59" s="87">
        <f t="shared" si="12"/>
        <v>-73</v>
      </c>
      <c r="O59" s="87">
        <f t="shared" si="12"/>
        <v>-74</v>
      </c>
      <c r="P59" s="87">
        <f>SUM(P51:P57)+D49</f>
        <v>-74</v>
      </c>
      <c r="Q59" s="76"/>
      <c r="V59" s="66"/>
      <c r="W59" s="66"/>
      <c r="X59" s="69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69"/>
    </row>
    <row r="61" spans="1:36" x14ac:dyDescent="0.2">
      <c r="A61" s="67" t="s">
        <v>112</v>
      </c>
      <c r="B61" s="788"/>
      <c r="D61" s="88">
        <v>7.7499999999999999E-2</v>
      </c>
      <c r="E61" s="88">
        <v>7.7499999999999999E-2</v>
      </c>
      <c r="F61" s="88">
        <v>7.7499999999999999E-2</v>
      </c>
      <c r="G61" s="88">
        <v>7.7499999999999999E-2</v>
      </c>
      <c r="H61" s="88">
        <v>7.7499999999999999E-2</v>
      </c>
      <c r="I61" s="88">
        <v>7.7499999999999999E-2</v>
      </c>
      <c r="J61" s="88">
        <v>7.7499999999999999E-2</v>
      </c>
      <c r="K61" s="88">
        <v>7.7499999999999999E-2</v>
      </c>
      <c r="L61" s="88">
        <v>7.7499999999999999E-2</v>
      </c>
      <c r="M61" s="88">
        <v>7.7499999999999999E-2</v>
      </c>
      <c r="N61" s="88">
        <v>7.7499999999999999E-2</v>
      </c>
      <c r="O61" s="88">
        <v>7.7499999999999999E-2</v>
      </c>
      <c r="V61" s="66"/>
      <c r="W61" s="66"/>
      <c r="X61" s="98"/>
      <c r="Y61" s="98"/>
      <c r="Z61" s="98"/>
      <c r="AA61" s="98"/>
      <c r="AB61" s="98"/>
      <c r="AC61" s="98"/>
      <c r="AD61" s="98"/>
      <c r="AE61" s="98"/>
      <c r="AF61" s="98"/>
      <c r="AG61" s="98"/>
      <c r="AH61" s="98"/>
      <c r="AI61" s="98"/>
    </row>
    <row r="62" spans="1:36" x14ac:dyDescent="0.2">
      <c r="A62" s="67" t="s">
        <v>66</v>
      </c>
      <c r="B62" s="788"/>
      <c r="D62" s="475">
        <f>ROUND((D61/365)*31,4)</f>
        <v>6.6E-3</v>
      </c>
      <c r="E62" s="475">
        <f>ROUND((E61/365)*28,4)</f>
        <v>5.8999999999999999E-3</v>
      </c>
      <c r="F62" s="475">
        <f>ROUND((F61/365)*31,4)</f>
        <v>6.6E-3</v>
      </c>
      <c r="G62" s="475">
        <f>ROUND((G61/365)*30,4)</f>
        <v>6.4000000000000003E-3</v>
      </c>
      <c r="H62" s="475">
        <f>ROUND((H61/365)*31,4)</f>
        <v>6.6E-3</v>
      </c>
      <c r="I62" s="475">
        <f>ROUND((I61/365)*30,4)</f>
        <v>6.4000000000000003E-3</v>
      </c>
      <c r="J62" s="475">
        <f t="shared" ref="J62:O62" si="13">ROUND((J61/365)*31,4)</f>
        <v>6.6E-3</v>
      </c>
      <c r="K62" s="475">
        <f t="shared" si="13"/>
        <v>6.6E-3</v>
      </c>
      <c r="L62" s="475">
        <f>ROUND((L61/365)*30,4)</f>
        <v>6.4000000000000003E-3</v>
      </c>
      <c r="M62" s="475">
        <f t="shared" si="13"/>
        <v>6.6E-3</v>
      </c>
      <c r="N62" s="475">
        <f>ROUND((N61/365)*30,4)</f>
        <v>6.4000000000000003E-3</v>
      </c>
      <c r="O62" s="475">
        <f t="shared" si="13"/>
        <v>6.6E-3</v>
      </c>
      <c r="Q62" s="99"/>
      <c r="V62" s="66"/>
      <c r="W62" s="66"/>
      <c r="X62" s="100"/>
      <c r="Y62" s="100"/>
      <c r="Z62" s="100"/>
      <c r="AA62" s="100"/>
      <c r="AB62" s="100"/>
      <c r="AC62" s="100"/>
      <c r="AD62" s="100"/>
      <c r="AE62" s="100"/>
      <c r="AF62" s="100"/>
      <c r="AG62" s="100"/>
      <c r="AH62" s="100"/>
      <c r="AI62" s="100"/>
    </row>
    <row r="63" spans="1:36" ht="6" customHeight="1" x14ac:dyDescent="0.2">
      <c r="A63" s="66"/>
      <c r="B63" s="788"/>
      <c r="R63" s="76"/>
      <c r="V63" s="66"/>
      <c r="W63" s="66"/>
    </row>
    <row r="64" spans="1:36" x14ac:dyDescent="0.2">
      <c r="A64" s="624" t="s">
        <v>67</v>
      </c>
      <c r="B64" s="789"/>
      <c r="C64" s="58"/>
      <c r="D64" s="625">
        <f t="shared" ref="D64:O64" si="14">ROUND(C59*D62,0)</f>
        <v>0</v>
      </c>
      <c r="E64" s="625">
        <f t="shared" si="14"/>
        <v>0</v>
      </c>
      <c r="F64" s="625">
        <f t="shared" si="14"/>
        <v>0</v>
      </c>
      <c r="G64" s="625">
        <f t="shared" si="14"/>
        <v>0</v>
      </c>
      <c r="H64" s="625">
        <f t="shared" si="14"/>
        <v>0</v>
      </c>
      <c r="I64" s="625">
        <f t="shared" si="14"/>
        <v>0</v>
      </c>
      <c r="J64" s="625">
        <f t="shared" si="14"/>
        <v>0</v>
      </c>
      <c r="K64" s="625">
        <f t="shared" si="14"/>
        <v>0</v>
      </c>
      <c r="L64" s="625">
        <f t="shared" si="14"/>
        <v>0</v>
      </c>
      <c r="M64" s="625">
        <f t="shared" si="14"/>
        <v>0</v>
      </c>
      <c r="N64" s="625">
        <f t="shared" si="14"/>
        <v>0</v>
      </c>
      <c r="O64" s="625">
        <f t="shared" si="14"/>
        <v>0</v>
      </c>
      <c r="P64" s="625">
        <f>SUM(D64:O64)</f>
        <v>0</v>
      </c>
      <c r="Q64" s="58"/>
      <c r="V64" s="66"/>
      <c r="W64" s="66"/>
      <c r="X64" s="69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</row>
    <row r="65" spans="1:36" x14ac:dyDescent="0.2">
      <c r="A65" s="351" t="s">
        <v>102</v>
      </c>
      <c r="D65" s="267">
        <v>0</v>
      </c>
      <c r="E65" s="267">
        <v>-1</v>
      </c>
      <c r="F65" s="267">
        <v>0</v>
      </c>
      <c r="G65" s="267">
        <v>-1</v>
      </c>
      <c r="H65" s="267">
        <v>0</v>
      </c>
      <c r="I65" s="267">
        <v>-1</v>
      </c>
      <c r="J65" s="267">
        <v>0</v>
      </c>
      <c r="K65" s="267">
        <v>-1</v>
      </c>
      <c r="L65" s="267">
        <v>0</v>
      </c>
      <c r="M65" s="267">
        <v>-1</v>
      </c>
      <c r="N65" s="267">
        <v>0</v>
      </c>
      <c r="O65" s="267">
        <v>-1</v>
      </c>
      <c r="P65" s="71">
        <f>SUM(D65:O65)</f>
        <v>-6</v>
      </c>
      <c r="Q65" s="58"/>
      <c r="V65" s="66"/>
      <c r="W65" s="66"/>
      <c r="X65" s="69"/>
      <c r="Y65" s="69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</row>
    <row r="66" spans="1:36" x14ac:dyDescent="0.2">
      <c r="A66" s="350" t="s">
        <v>113</v>
      </c>
      <c r="B66" s="789"/>
      <c r="C66" s="58"/>
      <c r="D66" s="74">
        <f>D64+D65</f>
        <v>0</v>
      </c>
      <c r="E66" s="74">
        <f t="shared" ref="E66:P66" si="15">E64+E65</f>
        <v>-1</v>
      </c>
      <c r="F66" s="74">
        <f t="shared" si="15"/>
        <v>0</v>
      </c>
      <c r="G66" s="74">
        <f t="shared" si="15"/>
        <v>-1</v>
      </c>
      <c r="H66" s="74">
        <f t="shared" si="15"/>
        <v>0</v>
      </c>
      <c r="I66" s="74">
        <f t="shared" si="15"/>
        <v>-1</v>
      </c>
      <c r="J66" s="74">
        <f t="shared" si="15"/>
        <v>0</v>
      </c>
      <c r="K66" s="74">
        <f t="shared" si="15"/>
        <v>-1</v>
      </c>
      <c r="L66" s="74">
        <f t="shared" si="15"/>
        <v>0</v>
      </c>
      <c r="M66" s="74">
        <f t="shared" si="15"/>
        <v>-1</v>
      </c>
      <c r="N66" s="74">
        <f t="shared" si="15"/>
        <v>0</v>
      </c>
      <c r="O66" s="74">
        <f t="shared" si="15"/>
        <v>-1</v>
      </c>
      <c r="P66" s="74">
        <f t="shared" si="15"/>
        <v>-6</v>
      </c>
      <c r="Q66" s="58"/>
      <c r="V66" s="66"/>
      <c r="W66" s="66"/>
      <c r="X66" s="69"/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69"/>
      <c r="AJ66" s="69"/>
    </row>
    <row r="67" spans="1:36" ht="6" customHeight="1" x14ac:dyDescent="0.2">
      <c r="A67" s="66"/>
      <c r="B67" s="788"/>
      <c r="R67" s="76"/>
      <c r="V67" s="66"/>
      <c r="W67" s="66"/>
    </row>
    <row r="68" spans="1:36" x14ac:dyDescent="0.2">
      <c r="A68" s="344" t="s">
        <v>68</v>
      </c>
      <c r="B68" s="788"/>
      <c r="D68" s="69">
        <f>D66</f>
        <v>0</v>
      </c>
      <c r="E68" s="69">
        <f>E66+D68</f>
        <v>-1</v>
      </c>
      <c r="F68" s="69">
        <f>F66+E68</f>
        <v>-1</v>
      </c>
      <c r="G68" s="69">
        <f t="shared" ref="G68:O68" si="16">G66+F68</f>
        <v>-2</v>
      </c>
      <c r="H68" s="69">
        <f t="shared" si="16"/>
        <v>-2</v>
      </c>
      <c r="I68" s="69">
        <f t="shared" si="16"/>
        <v>-3</v>
      </c>
      <c r="J68" s="69">
        <f t="shared" si="16"/>
        <v>-3</v>
      </c>
      <c r="K68" s="69">
        <f t="shared" si="16"/>
        <v>-4</v>
      </c>
      <c r="L68" s="69">
        <f t="shared" si="16"/>
        <v>-4</v>
      </c>
      <c r="M68" s="69">
        <f t="shared" si="16"/>
        <v>-5</v>
      </c>
      <c r="N68" s="69">
        <f t="shared" si="16"/>
        <v>-5</v>
      </c>
      <c r="O68" s="69">
        <f t="shared" si="16"/>
        <v>-6</v>
      </c>
      <c r="V68" s="66"/>
      <c r="W68" s="66"/>
      <c r="X68" s="69"/>
      <c r="Y68" s="69"/>
      <c r="Z68" s="69"/>
      <c r="AA68" s="69"/>
      <c r="AB68" s="69"/>
      <c r="AC68" s="69"/>
      <c r="AD68" s="69"/>
      <c r="AE68" s="69"/>
      <c r="AF68" s="69"/>
      <c r="AG68" s="69"/>
      <c r="AH68" s="69"/>
      <c r="AI68" s="69"/>
    </row>
    <row r="69" spans="1:36" customFormat="1" ht="6" customHeight="1" x14ac:dyDescent="0.2">
      <c r="B69" s="691"/>
    </row>
    <row r="70" spans="1:36" customFormat="1" x14ac:dyDescent="0.2">
      <c r="B70" s="691"/>
    </row>
    <row r="71" spans="1:36" x14ac:dyDescent="0.2">
      <c r="A71" s="605" t="str">
        <f ca="1">CELL("FILENAME")</f>
        <v>C:\Users\Felienne\Enron\EnronSpreadsheets\[tracy_geaccone__40367__EMNNG02PL.xls]IncomeState</v>
      </c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</row>
    <row r="72" spans="1:36" x14ac:dyDescent="0.2">
      <c r="A72" s="340" t="s">
        <v>115</v>
      </c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</row>
    <row r="73" spans="1:36" x14ac:dyDescent="0.2">
      <c r="A73" s="355" t="str">
        <f>A3</f>
        <v>2002 OPERATING PLAN</v>
      </c>
      <c r="B73" s="786">
        <f ca="1">NOW()</f>
        <v>41887.551126967592</v>
      </c>
      <c r="C73" s="489" t="s">
        <v>116</v>
      </c>
      <c r="D73" s="60"/>
      <c r="E73" s="59"/>
      <c r="F73" s="59"/>
      <c r="G73" s="60"/>
      <c r="H73" s="60"/>
      <c r="I73" s="60"/>
      <c r="J73" s="59"/>
      <c r="K73" s="59"/>
      <c r="L73" s="59"/>
      <c r="M73" s="59"/>
      <c r="N73" s="59"/>
      <c r="O73" s="59"/>
      <c r="P73" s="90"/>
    </row>
    <row r="74" spans="1:36" ht="12.95" customHeight="1" x14ac:dyDescent="0.2">
      <c r="A74" s="61"/>
      <c r="B74" s="787">
        <f ca="1">NOW()</f>
        <v>41887.55112708333</v>
      </c>
      <c r="C74" s="338" t="str">
        <f t="shared" ref="C74:P74" si="17">C4</f>
        <v>BALANCE</v>
      </c>
      <c r="D74" s="338" t="str">
        <f t="shared" si="17"/>
        <v>JAN</v>
      </c>
      <c r="E74" s="338" t="str">
        <f t="shared" si="17"/>
        <v>FEB</v>
      </c>
      <c r="F74" s="338" t="str">
        <f t="shared" si="17"/>
        <v>MAR</v>
      </c>
      <c r="G74" s="338" t="str">
        <f t="shared" si="17"/>
        <v>APR</v>
      </c>
      <c r="H74" s="338" t="str">
        <f t="shared" si="17"/>
        <v>MAY</v>
      </c>
      <c r="I74" s="338" t="str">
        <f t="shared" si="17"/>
        <v>JUN</v>
      </c>
      <c r="J74" s="338" t="str">
        <f t="shared" si="17"/>
        <v>JUL</v>
      </c>
      <c r="K74" s="338" t="str">
        <f t="shared" si="17"/>
        <v>AUG</v>
      </c>
      <c r="L74" s="338" t="str">
        <f t="shared" si="17"/>
        <v>SEP</v>
      </c>
      <c r="M74" s="338" t="str">
        <f t="shared" si="17"/>
        <v>OCT</v>
      </c>
      <c r="N74" s="338" t="str">
        <f t="shared" si="17"/>
        <v>NOV</v>
      </c>
      <c r="O74" s="338" t="str">
        <f t="shared" si="17"/>
        <v>DEC</v>
      </c>
      <c r="P74" s="338" t="str">
        <f t="shared" si="17"/>
        <v>2002</v>
      </c>
    </row>
    <row r="75" spans="1:36" ht="3.95" customHeight="1" x14ac:dyDescent="0.2"/>
    <row r="76" spans="1:36" x14ac:dyDescent="0.2">
      <c r="A76" s="357" t="s">
        <v>117</v>
      </c>
      <c r="B76" s="91"/>
      <c r="C76" s="62" t="str">
        <f>C47</f>
        <v>DEC.,2001</v>
      </c>
    </row>
    <row r="77" spans="1:36" ht="3.95" customHeight="1" x14ac:dyDescent="0.2">
      <c r="A77" s="358"/>
      <c r="B77" s="793"/>
      <c r="C77" s="345"/>
    </row>
    <row r="78" spans="1:36" x14ac:dyDescent="0.2">
      <c r="A78" s="344" t="s">
        <v>59</v>
      </c>
      <c r="B78" s="793"/>
      <c r="C78" s="345"/>
      <c r="D78" s="69">
        <f t="shared" ref="D78:O78" si="18">C88</f>
        <v>0</v>
      </c>
      <c r="E78" s="69">
        <f t="shared" si="18"/>
        <v>0</v>
      </c>
      <c r="F78" s="69">
        <f t="shared" si="18"/>
        <v>0</v>
      </c>
      <c r="G78" s="69">
        <f t="shared" si="18"/>
        <v>0</v>
      </c>
      <c r="H78" s="69">
        <f t="shared" si="18"/>
        <v>0</v>
      </c>
      <c r="I78" s="69">
        <f t="shared" si="18"/>
        <v>0</v>
      </c>
      <c r="J78" s="69">
        <f t="shared" si="18"/>
        <v>0</v>
      </c>
      <c r="K78" s="69">
        <f t="shared" si="18"/>
        <v>0</v>
      </c>
      <c r="L78" s="69">
        <f t="shared" si="18"/>
        <v>0</v>
      </c>
      <c r="M78" s="69">
        <f t="shared" si="18"/>
        <v>0</v>
      </c>
      <c r="N78" s="69">
        <f t="shared" si="18"/>
        <v>0</v>
      </c>
      <c r="O78" s="69">
        <f t="shared" si="18"/>
        <v>0</v>
      </c>
      <c r="P78" s="69"/>
      <c r="Q78" s="69"/>
      <c r="R78" s="69"/>
      <c r="S78" s="69"/>
      <c r="T78" s="69"/>
      <c r="U78" s="69"/>
    </row>
    <row r="79" spans="1:36" ht="6" customHeight="1" x14ac:dyDescent="0.2">
      <c r="A79" s="345"/>
      <c r="B79" s="793"/>
      <c r="C79" s="345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</row>
    <row r="80" spans="1:36" x14ac:dyDescent="0.2">
      <c r="A80" s="67" t="s">
        <v>118</v>
      </c>
      <c r="B80" s="793"/>
      <c r="C80" s="345"/>
      <c r="D80" s="69">
        <f t="shared" ref="D80:O80" si="19">D41</f>
        <v>0</v>
      </c>
      <c r="E80" s="69">
        <f t="shared" si="19"/>
        <v>0</v>
      </c>
      <c r="F80" s="69">
        <f t="shared" si="19"/>
        <v>0</v>
      </c>
      <c r="G80" s="69">
        <f t="shared" si="19"/>
        <v>0</v>
      </c>
      <c r="H80" s="69">
        <f t="shared" si="19"/>
        <v>0</v>
      </c>
      <c r="I80" s="69">
        <f t="shared" si="19"/>
        <v>0</v>
      </c>
      <c r="J80" s="69">
        <f t="shared" si="19"/>
        <v>0</v>
      </c>
      <c r="K80" s="69">
        <f t="shared" si="19"/>
        <v>0</v>
      </c>
      <c r="L80" s="69">
        <f t="shared" si="19"/>
        <v>0</v>
      </c>
      <c r="M80" s="69">
        <f t="shared" si="19"/>
        <v>0</v>
      </c>
      <c r="N80" s="69">
        <f t="shared" si="19"/>
        <v>0</v>
      </c>
      <c r="O80" s="69">
        <f t="shared" si="19"/>
        <v>0</v>
      </c>
      <c r="P80" s="74">
        <f>SUM(D80:O80)</f>
        <v>0</v>
      </c>
      <c r="Q80" s="69"/>
      <c r="R80" s="69"/>
      <c r="S80" s="69"/>
      <c r="T80" s="69"/>
      <c r="U80" s="69"/>
    </row>
    <row r="81" spans="1:21" ht="6" customHeight="1" x14ac:dyDescent="0.2">
      <c r="A81" s="66"/>
      <c r="B81" s="788"/>
      <c r="C81" s="345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</row>
    <row r="82" spans="1:21" x14ac:dyDescent="0.2">
      <c r="A82" s="67" t="s">
        <v>110</v>
      </c>
      <c r="B82" s="793"/>
      <c r="C82" s="345"/>
      <c r="D82" s="68">
        <v>0</v>
      </c>
      <c r="E82" s="68">
        <v>0</v>
      </c>
      <c r="F82" s="68">
        <v>0</v>
      </c>
      <c r="G82" s="68">
        <v>0</v>
      </c>
      <c r="H82" s="68">
        <v>0</v>
      </c>
      <c r="I82" s="68">
        <v>0</v>
      </c>
      <c r="J82" s="68">
        <v>0</v>
      </c>
      <c r="K82" s="68">
        <v>0</v>
      </c>
      <c r="L82" s="68">
        <v>0</v>
      </c>
      <c r="M82" s="68">
        <v>0</v>
      </c>
      <c r="N82" s="68">
        <v>0</v>
      </c>
      <c r="O82" s="68">
        <v>0</v>
      </c>
      <c r="P82" s="74">
        <f>SUM(D82:O82)</f>
        <v>0</v>
      </c>
    </row>
    <row r="83" spans="1:21" ht="6" customHeight="1" x14ac:dyDescent="0.2">
      <c r="A83" s="345"/>
      <c r="B83" s="793"/>
      <c r="C83" s="345"/>
    </row>
    <row r="84" spans="1:21" x14ac:dyDescent="0.2">
      <c r="A84" s="351" t="s">
        <v>119</v>
      </c>
      <c r="B84" s="793"/>
      <c r="C84" s="345"/>
      <c r="D84" s="68">
        <v>0</v>
      </c>
      <c r="E84" s="68">
        <v>0</v>
      </c>
      <c r="F84" s="68">
        <v>0</v>
      </c>
      <c r="G84" s="68">
        <v>0</v>
      </c>
      <c r="H84" s="68">
        <v>0</v>
      </c>
      <c r="I84" s="68">
        <v>0</v>
      </c>
      <c r="J84" s="68">
        <v>0</v>
      </c>
      <c r="K84" s="68">
        <v>0</v>
      </c>
      <c r="L84" s="68">
        <v>0</v>
      </c>
      <c r="M84" s="68">
        <v>0</v>
      </c>
      <c r="N84" s="68">
        <v>0</v>
      </c>
      <c r="O84" s="68">
        <v>0</v>
      </c>
      <c r="P84" s="74">
        <f>SUM(D84:O84)</f>
        <v>0</v>
      </c>
      <c r="Q84" s="69"/>
      <c r="R84" s="69"/>
      <c r="S84" s="69"/>
      <c r="T84" s="69"/>
    </row>
    <row r="85" spans="1:21" ht="6" customHeight="1" x14ac:dyDescent="0.2">
      <c r="A85" s="345"/>
      <c r="B85" s="793"/>
      <c r="C85" s="345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64"/>
    </row>
    <row r="86" spans="1:21" x14ac:dyDescent="0.2">
      <c r="A86" s="67" t="s">
        <v>111</v>
      </c>
      <c r="B86" s="793"/>
      <c r="C86" s="345"/>
      <c r="D86" s="71">
        <f t="shared" ref="D86:O86" si="20">D95</f>
        <v>0</v>
      </c>
      <c r="E86" s="71">
        <f t="shared" si="20"/>
        <v>0</v>
      </c>
      <c r="F86" s="71">
        <f t="shared" si="20"/>
        <v>0</v>
      </c>
      <c r="G86" s="71">
        <f t="shared" si="20"/>
        <v>0</v>
      </c>
      <c r="H86" s="71">
        <f t="shared" si="20"/>
        <v>0</v>
      </c>
      <c r="I86" s="71">
        <f t="shared" si="20"/>
        <v>0</v>
      </c>
      <c r="J86" s="71">
        <f t="shared" si="20"/>
        <v>0</v>
      </c>
      <c r="K86" s="71">
        <f t="shared" si="20"/>
        <v>0</v>
      </c>
      <c r="L86" s="71">
        <f t="shared" si="20"/>
        <v>0</v>
      </c>
      <c r="M86" s="71">
        <f t="shared" si="20"/>
        <v>0</v>
      </c>
      <c r="N86" s="71">
        <f t="shared" si="20"/>
        <v>0</v>
      </c>
      <c r="O86" s="71">
        <f t="shared" si="20"/>
        <v>0</v>
      </c>
      <c r="P86" s="87">
        <f>SUM(D86:O86)</f>
        <v>0</v>
      </c>
      <c r="Q86" s="69"/>
      <c r="R86" s="69"/>
      <c r="S86" s="69"/>
      <c r="T86" s="69"/>
      <c r="U86" s="69"/>
    </row>
    <row r="87" spans="1:21" ht="3.95" customHeight="1" x14ac:dyDescent="0.2">
      <c r="A87" s="345"/>
      <c r="B87" s="793"/>
      <c r="C87" s="345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</row>
    <row r="88" spans="1:21" x14ac:dyDescent="0.2">
      <c r="A88" s="344" t="s">
        <v>64</v>
      </c>
      <c r="B88" s="793"/>
      <c r="C88" s="264">
        <v>0</v>
      </c>
      <c r="D88" s="87">
        <f t="shared" ref="D88:P88" si="21">D78+D80+D82+D84+D86</f>
        <v>0</v>
      </c>
      <c r="E88" s="87">
        <f t="shared" si="21"/>
        <v>0</v>
      </c>
      <c r="F88" s="87">
        <f t="shared" si="21"/>
        <v>0</v>
      </c>
      <c r="G88" s="87">
        <f t="shared" si="21"/>
        <v>0</v>
      </c>
      <c r="H88" s="87">
        <f t="shared" si="21"/>
        <v>0</v>
      </c>
      <c r="I88" s="87">
        <f t="shared" si="21"/>
        <v>0</v>
      </c>
      <c r="J88" s="87">
        <f t="shared" si="21"/>
        <v>0</v>
      </c>
      <c r="K88" s="87">
        <f t="shared" si="21"/>
        <v>0</v>
      </c>
      <c r="L88" s="87">
        <f t="shared" si="21"/>
        <v>0</v>
      </c>
      <c r="M88" s="87">
        <f t="shared" si="21"/>
        <v>0</v>
      </c>
      <c r="N88" s="87">
        <f t="shared" si="21"/>
        <v>0</v>
      </c>
      <c r="O88" s="87">
        <f t="shared" si="21"/>
        <v>0</v>
      </c>
      <c r="P88" s="87">
        <f t="shared" si="21"/>
        <v>0</v>
      </c>
      <c r="Q88" s="69"/>
      <c r="R88" s="69"/>
      <c r="S88" s="69"/>
      <c r="T88" s="69"/>
      <c r="U88" s="69"/>
    </row>
    <row r="90" spans="1:21" x14ac:dyDescent="0.2">
      <c r="A90" s="626" t="str">
        <f>A61</f>
        <v xml:space="preserve">   Interest Rate </v>
      </c>
      <c r="B90" s="788"/>
      <c r="D90" s="97">
        <f t="shared" ref="D90:O90" si="22">D61</f>
        <v>7.7499999999999999E-2</v>
      </c>
      <c r="E90" s="97">
        <f t="shared" si="22"/>
        <v>7.7499999999999999E-2</v>
      </c>
      <c r="F90" s="97">
        <f t="shared" si="22"/>
        <v>7.7499999999999999E-2</v>
      </c>
      <c r="G90" s="97">
        <f t="shared" si="22"/>
        <v>7.7499999999999999E-2</v>
      </c>
      <c r="H90" s="97">
        <f t="shared" si="22"/>
        <v>7.7499999999999999E-2</v>
      </c>
      <c r="I90" s="97">
        <f t="shared" si="22"/>
        <v>7.7499999999999999E-2</v>
      </c>
      <c r="J90" s="97">
        <f t="shared" si="22"/>
        <v>7.7499999999999999E-2</v>
      </c>
      <c r="K90" s="97">
        <f t="shared" si="22"/>
        <v>7.7499999999999999E-2</v>
      </c>
      <c r="L90" s="97">
        <f t="shared" si="22"/>
        <v>7.7499999999999999E-2</v>
      </c>
      <c r="M90" s="97">
        <f t="shared" si="22"/>
        <v>7.7499999999999999E-2</v>
      </c>
      <c r="N90" s="97">
        <f t="shared" si="22"/>
        <v>7.7499999999999999E-2</v>
      </c>
      <c r="O90" s="97">
        <f t="shared" si="22"/>
        <v>7.7499999999999999E-2</v>
      </c>
    </row>
    <row r="91" spans="1:21" x14ac:dyDescent="0.2">
      <c r="A91" s="626" t="str">
        <f>A62</f>
        <v xml:space="preserve">      Monthly</v>
      </c>
      <c r="B91" s="788"/>
      <c r="D91" s="89">
        <f t="shared" ref="D91:O91" si="23">D563</f>
        <v>6.6E-3</v>
      </c>
      <c r="E91" s="89">
        <f t="shared" si="23"/>
        <v>5.8999999999999999E-3</v>
      </c>
      <c r="F91" s="89">
        <f t="shared" si="23"/>
        <v>6.6E-3</v>
      </c>
      <c r="G91" s="89">
        <f t="shared" si="23"/>
        <v>6.4000000000000003E-3</v>
      </c>
      <c r="H91" s="89">
        <f t="shared" si="23"/>
        <v>6.6E-3</v>
      </c>
      <c r="I91" s="89">
        <f t="shared" si="23"/>
        <v>6.4000000000000003E-3</v>
      </c>
      <c r="J91" s="89">
        <f t="shared" si="23"/>
        <v>6.6E-3</v>
      </c>
      <c r="K91" s="89">
        <f t="shared" si="23"/>
        <v>6.6E-3</v>
      </c>
      <c r="L91" s="89">
        <f t="shared" si="23"/>
        <v>6.4000000000000003E-3</v>
      </c>
      <c r="M91" s="89">
        <f t="shared" si="23"/>
        <v>6.6E-3</v>
      </c>
      <c r="N91" s="89">
        <f t="shared" si="23"/>
        <v>6.4000000000000003E-3</v>
      </c>
      <c r="O91" s="89">
        <f t="shared" si="23"/>
        <v>6.6E-3</v>
      </c>
    </row>
    <row r="92" spans="1:21" ht="12.75" customHeight="1" x14ac:dyDescent="0.2">
      <c r="A92" s="66"/>
      <c r="B92" s="788"/>
    </row>
    <row r="93" spans="1:21" x14ac:dyDescent="0.2">
      <c r="A93" s="624" t="s">
        <v>120</v>
      </c>
      <c r="B93" s="789"/>
      <c r="C93" s="58"/>
      <c r="D93" s="625">
        <f t="shared" ref="D93:O93" si="24">ROUND(C88*D91,0)</f>
        <v>0</v>
      </c>
      <c r="E93" s="625">
        <f t="shared" si="24"/>
        <v>0</v>
      </c>
      <c r="F93" s="625">
        <f t="shared" si="24"/>
        <v>0</v>
      </c>
      <c r="G93" s="625">
        <f t="shared" si="24"/>
        <v>0</v>
      </c>
      <c r="H93" s="625">
        <f t="shared" si="24"/>
        <v>0</v>
      </c>
      <c r="I93" s="625">
        <f t="shared" si="24"/>
        <v>0</v>
      </c>
      <c r="J93" s="625">
        <f t="shared" si="24"/>
        <v>0</v>
      </c>
      <c r="K93" s="625">
        <f t="shared" si="24"/>
        <v>0</v>
      </c>
      <c r="L93" s="625">
        <f t="shared" si="24"/>
        <v>0</v>
      </c>
      <c r="M93" s="625">
        <f t="shared" si="24"/>
        <v>0</v>
      </c>
      <c r="N93" s="625">
        <f t="shared" si="24"/>
        <v>0</v>
      </c>
      <c r="O93" s="625">
        <f t="shared" si="24"/>
        <v>0</v>
      </c>
      <c r="P93" s="625">
        <f>SUM(D93:O93)</f>
        <v>0</v>
      </c>
    </row>
    <row r="94" spans="1:21" x14ac:dyDescent="0.2">
      <c r="A94" s="351" t="s">
        <v>102</v>
      </c>
      <c r="D94" s="267">
        <v>0</v>
      </c>
      <c r="E94" s="267">
        <v>0</v>
      </c>
      <c r="F94" s="267">
        <v>0</v>
      </c>
      <c r="G94" s="267">
        <v>0</v>
      </c>
      <c r="H94" s="267">
        <v>0</v>
      </c>
      <c r="I94" s="267">
        <v>0</v>
      </c>
      <c r="J94" s="267">
        <v>0</v>
      </c>
      <c r="K94" s="267">
        <v>0</v>
      </c>
      <c r="L94" s="267">
        <v>0</v>
      </c>
      <c r="M94" s="267">
        <v>0</v>
      </c>
      <c r="N94" s="267">
        <v>0</v>
      </c>
      <c r="O94" s="267">
        <v>0</v>
      </c>
      <c r="P94" s="71">
        <f>SUM(D94:O94)</f>
        <v>0</v>
      </c>
    </row>
    <row r="95" spans="1:21" x14ac:dyDescent="0.2">
      <c r="A95" s="627" t="str">
        <f>A66</f>
        <v xml:space="preserve">      Total Current Month Carrying Charges</v>
      </c>
      <c r="B95" s="789"/>
      <c r="C95" s="58"/>
      <c r="D95" s="74">
        <f>D93+D94</f>
        <v>0</v>
      </c>
      <c r="E95" s="74">
        <f t="shared" ref="E95:P95" si="25">E93+E94</f>
        <v>0</v>
      </c>
      <c r="F95" s="74">
        <f t="shared" si="25"/>
        <v>0</v>
      </c>
      <c r="G95" s="74">
        <f t="shared" si="25"/>
        <v>0</v>
      </c>
      <c r="H95" s="74">
        <f t="shared" si="25"/>
        <v>0</v>
      </c>
      <c r="I95" s="74">
        <f t="shared" si="25"/>
        <v>0</v>
      </c>
      <c r="J95" s="74">
        <f t="shared" si="25"/>
        <v>0</v>
      </c>
      <c r="K95" s="74">
        <f t="shared" si="25"/>
        <v>0</v>
      </c>
      <c r="L95" s="74">
        <f t="shared" si="25"/>
        <v>0</v>
      </c>
      <c r="M95" s="74">
        <f t="shared" si="25"/>
        <v>0</v>
      </c>
      <c r="N95" s="74">
        <f t="shared" si="25"/>
        <v>0</v>
      </c>
      <c r="O95" s="74">
        <f t="shared" si="25"/>
        <v>0</v>
      </c>
      <c r="P95" s="74">
        <f t="shared" si="25"/>
        <v>0</v>
      </c>
    </row>
    <row r="96" spans="1:21" ht="6" customHeight="1" x14ac:dyDescent="0.2">
      <c r="A96" s="66"/>
      <c r="B96" s="788"/>
    </row>
    <row r="97" spans="1:16" ht="12.75" customHeight="1" x14ac:dyDescent="0.2">
      <c r="A97" s="627" t="str">
        <f>A68</f>
        <v xml:space="preserve">      Cumulative Carrying Charges</v>
      </c>
      <c r="B97" s="788"/>
      <c r="D97" s="69">
        <f>D95</f>
        <v>0</v>
      </c>
      <c r="E97" s="69">
        <f>E95+D97</f>
        <v>0</v>
      </c>
      <c r="F97" s="69">
        <f>F95+E97</f>
        <v>0</v>
      </c>
      <c r="G97" s="69">
        <f t="shared" ref="G97:O97" si="26">G95+F97</f>
        <v>0</v>
      </c>
      <c r="H97" s="69">
        <f t="shared" si="26"/>
        <v>0</v>
      </c>
      <c r="I97" s="69">
        <f t="shared" si="26"/>
        <v>0</v>
      </c>
      <c r="J97" s="69">
        <f t="shared" si="26"/>
        <v>0</v>
      </c>
      <c r="K97" s="69">
        <f t="shared" si="26"/>
        <v>0</v>
      </c>
      <c r="L97" s="69">
        <f t="shared" si="26"/>
        <v>0</v>
      </c>
      <c r="M97" s="69">
        <f t="shared" si="26"/>
        <v>0</v>
      </c>
      <c r="N97" s="69">
        <f t="shared" si="26"/>
        <v>0</v>
      </c>
      <c r="O97" s="69">
        <f t="shared" si="26"/>
        <v>0</v>
      </c>
    </row>
    <row r="98" spans="1:16" ht="6" customHeight="1" x14ac:dyDescent="0.2">
      <c r="A98"/>
      <c r="B98" s="788"/>
      <c r="D98"/>
      <c r="E98"/>
      <c r="F98"/>
      <c r="G98"/>
      <c r="H98"/>
      <c r="I98"/>
      <c r="J98"/>
      <c r="K98"/>
      <c r="L98"/>
      <c r="M98"/>
      <c r="N98"/>
      <c r="O98"/>
    </row>
    <row r="100" spans="1:16" x14ac:dyDescent="0.2">
      <c r="A100" s="605" t="str">
        <f ca="1">CELL("FILENAME")</f>
        <v>C:\Users\Felienne\Enron\EnronSpreadsheets\[tracy_geaccone__40367__EMNNG02PL.xls]IncomeState</v>
      </c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</row>
    <row r="101" spans="1:16" x14ac:dyDescent="0.2">
      <c r="A101" s="340" t="s">
        <v>121</v>
      </c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</row>
    <row r="102" spans="1:16" x14ac:dyDescent="0.2">
      <c r="A102" s="355" t="str">
        <f>A3</f>
        <v>2002 OPERATING PLAN</v>
      </c>
      <c r="B102" s="786">
        <f ca="1">NOW()</f>
        <v>41887.551126967592</v>
      </c>
      <c r="C102" s="489" t="s">
        <v>122</v>
      </c>
      <c r="D102" s="60"/>
      <c r="E102" s="59"/>
      <c r="F102" s="59"/>
      <c r="G102" s="60"/>
      <c r="H102" s="60"/>
      <c r="I102" s="60"/>
      <c r="J102" s="59"/>
      <c r="K102" s="59"/>
      <c r="L102" s="59"/>
      <c r="M102" s="59"/>
      <c r="N102" s="59"/>
      <c r="O102" s="59"/>
      <c r="P102" s="90"/>
    </row>
    <row r="103" spans="1:16" ht="12.95" customHeight="1" x14ac:dyDescent="0.2">
      <c r="A103" s="61"/>
      <c r="B103" s="787">
        <f ca="1">NOW()</f>
        <v>41887.551126967592</v>
      </c>
      <c r="C103" s="338" t="str">
        <f t="shared" ref="C103:P103" si="27">C4</f>
        <v>BALANCE</v>
      </c>
      <c r="D103" s="338" t="str">
        <f t="shared" si="27"/>
        <v>JAN</v>
      </c>
      <c r="E103" s="338" t="str">
        <f t="shared" si="27"/>
        <v>FEB</v>
      </c>
      <c r="F103" s="338" t="str">
        <f t="shared" si="27"/>
        <v>MAR</v>
      </c>
      <c r="G103" s="338" t="str">
        <f t="shared" si="27"/>
        <v>APR</v>
      </c>
      <c r="H103" s="338" t="str">
        <f t="shared" si="27"/>
        <v>MAY</v>
      </c>
      <c r="I103" s="338" t="str">
        <f t="shared" si="27"/>
        <v>JUN</v>
      </c>
      <c r="J103" s="338" t="str">
        <f t="shared" si="27"/>
        <v>JUL</v>
      </c>
      <c r="K103" s="338" t="str">
        <f t="shared" si="27"/>
        <v>AUG</v>
      </c>
      <c r="L103" s="338" t="str">
        <f t="shared" si="27"/>
        <v>SEP</v>
      </c>
      <c r="M103" s="338" t="str">
        <f t="shared" si="27"/>
        <v>OCT</v>
      </c>
      <c r="N103" s="338" t="str">
        <f t="shared" si="27"/>
        <v>NOV</v>
      </c>
      <c r="O103" s="338" t="str">
        <f t="shared" si="27"/>
        <v>DEC</v>
      </c>
      <c r="P103" s="338" t="str">
        <f t="shared" si="27"/>
        <v>2002</v>
      </c>
    </row>
    <row r="104" spans="1:16" ht="3.95" customHeight="1" x14ac:dyDescent="0.2"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4"/>
    </row>
    <row r="105" spans="1:16" x14ac:dyDescent="0.2">
      <c r="A105" s="344" t="s">
        <v>123</v>
      </c>
      <c r="B105" s="788"/>
    </row>
    <row r="106" spans="1:16" x14ac:dyDescent="0.2">
      <c r="A106" s="67" t="s">
        <v>9</v>
      </c>
      <c r="B106" s="788"/>
      <c r="D106" s="68">
        <v>0</v>
      </c>
      <c r="E106" s="68">
        <v>0</v>
      </c>
      <c r="F106" s="68">
        <v>0</v>
      </c>
      <c r="G106" s="68">
        <v>0</v>
      </c>
      <c r="H106" s="68">
        <v>0</v>
      </c>
      <c r="I106" s="68">
        <v>0</v>
      </c>
      <c r="J106" s="68">
        <v>0</v>
      </c>
      <c r="K106" s="68">
        <v>0</v>
      </c>
      <c r="L106" s="68">
        <v>0</v>
      </c>
      <c r="M106" s="68">
        <v>0</v>
      </c>
      <c r="N106" s="68">
        <v>0</v>
      </c>
      <c r="O106" s="68">
        <v>0</v>
      </c>
      <c r="P106" s="69">
        <f>SUM(D106:O106)</f>
        <v>0</v>
      </c>
    </row>
    <row r="107" spans="1:16" x14ac:dyDescent="0.2">
      <c r="A107" s="351" t="s">
        <v>82</v>
      </c>
      <c r="D107" s="68">
        <v>0</v>
      </c>
      <c r="E107" s="68">
        <v>0</v>
      </c>
      <c r="F107" s="68">
        <v>0</v>
      </c>
      <c r="G107" s="68">
        <v>0</v>
      </c>
      <c r="H107" s="68">
        <v>0</v>
      </c>
      <c r="I107" s="68">
        <v>0</v>
      </c>
      <c r="J107" s="68">
        <v>0</v>
      </c>
      <c r="K107" s="68">
        <v>0</v>
      </c>
      <c r="L107" s="68">
        <v>0</v>
      </c>
      <c r="M107" s="68">
        <v>0</v>
      </c>
      <c r="N107" s="68">
        <v>0</v>
      </c>
      <c r="O107" s="68">
        <v>0</v>
      </c>
      <c r="P107" s="69">
        <f>SUM(D107:O107)</f>
        <v>0</v>
      </c>
    </row>
    <row r="108" spans="1:16" x14ac:dyDescent="0.2">
      <c r="A108" s="351" t="s">
        <v>85</v>
      </c>
      <c r="D108" s="267">
        <v>0</v>
      </c>
      <c r="E108" s="267">
        <v>0</v>
      </c>
      <c r="F108" s="267">
        <v>0</v>
      </c>
      <c r="G108" s="267">
        <v>0</v>
      </c>
      <c r="H108" s="267">
        <v>0</v>
      </c>
      <c r="I108" s="267">
        <v>0</v>
      </c>
      <c r="J108" s="267">
        <v>0</v>
      </c>
      <c r="K108" s="267">
        <v>0</v>
      </c>
      <c r="L108" s="267">
        <v>0</v>
      </c>
      <c r="M108" s="267">
        <v>0</v>
      </c>
      <c r="N108" s="267">
        <v>0</v>
      </c>
      <c r="O108" s="267">
        <v>0</v>
      </c>
      <c r="P108" s="71">
        <f>SUM(D108:O108)</f>
        <v>0</v>
      </c>
    </row>
    <row r="109" spans="1:16" ht="3.95" customHeight="1" x14ac:dyDescent="0.2"/>
    <row r="110" spans="1:16" x14ac:dyDescent="0.2">
      <c r="A110" s="67" t="s">
        <v>12</v>
      </c>
      <c r="B110" s="788"/>
      <c r="D110" s="69">
        <f t="shared" ref="D110:O110" si="28">D106+D107+D108</f>
        <v>0</v>
      </c>
      <c r="E110" s="69">
        <f t="shared" si="28"/>
        <v>0</v>
      </c>
      <c r="F110" s="69">
        <f t="shared" si="28"/>
        <v>0</v>
      </c>
      <c r="G110" s="69">
        <f t="shared" si="28"/>
        <v>0</v>
      </c>
      <c r="H110" s="69">
        <f t="shared" si="28"/>
        <v>0</v>
      </c>
      <c r="I110" s="69">
        <f t="shared" si="28"/>
        <v>0</v>
      </c>
      <c r="J110" s="69">
        <f t="shared" si="28"/>
        <v>0</v>
      </c>
      <c r="K110" s="69">
        <f t="shared" si="28"/>
        <v>0</v>
      </c>
      <c r="L110" s="69">
        <f t="shared" si="28"/>
        <v>0</v>
      </c>
      <c r="M110" s="69">
        <f t="shared" si="28"/>
        <v>0</v>
      </c>
      <c r="N110" s="69">
        <f t="shared" si="28"/>
        <v>0</v>
      </c>
      <c r="O110" s="69">
        <f t="shared" si="28"/>
        <v>0</v>
      </c>
      <c r="P110" s="69">
        <f>SUM(D110:O110)</f>
        <v>0</v>
      </c>
    </row>
    <row r="111" spans="1:16" ht="6" customHeight="1" x14ac:dyDescent="0.2"/>
    <row r="112" spans="1:16" x14ac:dyDescent="0.2">
      <c r="A112" s="351" t="s">
        <v>88</v>
      </c>
      <c r="B112" s="788"/>
      <c r="D112" s="72">
        <f t="shared" ref="D112:P112" si="29">IF(D110=0,0,ROUND(D114/D110,4))</f>
        <v>0</v>
      </c>
      <c r="E112" s="72">
        <f t="shared" si="29"/>
        <v>0</v>
      </c>
      <c r="F112" s="72">
        <f t="shared" si="29"/>
        <v>0</v>
      </c>
      <c r="G112" s="72">
        <f t="shared" si="29"/>
        <v>0</v>
      </c>
      <c r="H112" s="72">
        <f t="shared" si="29"/>
        <v>0</v>
      </c>
      <c r="I112" s="72">
        <f t="shared" si="29"/>
        <v>0</v>
      </c>
      <c r="J112" s="72">
        <f t="shared" si="29"/>
        <v>0</v>
      </c>
      <c r="K112" s="72">
        <f t="shared" si="29"/>
        <v>0</v>
      </c>
      <c r="L112" s="72">
        <f t="shared" si="29"/>
        <v>0</v>
      </c>
      <c r="M112" s="72">
        <f t="shared" si="29"/>
        <v>0</v>
      </c>
      <c r="N112" s="72">
        <f t="shared" si="29"/>
        <v>0</v>
      </c>
      <c r="O112" s="72">
        <f t="shared" si="29"/>
        <v>0</v>
      </c>
      <c r="P112" s="72">
        <f t="shared" si="29"/>
        <v>0</v>
      </c>
    </row>
    <row r="113" spans="1:18" ht="3.95" customHeight="1" x14ac:dyDescent="0.2"/>
    <row r="114" spans="1:18" x14ac:dyDescent="0.2">
      <c r="A114" s="351" t="s">
        <v>124</v>
      </c>
      <c r="B114" s="788"/>
      <c r="D114" s="69">
        <f>Transport!C14</f>
        <v>0</v>
      </c>
      <c r="E114" s="69">
        <f>Transport!D14</f>
        <v>0</v>
      </c>
      <c r="F114" s="69">
        <f>Transport!E14</f>
        <v>0</v>
      </c>
      <c r="G114" s="69">
        <f>Transport!F14</f>
        <v>0</v>
      </c>
      <c r="H114" s="69">
        <f>Transport!G14</f>
        <v>0</v>
      </c>
      <c r="I114" s="69">
        <f>Transport!H14</f>
        <v>0</v>
      </c>
      <c r="J114" s="69">
        <f>Transport!I14</f>
        <v>0</v>
      </c>
      <c r="K114" s="69">
        <f>Transport!J14</f>
        <v>0</v>
      </c>
      <c r="L114" s="69">
        <f>Transport!K14</f>
        <v>0</v>
      </c>
      <c r="M114" s="69">
        <f>Transport!L14</f>
        <v>0</v>
      </c>
      <c r="N114" s="69">
        <f>Transport!M14</f>
        <v>0</v>
      </c>
      <c r="O114" s="69">
        <f>Transport!N14</f>
        <v>0</v>
      </c>
      <c r="P114" s="69">
        <f>SUM(D114:O114)</f>
        <v>0</v>
      </c>
      <c r="Q114" s="76"/>
    </row>
    <row r="115" spans="1:18" x14ac:dyDescent="0.2">
      <c r="A115" s="77" t="s">
        <v>90</v>
      </c>
      <c r="D115" s="68">
        <v>0</v>
      </c>
      <c r="E115" s="68">
        <v>0</v>
      </c>
      <c r="F115" s="68">
        <v>0</v>
      </c>
      <c r="G115" s="68">
        <v>0</v>
      </c>
      <c r="H115" s="68">
        <v>0</v>
      </c>
      <c r="I115" s="68">
        <v>0</v>
      </c>
      <c r="J115" s="68">
        <v>0</v>
      </c>
      <c r="K115" s="68">
        <v>0</v>
      </c>
      <c r="L115" s="68">
        <v>0</v>
      </c>
      <c r="M115" s="68">
        <v>0</v>
      </c>
      <c r="N115" s="68">
        <v>0</v>
      </c>
      <c r="O115" s="68">
        <v>0</v>
      </c>
      <c r="P115" s="69">
        <f>SUM(D115:O115)</f>
        <v>0</v>
      </c>
    </row>
    <row r="116" spans="1:18" x14ac:dyDescent="0.2">
      <c r="A116" s="77" t="s">
        <v>1188</v>
      </c>
      <c r="D116" s="267">
        <v>0</v>
      </c>
      <c r="E116" s="267">
        <v>0</v>
      </c>
      <c r="F116" s="267">
        <v>0</v>
      </c>
      <c r="G116" s="267">
        <v>0</v>
      </c>
      <c r="H116" s="267">
        <f>0</f>
        <v>0</v>
      </c>
      <c r="I116" s="267">
        <v>0</v>
      </c>
      <c r="J116" s="267">
        <v>0</v>
      </c>
      <c r="K116" s="267">
        <v>0</v>
      </c>
      <c r="L116" s="267">
        <v>0</v>
      </c>
      <c r="M116" s="267">
        <v>0</v>
      </c>
      <c r="N116" s="267">
        <v>0</v>
      </c>
      <c r="O116" s="267">
        <v>0</v>
      </c>
      <c r="P116" s="71">
        <f>SUM(D116:O116)</f>
        <v>0</v>
      </c>
    </row>
    <row r="117" spans="1:18" ht="3.95" customHeight="1" x14ac:dyDescent="0.2">
      <c r="A117" s="58"/>
    </row>
    <row r="118" spans="1:18" x14ac:dyDescent="0.2">
      <c r="A118" s="350" t="s">
        <v>125</v>
      </c>
      <c r="D118" s="87">
        <f t="shared" ref="D118:P118" si="30">SUM(D114:D116)</f>
        <v>0</v>
      </c>
      <c r="E118" s="87">
        <f t="shared" si="30"/>
        <v>0</v>
      </c>
      <c r="F118" s="87">
        <f t="shared" si="30"/>
        <v>0</v>
      </c>
      <c r="G118" s="87">
        <f t="shared" si="30"/>
        <v>0</v>
      </c>
      <c r="H118" s="87">
        <f t="shared" si="30"/>
        <v>0</v>
      </c>
      <c r="I118" s="87">
        <f t="shared" si="30"/>
        <v>0</v>
      </c>
      <c r="J118" s="87">
        <f t="shared" si="30"/>
        <v>0</v>
      </c>
      <c r="K118" s="87">
        <f t="shared" si="30"/>
        <v>0</v>
      </c>
      <c r="L118" s="87">
        <f t="shared" si="30"/>
        <v>0</v>
      </c>
      <c r="M118" s="87">
        <f t="shared" si="30"/>
        <v>0</v>
      </c>
      <c r="N118" s="87">
        <f t="shared" si="30"/>
        <v>0</v>
      </c>
      <c r="O118" s="87">
        <f t="shared" si="30"/>
        <v>0</v>
      </c>
      <c r="P118" s="87">
        <f t="shared" si="30"/>
        <v>0</v>
      </c>
    </row>
    <row r="119" spans="1:18" ht="6" customHeight="1" x14ac:dyDescent="0.2">
      <c r="A119" s="358"/>
    </row>
    <row r="120" spans="1:18" x14ac:dyDescent="0.2">
      <c r="A120" s="350" t="s">
        <v>126</v>
      </c>
      <c r="B120" s="788"/>
      <c r="D120" s="93"/>
      <c r="E120" s="93"/>
      <c r="F120" s="93"/>
      <c r="G120" s="93"/>
      <c r="H120" s="93"/>
      <c r="I120" s="93"/>
      <c r="J120" s="93"/>
      <c r="K120" s="93"/>
      <c r="L120" s="93"/>
      <c r="M120" s="93"/>
      <c r="N120" s="93"/>
      <c r="O120" s="93"/>
    </row>
    <row r="121" spans="1:18" x14ac:dyDescent="0.2">
      <c r="A121" s="95" t="s">
        <v>127</v>
      </c>
      <c r="D121" s="68">
        <v>0</v>
      </c>
      <c r="E121" s="68">
        <v>0</v>
      </c>
      <c r="F121" s="68">
        <v>0</v>
      </c>
      <c r="G121" s="68">
        <v>0</v>
      </c>
      <c r="H121" s="68">
        <v>0</v>
      </c>
      <c r="I121" s="68">
        <v>0</v>
      </c>
      <c r="J121" s="68">
        <v>0</v>
      </c>
      <c r="K121" s="68">
        <v>0</v>
      </c>
      <c r="L121" s="68">
        <v>0</v>
      </c>
      <c r="M121" s="68">
        <v>0</v>
      </c>
      <c r="N121" s="68">
        <v>0</v>
      </c>
      <c r="O121" s="68">
        <v>0</v>
      </c>
      <c r="P121" s="69">
        <f>SUM(D121:O121)</f>
        <v>0</v>
      </c>
      <c r="R121" s="57">
        <f>4870+166</f>
        <v>5036</v>
      </c>
    </row>
    <row r="122" spans="1:18" x14ac:dyDescent="0.2">
      <c r="A122" s="95" t="s">
        <v>1188</v>
      </c>
      <c r="D122" s="267">
        <v>0</v>
      </c>
      <c r="E122" s="267">
        <v>0</v>
      </c>
      <c r="F122" s="267">
        <v>0</v>
      </c>
      <c r="G122" s="267">
        <v>0</v>
      </c>
      <c r="H122" s="267">
        <v>0</v>
      </c>
      <c r="I122" s="267">
        <v>0</v>
      </c>
      <c r="J122" s="267">
        <v>0</v>
      </c>
      <c r="K122" s="267">
        <v>0</v>
      </c>
      <c r="L122" s="267">
        <v>0</v>
      </c>
      <c r="M122" s="267">
        <v>0</v>
      </c>
      <c r="N122" s="267">
        <v>0</v>
      </c>
      <c r="O122" s="267">
        <v>0</v>
      </c>
      <c r="P122" s="71">
        <f>SUM(D122:O122)</f>
        <v>0</v>
      </c>
    </row>
    <row r="123" spans="1:18" ht="3.95" customHeight="1" x14ac:dyDescent="0.2"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</row>
    <row r="124" spans="1:18" x14ac:dyDescent="0.2">
      <c r="A124" s="350" t="s">
        <v>128</v>
      </c>
      <c r="B124" s="789"/>
      <c r="C124" s="58"/>
      <c r="D124" s="87">
        <f t="shared" ref="D124:P124" si="31">SUM(D121:D122)</f>
        <v>0</v>
      </c>
      <c r="E124" s="87">
        <f t="shared" si="31"/>
        <v>0</v>
      </c>
      <c r="F124" s="87">
        <f t="shared" si="31"/>
        <v>0</v>
      </c>
      <c r="G124" s="87">
        <f t="shared" si="31"/>
        <v>0</v>
      </c>
      <c r="H124" s="87">
        <f t="shared" si="31"/>
        <v>0</v>
      </c>
      <c r="I124" s="87">
        <f t="shared" si="31"/>
        <v>0</v>
      </c>
      <c r="J124" s="87">
        <f t="shared" si="31"/>
        <v>0</v>
      </c>
      <c r="K124" s="87">
        <f t="shared" si="31"/>
        <v>0</v>
      </c>
      <c r="L124" s="87">
        <f t="shared" si="31"/>
        <v>0</v>
      </c>
      <c r="M124" s="87">
        <f t="shared" si="31"/>
        <v>0</v>
      </c>
      <c r="N124" s="87">
        <f t="shared" si="31"/>
        <v>0</v>
      </c>
      <c r="O124" s="87">
        <f t="shared" si="31"/>
        <v>0</v>
      </c>
      <c r="P124" s="87">
        <f t="shared" si="31"/>
        <v>0</v>
      </c>
      <c r="Q124" s="80"/>
    </row>
    <row r="125" spans="1:18" ht="6" customHeight="1" x14ac:dyDescent="0.2">
      <c r="Q125" s="76"/>
    </row>
    <row r="126" spans="1:18" x14ac:dyDescent="0.2">
      <c r="A126" s="67" t="s">
        <v>100</v>
      </c>
      <c r="B126" s="788"/>
      <c r="D126" s="69">
        <f t="shared" ref="D126:O126" si="32">D118-D124</f>
        <v>0</v>
      </c>
      <c r="E126" s="69">
        <f t="shared" si="32"/>
        <v>0</v>
      </c>
      <c r="F126" s="69">
        <f t="shared" si="32"/>
        <v>0</v>
      </c>
      <c r="G126" s="69">
        <f t="shared" si="32"/>
        <v>0</v>
      </c>
      <c r="H126" s="69">
        <f t="shared" si="32"/>
        <v>0</v>
      </c>
      <c r="I126" s="69">
        <f t="shared" si="32"/>
        <v>0</v>
      </c>
      <c r="J126" s="69">
        <f t="shared" si="32"/>
        <v>0</v>
      </c>
      <c r="K126" s="69">
        <f t="shared" si="32"/>
        <v>0</v>
      </c>
      <c r="L126" s="69">
        <f t="shared" si="32"/>
        <v>0</v>
      </c>
      <c r="M126" s="69">
        <f t="shared" si="32"/>
        <v>0</v>
      </c>
      <c r="N126" s="69">
        <f t="shared" si="32"/>
        <v>0</v>
      </c>
      <c r="O126" s="69">
        <f t="shared" si="32"/>
        <v>0</v>
      </c>
      <c r="P126" s="69">
        <f>SUM(D126:O126)</f>
        <v>0</v>
      </c>
    </row>
    <row r="127" spans="1:18" x14ac:dyDescent="0.2">
      <c r="A127" s="95" t="s">
        <v>129</v>
      </c>
      <c r="D127" s="68">
        <v>0</v>
      </c>
      <c r="E127" s="68">
        <v>0</v>
      </c>
      <c r="F127" s="68">
        <v>0</v>
      </c>
      <c r="G127" s="68">
        <v>0</v>
      </c>
      <c r="H127" s="68">
        <v>0</v>
      </c>
      <c r="I127" s="68">
        <v>0</v>
      </c>
      <c r="J127" s="68">
        <v>0</v>
      </c>
      <c r="K127" s="68">
        <v>0</v>
      </c>
      <c r="L127" s="68">
        <v>0</v>
      </c>
      <c r="M127" s="68">
        <v>0</v>
      </c>
      <c r="N127" s="68">
        <v>0</v>
      </c>
      <c r="O127" s="68">
        <v>0</v>
      </c>
      <c r="P127" s="69">
        <f>SUM(D127:O127)</f>
        <v>0</v>
      </c>
    </row>
    <row r="128" spans="1:18" x14ac:dyDescent="0.2">
      <c r="A128" s="77" t="s">
        <v>1194</v>
      </c>
      <c r="D128" s="68">
        <v>0</v>
      </c>
      <c r="E128" s="68">
        <v>0</v>
      </c>
      <c r="F128" s="68">
        <v>0</v>
      </c>
      <c r="G128" s="68">
        <v>0</v>
      </c>
      <c r="H128" s="68">
        <v>0</v>
      </c>
      <c r="I128" s="68">
        <v>0</v>
      </c>
      <c r="J128" s="68">
        <v>0</v>
      </c>
      <c r="K128" s="68">
        <v>0</v>
      </c>
      <c r="L128" s="68">
        <v>0</v>
      </c>
      <c r="M128" s="68">
        <v>0</v>
      </c>
      <c r="N128" s="68">
        <v>0</v>
      </c>
      <c r="O128" s="68">
        <v>0</v>
      </c>
      <c r="P128" s="69">
        <f>SUM(D128:O128)</f>
        <v>0</v>
      </c>
    </row>
    <row r="129" spans="1:17" x14ac:dyDescent="0.2">
      <c r="A129" s="67" t="s">
        <v>55</v>
      </c>
      <c r="D129" s="267">
        <v>0</v>
      </c>
      <c r="E129" s="267">
        <v>0</v>
      </c>
      <c r="F129" s="267">
        <v>0</v>
      </c>
      <c r="G129" s="267">
        <v>0</v>
      </c>
      <c r="H129" s="267">
        <v>0</v>
      </c>
      <c r="I129" s="267">
        <v>0</v>
      </c>
      <c r="J129" s="267">
        <v>0</v>
      </c>
      <c r="K129" s="267">
        <v>0</v>
      </c>
      <c r="L129" s="267">
        <v>0</v>
      </c>
      <c r="M129" s="267">
        <v>0</v>
      </c>
      <c r="N129" s="267">
        <v>0</v>
      </c>
      <c r="O129" s="267">
        <v>0</v>
      </c>
      <c r="P129" s="71">
        <f>SUM(D129:O129)</f>
        <v>0</v>
      </c>
    </row>
    <row r="130" spans="1:17" ht="3.95" customHeight="1" x14ac:dyDescent="0.2"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</row>
    <row r="131" spans="1:17" x14ac:dyDescent="0.2">
      <c r="A131" s="346" t="s">
        <v>56</v>
      </c>
      <c r="B131" s="790"/>
      <c r="C131" s="58"/>
      <c r="D131" s="74">
        <f t="shared" ref="D131:O131" si="33">SUM(D126:D129)</f>
        <v>0</v>
      </c>
      <c r="E131" s="74">
        <f t="shared" si="33"/>
        <v>0</v>
      </c>
      <c r="F131" s="74">
        <f t="shared" si="33"/>
        <v>0</v>
      </c>
      <c r="G131" s="74">
        <f t="shared" si="33"/>
        <v>0</v>
      </c>
      <c r="H131" s="74">
        <f t="shared" si="33"/>
        <v>0</v>
      </c>
      <c r="I131" s="74">
        <f t="shared" si="33"/>
        <v>0</v>
      </c>
      <c r="J131" s="74">
        <f t="shared" si="33"/>
        <v>0</v>
      </c>
      <c r="K131" s="74">
        <f t="shared" si="33"/>
        <v>0</v>
      </c>
      <c r="L131" s="74">
        <f t="shared" si="33"/>
        <v>0</v>
      </c>
      <c r="M131" s="74">
        <f t="shared" si="33"/>
        <v>0</v>
      </c>
      <c r="N131" s="74">
        <f t="shared" si="33"/>
        <v>0</v>
      </c>
      <c r="O131" s="74">
        <f t="shared" si="33"/>
        <v>0</v>
      </c>
      <c r="P131" s="74">
        <f>SUM(D131:O131)</f>
        <v>0</v>
      </c>
      <c r="Q131" s="58"/>
    </row>
    <row r="132" spans="1:17" ht="8.1" customHeight="1" x14ac:dyDescent="0.2">
      <c r="A132" s="66"/>
      <c r="B132" s="788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76"/>
    </row>
    <row r="133" spans="1:17" x14ac:dyDescent="0.2">
      <c r="A133" s="350" t="s">
        <v>130</v>
      </c>
      <c r="B133" s="789"/>
      <c r="C133" s="58"/>
      <c r="D133" s="74">
        <f t="shared" ref="D133:O133" si="34">-1*D131</f>
        <v>0</v>
      </c>
      <c r="E133" s="74">
        <f t="shared" si="34"/>
        <v>0</v>
      </c>
      <c r="F133" s="74">
        <f t="shared" si="34"/>
        <v>0</v>
      </c>
      <c r="G133" s="74">
        <f t="shared" si="34"/>
        <v>0</v>
      </c>
      <c r="H133" s="74">
        <f t="shared" si="34"/>
        <v>0</v>
      </c>
      <c r="I133" s="74">
        <f t="shared" si="34"/>
        <v>0</v>
      </c>
      <c r="J133" s="74">
        <f t="shared" si="34"/>
        <v>0</v>
      </c>
      <c r="K133" s="74">
        <f t="shared" si="34"/>
        <v>0</v>
      </c>
      <c r="L133" s="74">
        <f t="shared" si="34"/>
        <v>0</v>
      </c>
      <c r="M133" s="74">
        <f t="shared" si="34"/>
        <v>0</v>
      </c>
      <c r="N133" s="74">
        <f t="shared" si="34"/>
        <v>0</v>
      </c>
      <c r="O133" s="74">
        <f t="shared" si="34"/>
        <v>0</v>
      </c>
      <c r="P133" s="74">
        <f>SUM(D133:O133)</f>
        <v>0</v>
      </c>
    </row>
    <row r="134" spans="1:17" x14ac:dyDescent="0.2">
      <c r="A134" s="66"/>
      <c r="B134" s="788"/>
    </row>
    <row r="135" spans="1:17" x14ac:dyDescent="0.2">
      <c r="A135" s="81"/>
      <c r="B135" s="791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</row>
    <row r="137" spans="1:17" x14ac:dyDescent="0.2">
      <c r="A137" s="359" t="s">
        <v>131</v>
      </c>
      <c r="B137" s="788"/>
      <c r="C137" s="62" t="str">
        <f>C47</f>
        <v>DEC.,2001</v>
      </c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58"/>
    </row>
    <row r="138" spans="1:17" ht="3.95" customHeight="1" x14ac:dyDescent="0.2">
      <c r="A138" s="66"/>
      <c r="B138" s="788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</row>
    <row r="139" spans="1:17" x14ac:dyDescent="0.2">
      <c r="A139" s="344" t="s">
        <v>59</v>
      </c>
      <c r="B139" s="788"/>
      <c r="D139" s="69">
        <f t="shared" ref="D139:O139" si="35">C149</f>
        <v>0</v>
      </c>
      <c r="E139" s="69">
        <f t="shared" si="35"/>
        <v>0</v>
      </c>
      <c r="F139" s="69">
        <f t="shared" si="35"/>
        <v>0</v>
      </c>
      <c r="G139" s="69">
        <f t="shared" si="35"/>
        <v>0</v>
      </c>
      <c r="H139" s="69">
        <f t="shared" si="35"/>
        <v>0</v>
      </c>
      <c r="I139" s="69">
        <f t="shared" si="35"/>
        <v>0</v>
      </c>
      <c r="J139" s="69">
        <f t="shared" si="35"/>
        <v>0</v>
      </c>
      <c r="K139" s="69">
        <f t="shared" si="35"/>
        <v>0</v>
      </c>
      <c r="L139" s="69">
        <f t="shared" si="35"/>
        <v>0</v>
      </c>
      <c r="M139" s="69">
        <f t="shared" si="35"/>
        <v>0</v>
      </c>
      <c r="N139" s="69">
        <f t="shared" si="35"/>
        <v>0</v>
      </c>
      <c r="O139" s="69">
        <f t="shared" si="35"/>
        <v>0</v>
      </c>
      <c r="P139" s="69"/>
      <c r="Q139" s="76"/>
    </row>
    <row r="140" spans="1:17" ht="6" customHeight="1" x14ac:dyDescent="0.2">
      <c r="A140" s="345"/>
    </row>
    <row r="141" spans="1:17" x14ac:dyDescent="0.2">
      <c r="A141" s="77" t="s">
        <v>108</v>
      </c>
      <c r="B141" s="91"/>
      <c r="D141" s="68">
        <v>0</v>
      </c>
      <c r="E141" s="68">
        <v>0</v>
      </c>
      <c r="F141" s="68">
        <v>0</v>
      </c>
      <c r="G141" s="68">
        <v>0</v>
      </c>
      <c r="H141" s="68">
        <v>0</v>
      </c>
      <c r="I141" s="68">
        <v>0</v>
      </c>
      <c r="J141" s="68">
        <v>0</v>
      </c>
      <c r="K141" s="68">
        <v>0</v>
      </c>
      <c r="L141" s="68">
        <v>0</v>
      </c>
      <c r="M141" s="68">
        <v>0</v>
      </c>
      <c r="N141" s="68">
        <v>0</v>
      </c>
      <c r="O141" s="68">
        <v>0</v>
      </c>
      <c r="P141" s="69">
        <f>SUM(D141:O141)</f>
        <v>0</v>
      </c>
    </row>
    <row r="142" spans="1:17" ht="6" customHeight="1" x14ac:dyDescent="0.2">
      <c r="A142" s="66"/>
      <c r="B142" s="788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</row>
    <row r="143" spans="1:17" x14ac:dyDescent="0.2">
      <c r="A143" s="351" t="s">
        <v>132</v>
      </c>
      <c r="B143" s="788"/>
      <c r="D143" s="69">
        <f t="shared" ref="D143:O143" si="36">D133</f>
        <v>0</v>
      </c>
      <c r="E143" s="69">
        <f t="shared" si="36"/>
        <v>0</v>
      </c>
      <c r="F143" s="69">
        <f t="shared" si="36"/>
        <v>0</v>
      </c>
      <c r="G143" s="69">
        <f t="shared" si="36"/>
        <v>0</v>
      </c>
      <c r="H143" s="69">
        <f t="shared" si="36"/>
        <v>0</v>
      </c>
      <c r="I143" s="69">
        <f t="shared" si="36"/>
        <v>0</v>
      </c>
      <c r="J143" s="69">
        <f t="shared" si="36"/>
        <v>0</v>
      </c>
      <c r="K143" s="69">
        <f t="shared" si="36"/>
        <v>0</v>
      </c>
      <c r="L143" s="69">
        <f t="shared" si="36"/>
        <v>0</v>
      </c>
      <c r="M143" s="69">
        <f t="shared" si="36"/>
        <v>0</v>
      </c>
      <c r="N143" s="69">
        <f t="shared" si="36"/>
        <v>0</v>
      </c>
      <c r="O143" s="69">
        <f t="shared" si="36"/>
        <v>0</v>
      </c>
      <c r="P143" s="69">
        <f>SUM(D143:O143)</f>
        <v>0</v>
      </c>
      <c r="Q143" s="76"/>
    </row>
    <row r="144" spans="1:17" ht="6" customHeight="1" x14ac:dyDescent="0.2">
      <c r="A144" s="66"/>
      <c r="B144" s="788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</row>
    <row r="145" spans="1:17" x14ac:dyDescent="0.2">
      <c r="A145" s="351" t="s">
        <v>133</v>
      </c>
      <c r="B145" s="788"/>
      <c r="D145" s="68">
        <v>0</v>
      </c>
      <c r="E145" s="68">
        <v>0</v>
      </c>
      <c r="F145" s="68">
        <v>0</v>
      </c>
      <c r="G145" s="68">
        <v>0</v>
      </c>
      <c r="H145" s="68">
        <v>0</v>
      </c>
      <c r="I145" s="68">
        <v>0</v>
      </c>
      <c r="J145" s="68">
        <v>0</v>
      </c>
      <c r="K145" s="68">
        <v>0</v>
      </c>
      <c r="L145" s="68">
        <v>0</v>
      </c>
      <c r="M145" s="68">
        <v>0</v>
      </c>
      <c r="N145" s="68">
        <v>0</v>
      </c>
      <c r="O145" s="68">
        <v>0</v>
      </c>
      <c r="P145" s="69">
        <f>SUM(D145:O145)</f>
        <v>0</v>
      </c>
      <c r="Q145" s="76"/>
    </row>
    <row r="146" spans="1:17" ht="6" customHeight="1" x14ac:dyDescent="0.2">
      <c r="A146" s="66"/>
      <c r="B146" s="788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</row>
    <row r="147" spans="1:17" x14ac:dyDescent="0.2">
      <c r="A147" s="67" t="s">
        <v>111</v>
      </c>
      <c r="B147" s="788"/>
      <c r="D147" s="71">
        <f t="shared" ref="D147:O147" si="37">D156</f>
        <v>0</v>
      </c>
      <c r="E147" s="71">
        <f t="shared" si="37"/>
        <v>0</v>
      </c>
      <c r="F147" s="71">
        <f t="shared" si="37"/>
        <v>0</v>
      </c>
      <c r="G147" s="71">
        <f t="shared" si="37"/>
        <v>0</v>
      </c>
      <c r="H147" s="71">
        <f t="shared" si="37"/>
        <v>0</v>
      </c>
      <c r="I147" s="71">
        <f t="shared" si="37"/>
        <v>0</v>
      </c>
      <c r="J147" s="71">
        <f t="shared" si="37"/>
        <v>0</v>
      </c>
      <c r="K147" s="71">
        <f t="shared" si="37"/>
        <v>0</v>
      </c>
      <c r="L147" s="71">
        <f t="shared" si="37"/>
        <v>0</v>
      </c>
      <c r="M147" s="71">
        <f t="shared" si="37"/>
        <v>0</v>
      </c>
      <c r="N147" s="71">
        <f t="shared" si="37"/>
        <v>0</v>
      </c>
      <c r="O147" s="71">
        <f t="shared" si="37"/>
        <v>0</v>
      </c>
      <c r="P147" s="71">
        <f>SUM(D147:O147)</f>
        <v>0</v>
      </c>
      <c r="Q147" s="96"/>
    </row>
    <row r="148" spans="1:17" ht="3.95" customHeight="1" x14ac:dyDescent="0.2">
      <c r="A148" s="66"/>
      <c r="B148" s="788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</row>
    <row r="149" spans="1:17" x14ac:dyDescent="0.2">
      <c r="A149" s="344" t="s">
        <v>64</v>
      </c>
      <c r="C149" s="264">
        <v>0</v>
      </c>
      <c r="D149" s="87">
        <f t="shared" ref="D149:O149" si="38">SUM(D139:D147)</f>
        <v>0</v>
      </c>
      <c r="E149" s="87">
        <f t="shared" si="38"/>
        <v>0</v>
      </c>
      <c r="F149" s="87">
        <f t="shared" si="38"/>
        <v>0</v>
      </c>
      <c r="G149" s="87">
        <f t="shared" si="38"/>
        <v>0</v>
      </c>
      <c r="H149" s="87">
        <f t="shared" si="38"/>
        <v>0</v>
      </c>
      <c r="I149" s="87">
        <f t="shared" si="38"/>
        <v>0</v>
      </c>
      <c r="J149" s="87">
        <f t="shared" si="38"/>
        <v>0</v>
      </c>
      <c r="K149" s="87">
        <f t="shared" si="38"/>
        <v>0</v>
      </c>
      <c r="L149" s="87">
        <f t="shared" si="38"/>
        <v>0</v>
      </c>
      <c r="M149" s="87">
        <f t="shared" si="38"/>
        <v>0</v>
      </c>
      <c r="N149" s="87">
        <f t="shared" si="38"/>
        <v>0</v>
      </c>
      <c r="O149" s="87">
        <f t="shared" si="38"/>
        <v>0</v>
      </c>
      <c r="P149" s="87">
        <f>SUM(P141:P147)+D139</f>
        <v>0</v>
      </c>
      <c r="Q149" s="76"/>
    </row>
    <row r="150" spans="1:17" x14ac:dyDescent="0.2">
      <c r="A150" s="66"/>
      <c r="B150" s="788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</row>
    <row r="151" spans="1:17" x14ac:dyDescent="0.2">
      <c r="A151" s="626" t="str">
        <f>A61</f>
        <v xml:space="preserve">   Interest Rate </v>
      </c>
      <c r="B151" s="788"/>
      <c r="D151" s="97">
        <f t="shared" ref="D151:O151" si="39">D61</f>
        <v>7.7499999999999999E-2</v>
      </c>
      <c r="E151" s="97">
        <f t="shared" si="39"/>
        <v>7.7499999999999999E-2</v>
      </c>
      <c r="F151" s="97">
        <f t="shared" si="39"/>
        <v>7.7499999999999999E-2</v>
      </c>
      <c r="G151" s="97">
        <f t="shared" si="39"/>
        <v>7.7499999999999999E-2</v>
      </c>
      <c r="H151" s="97">
        <f t="shared" si="39"/>
        <v>7.7499999999999999E-2</v>
      </c>
      <c r="I151" s="97">
        <f t="shared" si="39"/>
        <v>7.7499999999999999E-2</v>
      </c>
      <c r="J151" s="97">
        <f t="shared" si="39"/>
        <v>7.7499999999999999E-2</v>
      </c>
      <c r="K151" s="97">
        <f t="shared" si="39"/>
        <v>7.7499999999999999E-2</v>
      </c>
      <c r="L151" s="97">
        <f t="shared" si="39"/>
        <v>7.7499999999999999E-2</v>
      </c>
      <c r="M151" s="97">
        <f t="shared" si="39"/>
        <v>7.7499999999999999E-2</v>
      </c>
      <c r="N151" s="97">
        <f t="shared" si="39"/>
        <v>7.7499999999999999E-2</v>
      </c>
      <c r="O151" s="97">
        <f t="shared" si="39"/>
        <v>7.7499999999999999E-2</v>
      </c>
    </row>
    <row r="152" spans="1:17" x14ac:dyDescent="0.2">
      <c r="A152" s="626" t="str">
        <f>A62</f>
        <v xml:space="preserve">      Monthly</v>
      </c>
      <c r="B152" s="788"/>
      <c r="D152" s="89">
        <f t="shared" ref="D152:O152" si="40">D62</f>
        <v>6.6E-3</v>
      </c>
      <c r="E152" s="89">
        <f t="shared" si="40"/>
        <v>5.8999999999999999E-3</v>
      </c>
      <c r="F152" s="89">
        <f t="shared" si="40"/>
        <v>6.6E-3</v>
      </c>
      <c r="G152" s="89">
        <f t="shared" si="40"/>
        <v>6.4000000000000003E-3</v>
      </c>
      <c r="H152" s="89">
        <f t="shared" si="40"/>
        <v>6.6E-3</v>
      </c>
      <c r="I152" s="89">
        <f t="shared" si="40"/>
        <v>6.4000000000000003E-3</v>
      </c>
      <c r="J152" s="89">
        <f t="shared" si="40"/>
        <v>6.6E-3</v>
      </c>
      <c r="K152" s="89">
        <f t="shared" si="40"/>
        <v>6.6E-3</v>
      </c>
      <c r="L152" s="89">
        <f t="shared" si="40"/>
        <v>6.4000000000000003E-3</v>
      </c>
      <c r="M152" s="89">
        <f t="shared" si="40"/>
        <v>6.6E-3</v>
      </c>
      <c r="N152" s="89">
        <f t="shared" si="40"/>
        <v>6.4000000000000003E-3</v>
      </c>
      <c r="O152" s="89">
        <f t="shared" si="40"/>
        <v>6.6E-3</v>
      </c>
      <c r="Q152" s="99"/>
    </row>
    <row r="153" spans="1:17" ht="6" customHeight="1" x14ac:dyDescent="0.2">
      <c r="A153" s="66"/>
      <c r="B153" s="788"/>
    </row>
    <row r="154" spans="1:17" x14ac:dyDescent="0.2">
      <c r="A154" s="628" t="s">
        <v>134</v>
      </c>
      <c r="B154" s="789"/>
      <c r="C154" s="58"/>
      <c r="D154" s="625">
        <f t="shared" ref="D154:O154" si="41">ROUND(C149*D152,0)</f>
        <v>0</v>
      </c>
      <c r="E154" s="625">
        <f t="shared" si="41"/>
        <v>0</v>
      </c>
      <c r="F154" s="625">
        <f t="shared" si="41"/>
        <v>0</v>
      </c>
      <c r="G154" s="625">
        <f t="shared" si="41"/>
        <v>0</v>
      </c>
      <c r="H154" s="625">
        <f t="shared" si="41"/>
        <v>0</v>
      </c>
      <c r="I154" s="625">
        <f t="shared" si="41"/>
        <v>0</v>
      </c>
      <c r="J154" s="625">
        <f t="shared" si="41"/>
        <v>0</v>
      </c>
      <c r="K154" s="625">
        <f t="shared" si="41"/>
        <v>0</v>
      </c>
      <c r="L154" s="625">
        <f t="shared" si="41"/>
        <v>0</v>
      </c>
      <c r="M154" s="625">
        <f t="shared" si="41"/>
        <v>0</v>
      </c>
      <c r="N154" s="625">
        <f t="shared" si="41"/>
        <v>0</v>
      </c>
      <c r="O154" s="625">
        <f t="shared" si="41"/>
        <v>0</v>
      </c>
      <c r="P154" s="625">
        <f>SUM(D154:O154)</f>
        <v>0</v>
      </c>
      <c r="Q154" s="58"/>
    </row>
    <row r="155" spans="1:17" x14ac:dyDescent="0.2">
      <c r="A155" s="351" t="s">
        <v>102</v>
      </c>
      <c r="D155" s="267">
        <v>0</v>
      </c>
      <c r="E155" s="267">
        <v>0</v>
      </c>
      <c r="F155" s="267">
        <v>0</v>
      </c>
      <c r="G155" s="267">
        <v>0</v>
      </c>
      <c r="H155" s="267">
        <v>0</v>
      </c>
      <c r="I155" s="267">
        <v>0</v>
      </c>
      <c r="J155" s="267">
        <v>0</v>
      </c>
      <c r="K155" s="267">
        <v>0</v>
      </c>
      <c r="L155" s="267">
        <v>0</v>
      </c>
      <c r="M155" s="267">
        <v>0</v>
      </c>
      <c r="N155" s="267">
        <v>0</v>
      </c>
      <c r="O155" s="267">
        <v>0</v>
      </c>
      <c r="P155" s="71">
        <f>SUM(D155:O155)</f>
        <v>0</v>
      </c>
      <c r="Q155" s="58"/>
    </row>
    <row r="156" spans="1:17" x14ac:dyDescent="0.2">
      <c r="A156" s="627" t="str">
        <f>A66</f>
        <v xml:space="preserve">      Total Current Month Carrying Charges</v>
      </c>
      <c r="B156" s="789"/>
      <c r="C156" s="58"/>
      <c r="D156" s="74">
        <f>D154+D155</f>
        <v>0</v>
      </c>
      <c r="E156" s="74">
        <f t="shared" ref="E156:P156" si="42">E154+E155</f>
        <v>0</v>
      </c>
      <c r="F156" s="74">
        <f t="shared" si="42"/>
        <v>0</v>
      </c>
      <c r="G156" s="74">
        <f t="shared" si="42"/>
        <v>0</v>
      </c>
      <c r="H156" s="74">
        <f t="shared" si="42"/>
        <v>0</v>
      </c>
      <c r="I156" s="74">
        <f t="shared" si="42"/>
        <v>0</v>
      </c>
      <c r="J156" s="74">
        <f t="shared" si="42"/>
        <v>0</v>
      </c>
      <c r="K156" s="74">
        <f t="shared" si="42"/>
        <v>0</v>
      </c>
      <c r="L156" s="74">
        <f t="shared" si="42"/>
        <v>0</v>
      </c>
      <c r="M156" s="74">
        <f t="shared" si="42"/>
        <v>0</v>
      </c>
      <c r="N156" s="74">
        <f t="shared" si="42"/>
        <v>0</v>
      </c>
      <c r="O156" s="74">
        <f t="shared" si="42"/>
        <v>0</v>
      </c>
      <c r="P156" s="74">
        <f t="shared" si="42"/>
        <v>0</v>
      </c>
      <c r="Q156" s="58"/>
    </row>
    <row r="157" spans="1:17" ht="6" customHeight="1" x14ac:dyDescent="0.2">
      <c r="A157" s="66"/>
      <c r="B157" s="788"/>
    </row>
    <row r="158" spans="1:17" x14ac:dyDescent="0.2">
      <c r="A158" s="627" t="str">
        <f>A68</f>
        <v xml:space="preserve">      Cumulative Carrying Charges</v>
      </c>
      <c r="B158" s="788"/>
      <c r="D158" s="69">
        <f>D156</f>
        <v>0</v>
      </c>
      <c r="E158" s="69">
        <f>E156+D158</f>
        <v>0</v>
      </c>
      <c r="F158" s="69">
        <f>F156+E158</f>
        <v>0</v>
      </c>
      <c r="G158" s="69">
        <f t="shared" ref="G158:O158" si="43">G156+F158</f>
        <v>0</v>
      </c>
      <c r="H158" s="69">
        <f t="shared" si="43"/>
        <v>0</v>
      </c>
      <c r="I158" s="69">
        <f t="shared" si="43"/>
        <v>0</v>
      </c>
      <c r="J158" s="69">
        <f t="shared" si="43"/>
        <v>0</v>
      </c>
      <c r="K158" s="69">
        <f t="shared" si="43"/>
        <v>0</v>
      </c>
      <c r="L158" s="69">
        <f t="shared" si="43"/>
        <v>0</v>
      </c>
      <c r="M158" s="69">
        <f t="shared" si="43"/>
        <v>0</v>
      </c>
      <c r="N158" s="69">
        <f t="shared" si="43"/>
        <v>0</v>
      </c>
      <c r="O158" s="69">
        <f t="shared" si="43"/>
        <v>0</v>
      </c>
    </row>
    <row r="159" spans="1:17" customFormat="1" ht="6" customHeight="1" x14ac:dyDescent="0.2">
      <c r="B159" s="691"/>
    </row>
    <row r="160" spans="1:17" customFormat="1" ht="12.75" customHeight="1" x14ac:dyDescent="0.2">
      <c r="B160" s="691"/>
    </row>
    <row r="161" spans="1:16" x14ac:dyDescent="0.2">
      <c r="A161" s="605" t="str">
        <f ca="1">CELL("FILENAME")</f>
        <v>C:\Users\Felienne\Enron\EnronSpreadsheets\[tracy_geaccone__40367__EMNNG02PL.xls]IncomeState</v>
      </c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</row>
    <row r="162" spans="1:16" x14ac:dyDescent="0.2">
      <c r="A162" s="340" t="s">
        <v>135</v>
      </c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</row>
    <row r="163" spans="1:16" x14ac:dyDescent="0.2">
      <c r="A163" s="355" t="str">
        <f>A3</f>
        <v>2002 OPERATING PLAN</v>
      </c>
      <c r="B163" s="786">
        <f ca="1">NOW()</f>
        <v>41887.551126967592</v>
      </c>
      <c r="C163" s="489" t="s">
        <v>136</v>
      </c>
      <c r="D163" s="60"/>
      <c r="E163" s="59"/>
      <c r="F163" s="59"/>
      <c r="G163" s="60"/>
      <c r="H163" s="60"/>
      <c r="I163" s="60"/>
      <c r="J163" s="59"/>
      <c r="K163" s="59"/>
      <c r="L163" s="59"/>
      <c r="M163" s="59"/>
      <c r="N163" s="59"/>
      <c r="O163" s="59"/>
      <c r="P163" s="90"/>
    </row>
    <row r="164" spans="1:16" ht="12.95" customHeight="1" x14ac:dyDescent="0.2">
      <c r="A164" s="61"/>
      <c r="B164" s="787">
        <f ca="1">NOW()</f>
        <v>41887.55112708333</v>
      </c>
      <c r="C164" s="338" t="str">
        <f t="shared" ref="C164:P164" si="44">C4</f>
        <v>BALANCE</v>
      </c>
      <c r="D164" s="338" t="str">
        <f t="shared" si="44"/>
        <v>JAN</v>
      </c>
      <c r="E164" s="338" t="str">
        <f t="shared" si="44"/>
        <v>FEB</v>
      </c>
      <c r="F164" s="338" t="str">
        <f t="shared" si="44"/>
        <v>MAR</v>
      </c>
      <c r="G164" s="338" t="str">
        <f t="shared" si="44"/>
        <v>APR</v>
      </c>
      <c r="H164" s="338" t="str">
        <f t="shared" si="44"/>
        <v>MAY</v>
      </c>
      <c r="I164" s="338" t="str">
        <f t="shared" si="44"/>
        <v>JUN</v>
      </c>
      <c r="J164" s="338" t="str">
        <f t="shared" si="44"/>
        <v>JUL</v>
      </c>
      <c r="K164" s="338" t="str">
        <f t="shared" si="44"/>
        <v>AUG</v>
      </c>
      <c r="L164" s="338" t="str">
        <f t="shared" si="44"/>
        <v>SEP</v>
      </c>
      <c r="M164" s="338" t="str">
        <f t="shared" si="44"/>
        <v>OCT</v>
      </c>
      <c r="N164" s="338" t="str">
        <f t="shared" si="44"/>
        <v>NOV</v>
      </c>
      <c r="O164" s="338" t="str">
        <f t="shared" si="44"/>
        <v>DEC</v>
      </c>
      <c r="P164" s="338" t="str">
        <f t="shared" si="44"/>
        <v>2002</v>
      </c>
    </row>
    <row r="165" spans="1:16" ht="3.95" customHeight="1" x14ac:dyDescent="0.2"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4"/>
    </row>
    <row r="166" spans="1:16" x14ac:dyDescent="0.2">
      <c r="A166" s="344" t="s">
        <v>137</v>
      </c>
      <c r="B166" s="788"/>
    </row>
    <row r="167" spans="1:16" x14ac:dyDescent="0.2">
      <c r="A167" s="67" t="s">
        <v>9</v>
      </c>
      <c r="B167" s="788"/>
      <c r="D167" s="69">
        <f t="shared" ref="D167:O167" si="45">D366</f>
        <v>0</v>
      </c>
      <c r="E167" s="69">
        <f t="shared" si="45"/>
        <v>0</v>
      </c>
      <c r="F167" s="69">
        <f t="shared" si="45"/>
        <v>0</v>
      </c>
      <c r="G167" s="69">
        <f t="shared" si="45"/>
        <v>0</v>
      </c>
      <c r="H167" s="69">
        <f t="shared" si="45"/>
        <v>0</v>
      </c>
      <c r="I167" s="69">
        <f t="shared" si="45"/>
        <v>0</v>
      </c>
      <c r="J167" s="69">
        <f t="shared" si="45"/>
        <v>0</v>
      </c>
      <c r="K167" s="69">
        <f t="shared" si="45"/>
        <v>0</v>
      </c>
      <c r="L167" s="69">
        <f t="shared" si="45"/>
        <v>0</v>
      </c>
      <c r="M167" s="69">
        <f t="shared" si="45"/>
        <v>0</v>
      </c>
      <c r="N167" s="69">
        <f t="shared" si="45"/>
        <v>0</v>
      </c>
      <c r="O167" s="69">
        <f t="shared" si="45"/>
        <v>0</v>
      </c>
      <c r="P167" s="69">
        <f>SUM(D167:O167)</f>
        <v>0</v>
      </c>
    </row>
    <row r="168" spans="1:16" x14ac:dyDescent="0.2">
      <c r="A168" s="351" t="s">
        <v>82</v>
      </c>
      <c r="D168" s="69">
        <f t="shared" ref="D168:O168" si="46">D367</f>
        <v>0</v>
      </c>
      <c r="E168" s="69">
        <f t="shared" si="46"/>
        <v>0</v>
      </c>
      <c r="F168" s="69">
        <f t="shared" si="46"/>
        <v>0</v>
      </c>
      <c r="G168" s="69">
        <f t="shared" si="46"/>
        <v>0</v>
      </c>
      <c r="H168" s="69">
        <f t="shared" si="46"/>
        <v>0</v>
      </c>
      <c r="I168" s="69">
        <f t="shared" si="46"/>
        <v>0</v>
      </c>
      <c r="J168" s="69">
        <f t="shared" si="46"/>
        <v>0</v>
      </c>
      <c r="K168" s="69">
        <f t="shared" si="46"/>
        <v>0</v>
      </c>
      <c r="L168" s="69">
        <f t="shared" si="46"/>
        <v>0</v>
      </c>
      <c r="M168" s="69">
        <f t="shared" si="46"/>
        <v>0</v>
      </c>
      <c r="N168" s="69">
        <f t="shared" si="46"/>
        <v>0</v>
      </c>
      <c r="O168" s="69">
        <f t="shared" si="46"/>
        <v>0</v>
      </c>
      <c r="P168" s="69">
        <f>SUM(D168:O168)</f>
        <v>0</v>
      </c>
    </row>
    <row r="169" spans="1:16" x14ac:dyDescent="0.2">
      <c r="A169" s="351" t="s">
        <v>85</v>
      </c>
      <c r="D169" s="71">
        <f t="shared" ref="D169:O169" si="47">D368</f>
        <v>0</v>
      </c>
      <c r="E169" s="71">
        <f t="shared" si="47"/>
        <v>0</v>
      </c>
      <c r="F169" s="71">
        <f t="shared" si="47"/>
        <v>0</v>
      </c>
      <c r="G169" s="71">
        <f t="shared" si="47"/>
        <v>0</v>
      </c>
      <c r="H169" s="71">
        <f t="shared" si="47"/>
        <v>0</v>
      </c>
      <c r="I169" s="71">
        <f t="shared" si="47"/>
        <v>0</v>
      </c>
      <c r="J169" s="71">
        <f t="shared" si="47"/>
        <v>0</v>
      </c>
      <c r="K169" s="71">
        <f t="shared" si="47"/>
        <v>0</v>
      </c>
      <c r="L169" s="71">
        <f t="shared" si="47"/>
        <v>0</v>
      </c>
      <c r="M169" s="71">
        <f t="shared" si="47"/>
        <v>0</v>
      </c>
      <c r="N169" s="71">
        <f t="shared" si="47"/>
        <v>0</v>
      </c>
      <c r="O169" s="71">
        <f t="shared" si="47"/>
        <v>0</v>
      </c>
      <c r="P169" s="71">
        <f>SUM(D169:O169)</f>
        <v>0</v>
      </c>
    </row>
    <row r="170" spans="1:16" ht="3.95" customHeight="1" x14ac:dyDescent="0.2"/>
    <row r="171" spans="1:16" x14ac:dyDescent="0.2">
      <c r="A171" s="67" t="s">
        <v>12</v>
      </c>
      <c r="B171" s="788"/>
      <c r="D171" s="69">
        <f t="shared" ref="D171:O171" si="48">D167+D168+D169</f>
        <v>0</v>
      </c>
      <c r="E171" s="69">
        <f t="shared" si="48"/>
        <v>0</v>
      </c>
      <c r="F171" s="69">
        <f t="shared" si="48"/>
        <v>0</v>
      </c>
      <c r="G171" s="69">
        <f t="shared" si="48"/>
        <v>0</v>
      </c>
      <c r="H171" s="69">
        <f t="shared" si="48"/>
        <v>0</v>
      </c>
      <c r="I171" s="69">
        <f t="shared" si="48"/>
        <v>0</v>
      </c>
      <c r="J171" s="69">
        <f t="shared" si="48"/>
        <v>0</v>
      </c>
      <c r="K171" s="69">
        <f t="shared" si="48"/>
        <v>0</v>
      </c>
      <c r="L171" s="69">
        <f t="shared" si="48"/>
        <v>0</v>
      </c>
      <c r="M171" s="69">
        <f t="shared" si="48"/>
        <v>0</v>
      </c>
      <c r="N171" s="69">
        <f t="shared" si="48"/>
        <v>0</v>
      </c>
      <c r="O171" s="69">
        <f t="shared" si="48"/>
        <v>0</v>
      </c>
      <c r="P171" s="69">
        <f>SUM(D171:O171)</f>
        <v>0</v>
      </c>
    </row>
    <row r="172" spans="1:16" ht="3.95" customHeight="1" x14ac:dyDescent="0.2"/>
    <row r="173" spans="1:16" x14ac:dyDescent="0.2">
      <c r="A173" s="351" t="s">
        <v>138</v>
      </c>
      <c r="B173" s="788"/>
      <c r="D173" s="72">
        <f t="shared" ref="D173:P173" si="49">IF(D171=0,0,ROUND(D175/D171,4))</f>
        <v>0</v>
      </c>
      <c r="E173" s="72">
        <f t="shared" si="49"/>
        <v>0</v>
      </c>
      <c r="F173" s="72">
        <f t="shared" si="49"/>
        <v>0</v>
      </c>
      <c r="G173" s="72">
        <f t="shared" si="49"/>
        <v>0</v>
      </c>
      <c r="H173" s="72">
        <f t="shared" si="49"/>
        <v>0</v>
      </c>
      <c r="I173" s="72">
        <f t="shared" si="49"/>
        <v>0</v>
      </c>
      <c r="J173" s="72">
        <f t="shared" si="49"/>
        <v>0</v>
      </c>
      <c r="K173" s="72">
        <f t="shared" si="49"/>
        <v>0</v>
      </c>
      <c r="L173" s="72">
        <f t="shared" si="49"/>
        <v>0</v>
      </c>
      <c r="M173" s="72">
        <f t="shared" si="49"/>
        <v>0</v>
      </c>
      <c r="N173" s="72">
        <f t="shared" si="49"/>
        <v>0</v>
      </c>
      <c r="O173" s="72">
        <f t="shared" si="49"/>
        <v>0</v>
      </c>
      <c r="P173" s="72">
        <f t="shared" si="49"/>
        <v>0</v>
      </c>
    </row>
    <row r="174" spans="1:16" ht="3.95" customHeight="1" x14ac:dyDescent="0.2"/>
    <row r="175" spans="1:16" x14ac:dyDescent="0.2">
      <c r="A175" s="351" t="s">
        <v>139</v>
      </c>
      <c r="B175" s="788"/>
      <c r="D175" s="69">
        <f>Transport!C11+Transport!C29</f>
        <v>0</v>
      </c>
      <c r="E175" s="69">
        <f>Transport!D11+Transport!D29</f>
        <v>0</v>
      </c>
      <c r="F175" s="69">
        <f>Transport!E11+Transport!E29</f>
        <v>0</v>
      </c>
      <c r="G175" s="69">
        <f>Transport!F11+Transport!F29</f>
        <v>0</v>
      </c>
      <c r="H175" s="69">
        <f>Transport!G11+Transport!G29</f>
        <v>0</v>
      </c>
      <c r="I175" s="69">
        <f>Transport!H11+Transport!H29</f>
        <v>0</v>
      </c>
      <c r="J175" s="69">
        <f>Transport!I11+Transport!I29</f>
        <v>0</v>
      </c>
      <c r="K175" s="69">
        <f>Transport!J11+Transport!J29</f>
        <v>0</v>
      </c>
      <c r="L175" s="69">
        <f>Transport!K11+Transport!K29</f>
        <v>0</v>
      </c>
      <c r="M175" s="69">
        <f>Transport!L11+Transport!L29</f>
        <v>0</v>
      </c>
      <c r="N175" s="69">
        <f>Transport!M11+Transport!M29</f>
        <v>0</v>
      </c>
      <c r="O175" s="69">
        <f>Transport!N11+Transport!N29</f>
        <v>0</v>
      </c>
      <c r="P175" s="69">
        <f>SUM(D175:O175)</f>
        <v>0</v>
      </c>
    </row>
    <row r="176" spans="1:16" x14ac:dyDescent="0.2">
      <c r="A176" s="77" t="s">
        <v>90</v>
      </c>
      <c r="D176" s="68">
        <v>0</v>
      </c>
      <c r="E176" s="68">
        <v>0</v>
      </c>
      <c r="F176" s="68">
        <v>0</v>
      </c>
      <c r="G176" s="68">
        <v>0</v>
      </c>
      <c r="H176" s="68">
        <v>0</v>
      </c>
      <c r="I176" s="68">
        <v>0</v>
      </c>
      <c r="J176" s="68">
        <v>0</v>
      </c>
      <c r="K176" s="68">
        <v>0</v>
      </c>
      <c r="L176" s="68">
        <v>0</v>
      </c>
      <c r="M176" s="68">
        <v>0</v>
      </c>
      <c r="N176" s="68">
        <v>0</v>
      </c>
      <c r="O176" s="68">
        <v>0</v>
      </c>
      <c r="P176" s="69">
        <f>SUM(D176:O176)</f>
        <v>0</v>
      </c>
    </row>
    <row r="177" spans="1:16" x14ac:dyDescent="0.2">
      <c r="A177" s="95" t="s">
        <v>140</v>
      </c>
      <c r="D177" s="68">
        <v>0</v>
      </c>
      <c r="E177" s="68">
        <v>0</v>
      </c>
      <c r="F177" s="68">
        <v>0</v>
      </c>
      <c r="G177" s="68">
        <v>0</v>
      </c>
      <c r="H177" s="68">
        <v>0</v>
      </c>
      <c r="I177" s="68">
        <v>0</v>
      </c>
      <c r="J177" s="68">
        <v>0</v>
      </c>
      <c r="K177" s="68">
        <v>0</v>
      </c>
      <c r="L177" s="68">
        <v>0</v>
      </c>
      <c r="M177" s="68">
        <v>0</v>
      </c>
      <c r="N177" s="68">
        <v>0</v>
      </c>
      <c r="O177" s="68">
        <v>0</v>
      </c>
      <c r="P177" s="69">
        <f>SUM(D177:O177)</f>
        <v>0</v>
      </c>
    </row>
    <row r="178" spans="1:16" x14ac:dyDescent="0.2">
      <c r="A178" s="77" t="s">
        <v>1188</v>
      </c>
      <c r="D178" s="68">
        <v>0</v>
      </c>
      <c r="E178" s="68">
        <v>0</v>
      </c>
      <c r="F178" s="68">
        <v>0</v>
      </c>
      <c r="G178" s="68">
        <v>0</v>
      </c>
      <c r="H178" s="68">
        <v>0</v>
      </c>
      <c r="I178" s="68">
        <v>0</v>
      </c>
      <c r="J178" s="68">
        <v>0</v>
      </c>
      <c r="K178" s="68">
        <v>0</v>
      </c>
      <c r="L178" s="68">
        <v>0</v>
      </c>
      <c r="M178" s="68">
        <v>0</v>
      </c>
      <c r="N178" s="68">
        <v>0</v>
      </c>
      <c r="O178" s="68">
        <v>0</v>
      </c>
      <c r="P178" s="69">
        <f>SUM(D178:O178)</f>
        <v>0</v>
      </c>
    </row>
    <row r="179" spans="1:16" x14ac:dyDescent="0.2">
      <c r="A179" s="77" t="s">
        <v>1188</v>
      </c>
      <c r="D179" s="267">
        <v>0</v>
      </c>
      <c r="E179" s="267">
        <v>0</v>
      </c>
      <c r="F179" s="267">
        <v>0</v>
      </c>
      <c r="G179" s="267">
        <v>0</v>
      </c>
      <c r="H179" s="267">
        <v>0</v>
      </c>
      <c r="I179" s="267">
        <v>0</v>
      </c>
      <c r="J179" s="267">
        <v>0</v>
      </c>
      <c r="K179" s="267">
        <v>0</v>
      </c>
      <c r="L179" s="267">
        <v>0</v>
      </c>
      <c r="M179" s="267">
        <v>0</v>
      </c>
      <c r="N179" s="267">
        <v>0</v>
      </c>
      <c r="O179" s="267">
        <v>0</v>
      </c>
      <c r="P179" s="71">
        <f>SUM(D179:O179)</f>
        <v>0</v>
      </c>
    </row>
    <row r="180" spans="1:16" ht="3.95" customHeight="1" x14ac:dyDescent="0.2"/>
    <row r="181" spans="1:16" x14ac:dyDescent="0.2">
      <c r="A181" s="350" t="s">
        <v>141</v>
      </c>
      <c r="D181" s="87">
        <f t="shared" ref="D181:P181" si="50">SUM(D175:D179)</f>
        <v>0</v>
      </c>
      <c r="E181" s="87">
        <f t="shared" si="50"/>
        <v>0</v>
      </c>
      <c r="F181" s="87">
        <f t="shared" si="50"/>
        <v>0</v>
      </c>
      <c r="G181" s="87">
        <f t="shared" si="50"/>
        <v>0</v>
      </c>
      <c r="H181" s="87">
        <f t="shared" si="50"/>
        <v>0</v>
      </c>
      <c r="I181" s="87">
        <f t="shared" si="50"/>
        <v>0</v>
      </c>
      <c r="J181" s="87">
        <f t="shared" si="50"/>
        <v>0</v>
      </c>
      <c r="K181" s="87">
        <f t="shared" si="50"/>
        <v>0</v>
      </c>
      <c r="L181" s="87">
        <f t="shared" si="50"/>
        <v>0</v>
      </c>
      <c r="M181" s="87">
        <f t="shared" si="50"/>
        <v>0</v>
      </c>
      <c r="N181" s="87">
        <f t="shared" si="50"/>
        <v>0</v>
      </c>
      <c r="O181" s="87">
        <f t="shared" si="50"/>
        <v>0</v>
      </c>
      <c r="P181" s="87">
        <f t="shared" si="50"/>
        <v>0</v>
      </c>
    </row>
    <row r="182" spans="1:16" x14ac:dyDescent="0.2">
      <c r="A182" s="358"/>
    </row>
    <row r="183" spans="1:16" x14ac:dyDescent="0.2">
      <c r="A183" s="350" t="s">
        <v>142</v>
      </c>
      <c r="B183" s="788"/>
      <c r="D183" s="93"/>
      <c r="E183" s="93"/>
      <c r="F183" s="93"/>
      <c r="G183" s="93"/>
      <c r="H183" s="93"/>
      <c r="I183" s="93"/>
      <c r="J183" s="93"/>
      <c r="K183" s="93"/>
      <c r="L183" s="93"/>
      <c r="M183" s="93"/>
      <c r="N183" s="93"/>
      <c r="O183" s="93"/>
    </row>
    <row r="184" spans="1:16" x14ac:dyDescent="0.2">
      <c r="A184" s="95" t="s">
        <v>143</v>
      </c>
      <c r="D184" s="68">
        <v>0</v>
      </c>
      <c r="E184" s="68">
        <v>0</v>
      </c>
      <c r="F184" s="68">
        <v>0</v>
      </c>
      <c r="G184" s="68">
        <v>0</v>
      </c>
      <c r="H184" s="68">
        <v>0</v>
      </c>
      <c r="I184" s="68">
        <v>0</v>
      </c>
      <c r="J184" s="68">
        <v>0</v>
      </c>
      <c r="K184" s="68">
        <v>0</v>
      </c>
      <c r="L184" s="68">
        <v>0</v>
      </c>
      <c r="M184" s="68">
        <v>0</v>
      </c>
      <c r="N184" s="68">
        <v>0</v>
      </c>
      <c r="O184" s="68">
        <v>0</v>
      </c>
      <c r="P184" s="69">
        <f>SUM(D184:O184)</f>
        <v>0</v>
      </c>
    </row>
    <row r="185" spans="1:16" x14ac:dyDescent="0.2">
      <c r="A185" s="77" t="s">
        <v>144</v>
      </c>
      <c r="D185" s="68">
        <v>0</v>
      </c>
      <c r="E185" s="68">
        <v>0</v>
      </c>
      <c r="F185" s="68">
        <v>0</v>
      </c>
      <c r="G185" s="68">
        <v>0</v>
      </c>
      <c r="H185" s="68">
        <v>0</v>
      </c>
      <c r="I185" s="68">
        <v>0</v>
      </c>
      <c r="J185" s="68">
        <v>0</v>
      </c>
      <c r="K185" s="68">
        <v>0</v>
      </c>
      <c r="L185" s="68">
        <v>0</v>
      </c>
      <c r="M185" s="68">
        <v>0</v>
      </c>
      <c r="N185" s="68">
        <v>0</v>
      </c>
      <c r="O185" s="68">
        <v>0</v>
      </c>
      <c r="P185" s="69">
        <f>SUM(D185:O185)</f>
        <v>0</v>
      </c>
    </row>
    <row r="186" spans="1:16" x14ac:dyDescent="0.2">
      <c r="A186" s="77" t="s">
        <v>1188</v>
      </c>
      <c r="D186" s="68">
        <v>0</v>
      </c>
      <c r="E186" s="68">
        <v>0</v>
      </c>
      <c r="F186" s="68">
        <v>0</v>
      </c>
      <c r="G186" s="68">
        <v>0</v>
      </c>
      <c r="H186" s="68">
        <v>0</v>
      </c>
      <c r="I186" s="68">
        <v>0</v>
      </c>
      <c r="J186" s="68">
        <v>0</v>
      </c>
      <c r="K186" s="68">
        <v>0</v>
      </c>
      <c r="L186" s="68">
        <v>0</v>
      </c>
      <c r="M186" s="68">
        <v>0</v>
      </c>
      <c r="N186" s="68">
        <v>0</v>
      </c>
      <c r="O186" s="68">
        <v>0</v>
      </c>
      <c r="P186" s="69">
        <f>SUM(D186:O186)</f>
        <v>0</v>
      </c>
    </row>
    <row r="187" spans="1:16" x14ac:dyDescent="0.2">
      <c r="A187" s="77" t="s">
        <v>1188</v>
      </c>
      <c r="D187" s="267">
        <v>0</v>
      </c>
      <c r="E187" s="267">
        <v>0</v>
      </c>
      <c r="F187" s="267">
        <v>0</v>
      </c>
      <c r="G187" s="267">
        <v>0</v>
      </c>
      <c r="H187" s="267">
        <v>0</v>
      </c>
      <c r="I187" s="267">
        <v>0</v>
      </c>
      <c r="J187" s="267">
        <v>0</v>
      </c>
      <c r="K187" s="267">
        <v>0</v>
      </c>
      <c r="L187" s="267">
        <v>0</v>
      </c>
      <c r="M187" s="267">
        <v>0</v>
      </c>
      <c r="N187" s="267">
        <v>0</v>
      </c>
      <c r="O187" s="267">
        <v>0</v>
      </c>
      <c r="P187" s="71">
        <f>SUM(D187:O187)</f>
        <v>0</v>
      </c>
    </row>
    <row r="188" spans="1:16" ht="3.95" customHeight="1" x14ac:dyDescent="0.2"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</row>
    <row r="189" spans="1:16" x14ac:dyDescent="0.2">
      <c r="A189" s="350" t="s">
        <v>145</v>
      </c>
      <c r="B189" s="789"/>
      <c r="C189" s="58"/>
      <c r="D189" s="87">
        <f t="shared" ref="D189:P189" si="51">SUM(D184:D187)</f>
        <v>0</v>
      </c>
      <c r="E189" s="87">
        <f t="shared" si="51"/>
        <v>0</v>
      </c>
      <c r="F189" s="87">
        <f t="shared" si="51"/>
        <v>0</v>
      </c>
      <c r="G189" s="87">
        <f t="shared" si="51"/>
        <v>0</v>
      </c>
      <c r="H189" s="87">
        <f t="shared" si="51"/>
        <v>0</v>
      </c>
      <c r="I189" s="87">
        <f t="shared" si="51"/>
        <v>0</v>
      </c>
      <c r="J189" s="87">
        <f t="shared" si="51"/>
        <v>0</v>
      </c>
      <c r="K189" s="87">
        <f t="shared" si="51"/>
        <v>0</v>
      </c>
      <c r="L189" s="87">
        <f t="shared" si="51"/>
        <v>0</v>
      </c>
      <c r="M189" s="87">
        <f t="shared" si="51"/>
        <v>0</v>
      </c>
      <c r="N189" s="87">
        <f t="shared" si="51"/>
        <v>0</v>
      </c>
      <c r="O189" s="87">
        <f t="shared" si="51"/>
        <v>0</v>
      </c>
      <c r="P189" s="87">
        <f t="shared" si="51"/>
        <v>0</v>
      </c>
    </row>
    <row r="190" spans="1:16" ht="6" customHeight="1" x14ac:dyDescent="0.2"/>
    <row r="191" spans="1:16" x14ac:dyDescent="0.2">
      <c r="A191" s="67" t="s">
        <v>100</v>
      </c>
      <c r="B191" s="788"/>
      <c r="D191" s="69">
        <f t="shared" ref="D191:O191" si="52">D181-D189</f>
        <v>0</v>
      </c>
      <c r="E191" s="69">
        <f t="shared" si="52"/>
        <v>0</v>
      </c>
      <c r="F191" s="69">
        <f t="shared" si="52"/>
        <v>0</v>
      </c>
      <c r="G191" s="69">
        <f t="shared" si="52"/>
        <v>0</v>
      </c>
      <c r="H191" s="69">
        <f t="shared" si="52"/>
        <v>0</v>
      </c>
      <c r="I191" s="69">
        <f t="shared" si="52"/>
        <v>0</v>
      </c>
      <c r="J191" s="69">
        <f t="shared" si="52"/>
        <v>0</v>
      </c>
      <c r="K191" s="69">
        <f t="shared" si="52"/>
        <v>0</v>
      </c>
      <c r="L191" s="69">
        <f t="shared" si="52"/>
        <v>0</v>
      </c>
      <c r="M191" s="69">
        <f t="shared" si="52"/>
        <v>0</v>
      </c>
      <c r="N191" s="69">
        <f t="shared" si="52"/>
        <v>0</v>
      </c>
      <c r="O191" s="69">
        <f t="shared" si="52"/>
        <v>0</v>
      </c>
      <c r="P191" s="69">
        <f>SUM(D191:O191)</f>
        <v>0</v>
      </c>
    </row>
    <row r="192" spans="1:16" x14ac:dyDescent="0.2">
      <c r="A192" s="77" t="s">
        <v>1194</v>
      </c>
      <c r="D192" s="68">
        <v>0</v>
      </c>
      <c r="E192" s="68">
        <v>0</v>
      </c>
      <c r="F192" s="68">
        <v>0</v>
      </c>
      <c r="G192" s="68">
        <v>0</v>
      </c>
      <c r="H192" s="68">
        <v>0</v>
      </c>
      <c r="I192" s="68">
        <v>0</v>
      </c>
      <c r="J192" s="68">
        <v>0</v>
      </c>
      <c r="K192" s="68">
        <v>0</v>
      </c>
      <c r="L192" s="68">
        <v>0</v>
      </c>
      <c r="M192" s="68">
        <v>0</v>
      </c>
      <c r="N192" s="68">
        <v>0</v>
      </c>
      <c r="O192" s="68">
        <v>0</v>
      </c>
      <c r="P192" s="69">
        <f>SUM(D192:O192)</f>
        <v>0</v>
      </c>
    </row>
    <row r="193" spans="1:16" x14ac:dyDescent="0.2">
      <c r="A193" s="67" t="s">
        <v>55</v>
      </c>
      <c r="D193" s="267">
        <v>0</v>
      </c>
      <c r="E193" s="267">
        <v>0</v>
      </c>
      <c r="F193" s="267">
        <v>0</v>
      </c>
      <c r="G193" s="267">
        <v>0</v>
      </c>
      <c r="H193" s="267">
        <v>0</v>
      </c>
      <c r="I193" s="267">
        <v>0</v>
      </c>
      <c r="J193" s="267">
        <v>0</v>
      </c>
      <c r="K193" s="267">
        <v>0</v>
      </c>
      <c r="L193" s="267">
        <v>0</v>
      </c>
      <c r="M193" s="267">
        <v>0</v>
      </c>
      <c r="N193" s="267">
        <v>0</v>
      </c>
      <c r="O193" s="267">
        <v>0</v>
      </c>
      <c r="P193" s="71">
        <f>SUM(D193:O193)</f>
        <v>0</v>
      </c>
    </row>
    <row r="194" spans="1:16" ht="3.95" customHeight="1" x14ac:dyDescent="0.2"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</row>
    <row r="195" spans="1:16" x14ac:dyDescent="0.2">
      <c r="A195" s="56" t="s">
        <v>56</v>
      </c>
      <c r="B195" s="790"/>
      <c r="C195" s="58"/>
      <c r="D195" s="74">
        <f t="shared" ref="D195:O195" si="53">SUM(D191:D193)</f>
        <v>0</v>
      </c>
      <c r="E195" s="74">
        <f t="shared" si="53"/>
        <v>0</v>
      </c>
      <c r="F195" s="74">
        <f t="shared" si="53"/>
        <v>0</v>
      </c>
      <c r="G195" s="74">
        <f t="shared" si="53"/>
        <v>0</v>
      </c>
      <c r="H195" s="74">
        <f t="shared" si="53"/>
        <v>0</v>
      </c>
      <c r="I195" s="74">
        <f t="shared" si="53"/>
        <v>0</v>
      </c>
      <c r="J195" s="74">
        <f t="shared" si="53"/>
        <v>0</v>
      </c>
      <c r="K195" s="74">
        <f t="shared" si="53"/>
        <v>0</v>
      </c>
      <c r="L195" s="74">
        <f t="shared" si="53"/>
        <v>0</v>
      </c>
      <c r="M195" s="74">
        <f t="shared" si="53"/>
        <v>0</v>
      </c>
      <c r="N195" s="74">
        <f t="shared" si="53"/>
        <v>0</v>
      </c>
      <c r="O195" s="74">
        <f t="shared" si="53"/>
        <v>0</v>
      </c>
      <c r="P195" s="74">
        <f>SUM(D195:O195)</f>
        <v>0</v>
      </c>
    </row>
    <row r="196" spans="1:16" ht="6" customHeight="1" x14ac:dyDescent="0.2">
      <c r="A196" s="66"/>
      <c r="B196" s="788"/>
      <c r="D196" s="69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</row>
    <row r="197" spans="1:16" x14ac:dyDescent="0.2">
      <c r="A197" s="65" t="s">
        <v>146</v>
      </c>
      <c r="B197" s="789"/>
      <c r="C197" s="58"/>
      <c r="D197" s="74">
        <f t="shared" ref="D197:O197" si="54">-1*D195</f>
        <v>0</v>
      </c>
      <c r="E197" s="74">
        <f t="shared" si="54"/>
        <v>0</v>
      </c>
      <c r="F197" s="74">
        <f t="shared" si="54"/>
        <v>0</v>
      </c>
      <c r="G197" s="74">
        <f t="shared" si="54"/>
        <v>0</v>
      </c>
      <c r="H197" s="74">
        <f t="shared" si="54"/>
        <v>0</v>
      </c>
      <c r="I197" s="74">
        <f t="shared" si="54"/>
        <v>0</v>
      </c>
      <c r="J197" s="74">
        <f t="shared" si="54"/>
        <v>0</v>
      </c>
      <c r="K197" s="74">
        <f t="shared" si="54"/>
        <v>0</v>
      </c>
      <c r="L197" s="74">
        <f t="shared" si="54"/>
        <v>0</v>
      </c>
      <c r="M197" s="74">
        <f t="shared" si="54"/>
        <v>0</v>
      </c>
      <c r="N197" s="74">
        <f t="shared" si="54"/>
        <v>0</v>
      </c>
      <c r="O197" s="74">
        <f t="shared" si="54"/>
        <v>0</v>
      </c>
      <c r="P197" s="74">
        <f>SUM(D197:O197)</f>
        <v>0</v>
      </c>
    </row>
    <row r="198" spans="1:16" ht="12.75" customHeight="1" x14ac:dyDescent="0.2">
      <c r="A198" s="66"/>
      <c r="B198" s="788"/>
    </row>
    <row r="199" spans="1:16" ht="6" customHeight="1" x14ac:dyDescent="0.2">
      <c r="A199" s="81"/>
      <c r="B199" s="791"/>
      <c r="C199" s="82"/>
      <c r="D199" s="82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</row>
    <row r="200" spans="1:16" ht="12.75" customHeight="1" x14ac:dyDescent="0.2"/>
    <row r="201" spans="1:16" x14ac:dyDescent="0.2">
      <c r="A201" s="356" t="s">
        <v>147</v>
      </c>
      <c r="B201" s="788"/>
      <c r="C201" s="62" t="str">
        <f>C47</f>
        <v>DEC.,2001</v>
      </c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58"/>
    </row>
    <row r="202" spans="1:16" ht="3.95" customHeight="1" x14ac:dyDescent="0.2">
      <c r="A202" s="66"/>
      <c r="B202" s="788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</row>
    <row r="203" spans="1:16" x14ac:dyDescent="0.2">
      <c r="A203" s="344" t="s">
        <v>59</v>
      </c>
      <c r="B203" s="788"/>
      <c r="D203" s="69">
        <f t="shared" ref="D203:O203" si="55">C213</f>
        <v>0</v>
      </c>
      <c r="E203" s="69">
        <f t="shared" si="55"/>
        <v>0</v>
      </c>
      <c r="F203" s="69">
        <f t="shared" si="55"/>
        <v>0</v>
      </c>
      <c r="G203" s="69">
        <f t="shared" si="55"/>
        <v>0</v>
      </c>
      <c r="H203" s="69">
        <f t="shared" si="55"/>
        <v>0</v>
      </c>
      <c r="I203" s="69">
        <f t="shared" si="55"/>
        <v>0</v>
      </c>
      <c r="J203" s="69">
        <f t="shared" si="55"/>
        <v>0</v>
      </c>
      <c r="K203" s="69">
        <f t="shared" si="55"/>
        <v>0</v>
      </c>
      <c r="L203" s="69">
        <f t="shared" si="55"/>
        <v>0</v>
      </c>
      <c r="M203" s="69">
        <f t="shared" si="55"/>
        <v>0</v>
      </c>
      <c r="N203" s="69">
        <f t="shared" si="55"/>
        <v>0</v>
      </c>
      <c r="O203" s="69">
        <f t="shared" si="55"/>
        <v>0</v>
      </c>
      <c r="P203" s="69"/>
    </row>
    <row r="204" spans="1:16" ht="6" customHeight="1" x14ac:dyDescent="0.2">
      <c r="A204" s="345"/>
    </row>
    <row r="205" spans="1:16" x14ac:dyDescent="0.2">
      <c r="A205" s="95" t="s">
        <v>108</v>
      </c>
      <c r="B205" s="91"/>
      <c r="D205" s="68">
        <v>0</v>
      </c>
      <c r="E205" s="68">
        <v>0</v>
      </c>
      <c r="F205" s="68">
        <v>0</v>
      </c>
      <c r="G205" s="68">
        <v>0</v>
      </c>
      <c r="H205" s="68">
        <v>0</v>
      </c>
      <c r="I205" s="68">
        <v>0</v>
      </c>
      <c r="J205" s="68">
        <v>0</v>
      </c>
      <c r="K205" s="68">
        <v>0</v>
      </c>
      <c r="L205" s="68">
        <v>0</v>
      </c>
      <c r="M205" s="68">
        <v>0</v>
      </c>
      <c r="N205" s="68">
        <v>0</v>
      </c>
      <c r="O205" s="68">
        <v>0</v>
      </c>
      <c r="P205" s="69">
        <f>SUM(D205:O205)</f>
        <v>0</v>
      </c>
    </row>
    <row r="206" spans="1:16" ht="6" customHeight="1" x14ac:dyDescent="0.2">
      <c r="A206" s="66"/>
      <c r="B206" s="788"/>
      <c r="D206" s="69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</row>
    <row r="207" spans="1:16" x14ac:dyDescent="0.2">
      <c r="A207" s="351" t="s">
        <v>132</v>
      </c>
      <c r="B207" s="788"/>
      <c r="D207" s="69">
        <f t="shared" ref="D207:O207" si="56">D197</f>
        <v>0</v>
      </c>
      <c r="E207" s="69">
        <f t="shared" si="56"/>
        <v>0</v>
      </c>
      <c r="F207" s="69">
        <f t="shared" si="56"/>
        <v>0</v>
      </c>
      <c r="G207" s="69">
        <f t="shared" si="56"/>
        <v>0</v>
      </c>
      <c r="H207" s="69">
        <f t="shared" si="56"/>
        <v>0</v>
      </c>
      <c r="I207" s="69">
        <f t="shared" si="56"/>
        <v>0</v>
      </c>
      <c r="J207" s="69">
        <f t="shared" si="56"/>
        <v>0</v>
      </c>
      <c r="K207" s="69">
        <f t="shared" si="56"/>
        <v>0</v>
      </c>
      <c r="L207" s="69">
        <f t="shared" si="56"/>
        <v>0</v>
      </c>
      <c r="M207" s="69">
        <f t="shared" si="56"/>
        <v>0</v>
      </c>
      <c r="N207" s="69">
        <f t="shared" si="56"/>
        <v>0</v>
      </c>
      <c r="O207" s="69">
        <f t="shared" si="56"/>
        <v>0</v>
      </c>
      <c r="P207" s="69">
        <f>SUM(D207:O207)</f>
        <v>0</v>
      </c>
    </row>
    <row r="208" spans="1:16" ht="6" customHeight="1" x14ac:dyDescent="0.2">
      <c r="A208" s="66"/>
      <c r="B208" s="788"/>
      <c r="D208" s="69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</row>
    <row r="209" spans="1:16" x14ac:dyDescent="0.2">
      <c r="A209" s="351" t="s">
        <v>148</v>
      </c>
      <c r="B209" s="788"/>
      <c r="D209" s="68">
        <v>0</v>
      </c>
      <c r="E209" s="68">
        <v>0</v>
      </c>
      <c r="F209" s="68">
        <v>0</v>
      </c>
      <c r="G209" s="68">
        <v>0</v>
      </c>
      <c r="H209" s="68">
        <v>0</v>
      </c>
      <c r="I209" s="68">
        <v>0</v>
      </c>
      <c r="J209" s="68">
        <v>0</v>
      </c>
      <c r="K209" s="68">
        <v>0</v>
      </c>
      <c r="L209" s="68">
        <v>0</v>
      </c>
      <c r="M209" s="68">
        <v>0</v>
      </c>
      <c r="N209" s="68">
        <v>0</v>
      </c>
      <c r="O209" s="68">
        <v>0</v>
      </c>
      <c r="P209" s="69">
        <f>SUM(D209:O209)</f>
        <v>0</v>
      </c>
    </row>
    <row r="210" spans="1:16" ht="6" customHeight="1" x14ac:dyDescent="0.2">
      <c r="A210" s="66"/>
      <c r="B210" s="788"/>
      <c r="D210" s="69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</row>
    <row r="211" spans="1:16" x14ac:dyDescent="0.2">
      <c r="A211" s="67" t="s">
        <v>111</v>
      </c>
      <c r="B211" s="788"/>
      <c r="D211" s="71">
        <f t="shared" ref="D211:P211" si="57">D286</f>
        <v>0</v>
      </c>
      <c r="E211" s="71">
        <f t="shared" si="57"/>
        <v>0</v>
      </c>
      <c r="F211" s="71">
        <f t="shared" si="57"/>
        <v>0</v>
      </c>
      <c r="G211" s="71">
        <f t="shared" si="57"/>
        <v>0</v>
      </c>
      <c r="H211" s="71">
        <f t="shared" si="57"/>
        <v>0</v>
      </c>
      <c r="I211" s="71">
        <f t="shared" si="57"/>
        <v>0</v>
      </c>
      <c r="J211" s="71">
        <f t="shared" si="57"/>
        <v>0</v>
      </c>
      <c r="K211" s="71">
        <f t="shared" si="57"/>
        <v>0</v>
      </c>
      <c r="L211" s="71">
        <f t="shared" si="57"/>
        <v>0</v>
      </c>
      <c r="M211" s="71">
        <f t="shared" si="57"/>
        <v>0</v>
      </c>
      <c r="N211" s="71">
        <f t="shared" si="57"/>
        <v>0</v>
      </c>
      <c r="O211" s="71">
        <f t="shared" si="57"/>
        <v>0</v>
      </c>
      <c r="P211" s="71">
        <f t="shared" si="57"/>
        <v>0</v>
      </c>
    </row>
    <row r="212" spans="1:16" ht="3.95" customHeight="1" x14ac:dyDescent="0.2">
      <c r="A212" s="66"/>
      <c r="B212" s="788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</row>
    <row r="213" spans="1:16" x14ac:dyDescent="0.2">
      <c r="A213" s="344" t="s">
        <v>64</v>
      </c>
      <c r="C213" s="264">
        <v>0</v>
      </c>
      <c r="D213" s="87">
        <f t="shared" ref="D213:O213" si="58">SUM(D203:D211)</f>
        <v>0</v>
      </c>
      <c r="E213" s="87">
        <f t="shared" si="58"/>
        <v>0</v>
      </c>
      <c r="F213" s="87">
        <f t="shared" si="58"/>
        <v>0</v>
      </c>
      <c r="G213" s="87">
        <f t="shared" si="58"/>
        <v>0</v>
      </c>
      <c r="H213" s="87">
        <f t="shared" si="58"/>
        <v>0</v>
      </c>
      <c r="I213" s="87">
        <f t="shared" si="58"/>
        <v>0</v>
      </c>
      <c r="J213" s="87">
        <f t="shared" si="58"/>
        <v>0</v>
      </c>
      <c r="K213" s="87">
        <f t="shared" si="58"/>
        <v>0</v>
      </c>
      <c r="L213" s="87">
        <f t="shared" si="58"/>
        <v>0</v>
      </c>
      <c r="M213" s="87">
        <f t="shared" si="58"/>
        <v>0</v>
      </c>
      <c r="N213" s="87">
        <f t="shared" si="58"/>
        <v>0</v>
      </c>
      <c r="O213" s="87">
        <f t="shared" si="58"/>
        <v>0</v>
      </c>
      <c r="P213" s="87">
        <f>SUM(P205:P211)+D203</f>
        <v>0</v>
      </c>
    </row>
    <row r="214" spans="1:16" ht="12.75" customHeight="1" x14ac:dyDescent="0.2"/>
    <row r="215" spans="1:16" x14ac:dyDescent="0.2">
      <c r="A215" s="67" t="s">
        <v>149</v>
      </c>
      <c r="C215" s="66"/>
      <c r="D215" s="620" t="e">
        <f>ROUND((D211/C213)*(365/31),4)</f>
        <v>#DIV/0!</v>
      </c>
      <c r="E215" s="620" t="e">
        <f>ROUND((E211/D213)*(365/28),4)</f>
        <v>#DIV/0!</v>
      </c>
      <c r="F215" s="620" t="e">
        <f>ROUND((F211/E213)*(365/31),4)</f>
        <v>#DIV/0!</v>
      </c>
      <c r="G215" s="620" t="e">
        <f>ROUND((G211/F213)*(365/30),4)</f>
        <v>#DIV/0!</v>
      </c>
      <c r="H215" s="620" t="e">
        <f>ROUND((H211/G213)*(365/31),4)</f>
        <v>#DIV/0!</v>
      </c>
      <c r="I215" s="620" t="e">
        <f>ROUND((I211/H213)*(365/30),4)</f>
        <v>#DIV/0!</v>
      </c>
      <c r="J215" s="620" t="e">
        <f>ROUND((J211/I213)*(365/31),4)</f>
        <v>#DIV/0!</v>
      </c>
      <c r="K215" s="620" t="e">
        <f>ROUND((K211/J213)*(365/31),4)</f>
        <v>#DIV/0!</v>
      </c>
      <c r="L215" s="620" t="e">
        <f>ROUND((L211/K213)*(365/30),4)</f>
        <v>#DIV/0!</v>
      </c>
      <c r="M215" s="620" t="e">
        <f>ROUND((M211/L213)*(365/31),4)</f>
        <v>#DIV/0!</v>
      </c>
      <c r="N215" s="620" t="e">
        <f>ROUND((N211/M213)*(365/30),4)</f>
        <v>#DIV/0!</v>
      </c>
      <c r="O215" s="620" t="e">
        <f>ROUND((O211/N213)*(365/31),4)</f>
        <v>#DIV/0!</v>
      </c>
    </row>
    <row r="216" spans="1:16" x14ac:dyDescent="0.2">
      <c r="A216" s="626" t="str">
        <f>A62</f>
        <v xml:space="preserve">      Monthly</v>
      </c>
      <c r="C216" s="66"/>
      <c r="D216" s="621" t="e">
        <f>ROUND((D215/365)*31,4)</f>
        <v>#DIV/0!</v>
      </c>
      <c r="E216" s="621" t="e">
        <f>ROUND((E215/365)*28,4)</f>
        <v>#DIV/0!</v>
      </c>
      <c r="F216" s="621" t="e">
        <f>ROUND((F215/365)*31,4)</f>
        <v>#DIV/0!</v>
      </c>
      <c r="G216" s="621" t="e">
        <f>ROUND((G215/365)*30,4)</f>
        <v>#DIV/0!</v>
      </c>
      <c r="H216" s="621" t="e">
        <f>ROUND((H215/365)*31,4)</f>
        <v>#DIV/0!</v>
      </c>
      <c r="I216" s="621" t="e">
        <f>ROUND((I215/365)*30,4)</f>
        <v>#DIV/0!</v>
      </c>
      <c r="J216" s="621" t="e">
        <f>ROUND((J215/365)*31,4)</f>
        <v>#DIV/0!</v>
      </c>
      <c r="K216" s="621" t="e">
        <f>ROUND((K215/365)*31,4)</f>
        <v>#DIV/0!</v>
      </c>
      <c r="L216" s="621" t="e">
        <f>ROUND((L215/365)*30,4)</f>
        <v>#DIV/0!</v>
      </c>
      <c r="M216" s="621" t="e">
        <f>ROUND((M215/365)*31,4)</f>
        <v>#DIV/0!</v>
      </c>
      <c r="N216" s="621" t="e">
        <f>ROUND((N215/365)*30,4)</f>
        <v>#DIV/0!</v>
      </c>
      <c r="O216" s="621" t="e">
        <f>ROUND((O215/365)*31,4)</f>
        <v>#DIV/0!</v>
      </c>
    </row>
    <row r="217" spans="1:16" ht="6" customHeight="1" x14ac:dyDescent="0.2">
      <c r="A217" s="66"/>
      <c r="C217" s="66"/>
    </row>
    <row r="218" spans="1:16" x14ac:dyDescent="0.2">
      <c r="A218" s="65" t="str">
        <f>A66</f>
        <v xml:space="preserve">      Total Current Month Carrying Charges</v>
      </c>
      <c r="C218" s="86"/>
      <c r="D218" s="504">
        <f t="shared" ref="D218:O218" si="59">D211</f>
        <v>0</v>
      </c>
      <c r="E218" s="74">
        <f t="shared" si="59"/>
        <v>0</v>
      </c>
      <c r="F218" s="74">
        <f t="shared" si="59"/>
        <v>0</v>
      </c>
      <c r="G218" s="74">
        <f t="shared" si="59"/>
        <v>0</v>
      </c>
      <c r="H218" s="74">
        <f t="shared" si="59"/>
        <v>0</v>
      </c>
      <c r="I218" s="74">
        <f t="shared" si="59"/>
        <v>0</v>
      </c>
      <c r="J218" s="74">
        <f t="shared" si="59"/>
        <v>0</v>
      </c>
      <c r="K218" s="74">
        <f t="shared" si="59"/>
        <v>0</v>
      </c>
      <c r="L218" s="74">
        <f t="shared" si="59"/>
        <v>0</v>
      </c>
      <c r="M218" s="74">
        <f t="shared" si="59"/>
        <v>0</v>
      </c>
      <c r="N218" s="74">
        <f t="shared" si="59"/>
        <v>0</v>
      </c>
      <c r="O218" s="74">
        <f t="shared" si="59"/>
        <v>0</v>
      </c>
      <c r="P218" s="74">
        <f>SUM(D218:O218)</f>
        <v>0</v>
      </c>
    </row>
    <row r="219" spans="1:16" ht="6" customHeight="1" x14ac:dyDescent="0.2">
      <c r="A219" s="66"/>
      <c r="B219" s="788"/>
    </row>
    <row r="220" spans="1:16" x14ac:dyDescent="0.2">
      <c r="A220" s="65" t="str">
        <f>A68</f>
        <v xml:space="preserve">      Cumulative Carrying Charges</v>
      </c>
      <c r="B220" s="788"/>
      <c r="D220" s="69">
        <f>D218</f>
        <v>0</v>
      </c>
      <c r="E220" s="69">
        <f t="shared" ref="E220:O220" si="60">E218+D220</f>
        <v>0</v>
      </c>
      <c r="F220" s="69">
        <f t="shared" si="60"/>
        <v>0</v>
      </c>
      <c r="G220" s="69">
        <f t="shared" si="60"/>
        <v>0</v>
      </c>
      <c r="H220" s="69">
        <f t="shared" si="60"/>
        <v>0</v>
      </c>
      <c r="I220" s="69">
        <f t="shared" si="60"/>
        <v>0</v>
      </c>
      <c r="J220" s="69">
        <f t="shared" si="60"/>
        <v>0</v>
      </c>
      <c r="K220" s="69">
        <f t="shared" si="60"/>
        <v>0</v>
      </c>
      <c r="L220" s="69">
        <f t="shared" si="60"/>
        <v>0</v>
      </c>
      <c r="M220" s="69">
        <f t="shared" si="60"/>
        <v>0</v>
      </c>
      <c r="N220" s="69">
        <f t="shared" si="60"/>
        <v>0</v>
      </c>
      <c r="O220" s="69">
        <f t="shared" si="60"/>
        <v>0</v>
      </c>
    </row>
    <row r="221" spans="1:16" ht="6" customHeight="1" x14ac:dyDescent="0.2"/>
    <row r="222" spans="1:16" customFormat="1" x14ac:dyDescent="0.2">
      <c r="B222" s="691"/>
    </row>
    <row r="223" spans="1:16" x14ac:dyDescent="0.2">
      <c r="A223" s="605" t="str">
        <f ca="1">CELL("FILENAME")</f>
        <v>C:\Users\Felienne\Enron\EnronSpreadsheets\[tracy_geaccone__40367__EMNNG02PL.xls]IncomeState</v>
      </c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</row>
    <row r="224" spans="1:16" x14ac:dyDescent="0.2">
      <c r="A224" s="340" t="s">
        <v>150</v>
      </c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</row>
    <row r="225" spans="1:16" x14ac:dyDescent="0.2">
      <c r="A225" s="355" t="str">
        <f>A3</f>
        <v>2002 OPERATING PLAN</v>
      </c>
      <c r="B225" s="786">
        <f ca="1">NOW()</f>
        <v>41887.551126967592</v>
      </c>
      <c r="C225" s="489" t="s">
        <v>151</v>
      </c>
      <c r="D225" s="60"/>
      <c r="E225" s="59"/>
      <c r="F225" s="59"/>
      <c r="G225" s="60"/>
      <c r="H225" s="60"/>
      <c r="I225" s="60"/>
      <c r="J225" s="59"/>
      <c r="K225" s="59"/>
      <c r="L225" s="59"/>
      <c r="M225" s="59"/>
      <c r="N225" s="59"/>
      <c r="O225" s="59"/>
      <c r="P225" s="90"/>
    </row>
    <row r="226" spans="1:16" ht="12.95" customHeight="1" x14ac:dyDescent="0.2">
      <c r="A226" s="61"/>
      <c r="B226" s="787">
        <f ca="1">NOW()</f>
        <v>41887.55112708333</v>
      </c>
      <c r="C226" s="338" t="str">
        <f t="shared" ref="C226:P226" si="61">C4</f>
        <v>BALANCE</v>
      </c>
      <c r="D226" s="338" t="str">
        <f t="shared" si="61"/>
        <v>JAN</v>
      </c>
      <c r="E226" s="338" t="str">
        <f t="shared" si="61"/>
        <v>FEB</v>
      </c>
      <c r="F226" s="338" t="str">
        <f t="shared" si="61"/>
        <v>MAR</v>
      </c>
      <c r="G226" s="338" t="str">
        <f t="shared" si="61"/>
        <v>APR</v>
      </c>
      <c r="H226" s="338" t="str">
        <f t="shared" si="61"/>
        <v>MAY</v>
      </c>
      <c r="I226" s="338" t="str">
        <f t="shared" si="61"/>
        <v>JUN</v>
      </c>
      <c r="J226" s="338" t="str">
        <f t="shared" si="61"/>
        <v>JUL</v>
      </c>
      <c r="K226" s="338" t="str">
        <f t="shared" si="61"/>
        <v>AUG</v>
      </c>
      <c r="L226" s="338" t="str">
        <f t="shared" si="61"/>
        <v>SEP</v>
      </c>
      <c r="M226" s="338" t="str">
        <f t="shared" si="61"/>
        <v>OCT</v>
      </c>
      <c r="N226" s="338" t="str">
        <f t="shared" si="61"/>
        <v>NOV</v>
      </c>
      <c r="O226" s="338" t="str">
        <f t="shared" si="61"/>
        <v>DEC</v>
      </c>
      <c r="P226" s="338" t="str">
        <f t="shared" si="61"/>
        <v>2002</v>
      </c>
    </row>
    <row r="227" spans="1:16" ht="3.95" customHeight="1" x14ac:dyDescent="0.2"/>
    <row r="228" spans="1:16" x14ac:dyDescent="0.2">
      <c r="A228" s="356" t="s">
        <v>152</v>
      </c>
      <c r="B228" s="788"/>
      <c r="C228" s="62" t="str">
        <f>C47</f>
        <v>DEC.,2001</v>
      </c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58"/>
    </row>
    <row r="229" spans="1:16" ht="3.95" customHeight="1" x14ac:dyDescent="0.2">
      <c r="A229" s="66"/>
      <c r="B229" s="788"/>
      <c r="D229" s="79"/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</row>
    <row r="230" spans="1:16" x14ac:dyDescent="0.2">
      <c r="A230" s="344" t="s">
        <v>59</v>
      </c>
      <c r="B230" s="788"/>
      <c r="D230" s="69">
        <f t="shared" ref="D230:O230" si="62">C240</f>
        <v>0</v>
      </c>
      <c r="E230" s="69">
        <f t="shared" si="62"/>
        <v>0</v>
      </c>
      <c r="F230" s="69">
        <f t="shared" si="62"/>
        <v>0</v>
      </c>
      <c r="G230" s="69">
        <f t="shared" si="62"/>
        <v>0</v>
      </c>
      <c r="H230" s="69">
        <f t="shared" si="62"/>
        <v>0</v>
      </c>
      <c r="I230" s="69">
        <f t="shared" si="62"/>
        <v>0</v>
      </c>
      <c r="J230" s="69">
        <f t="shared" si="62"/>
        <v>0</v>
      </c>
      <c r="K230" s="69">
        <f t="shared" si="62"/>
        <v>0</v>
      </c>
      <c r="L230" s="69">
        <f t="shared" si="62"/>
        <v>0</v>
      </c>
      <c r="M230" s="69">
        <f t="shared" si="62"/>
        <v>0</v>
      </c>
      <c r="N230" s="69">
        <f t="shared" si="62"/>
        <v>0</v>
      </c>
      <c r="O230" s="69">
        <f t="shared" si="62"/>
        <v>0</v>
      </c>
      <c r="P230" s="69"/>
    </row>
    <row r="231" spans="1:16" ht="6" customHeight="1" x14ac:dyDescent="0.2"/>
    <row r="232" spans="1:16" x14ac:dyDescent="0.2">
      <c r="A232" s="95" t="s">
        <v>108</v>
      </c>
      <c r="B232" s="91"/>
      <c r="D232" s="68">
        <v>0</v>
      </c>
      <c r="E232" s="68">
        <v>0</v>
      </c>
      <c r="F232" s="68">
        <v>0</v>
      </c>
      <c r="G232" s="68">
        <v>0</v>
      </c>
      <c r="H232" s="68">
        <v>0</v>
      </c>
      <c r="I232" s="68">
        <v>0</v>
      </c>
      <c r="J232" s="68">
        <v>0</v>
      </c>
      <c r="K232" s="68">
        <v>0</v>
      </c>
      <c r="L232" s="68">
        <v>0</v>
      </c>
      <c r="M232" s="68">
        <v>0</v>
      </c>
      <c r="N232" s="68">
        <v>0</v>
      </c>
      <c r="O232" s="68">
        <v>0</v>
      </c>
      <c r="P232" s="69">
        <f>SUM(D232:O232)</f>
        <v>0</v>
      </c>
    </row>
    <row r="233" spans="1:16" ht="6" customHeight="1" x14ac:dyDescent="0.2">
      <c r="A233" s="66"/>
      <c r="B233" s="788"/>
      <c r="D233" s="69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</row>
    <row r="234" spans="1:16" x14ac:dyDescent="0.2">
      <c r="A234" s="351" t="s">
        <v>132</v>
      </c>
      <c r="B234" s="788"/>
      <c r="D234" s="69">
        <f t="shared" ref="D234:O234" si="63">D207-D258</f>
        <v>0</v>
      </c>
      <c r="E234" s="69">
        <f t="shared" si="63"/>
        <v>0</v>
      </c>
      <c r="F234" s="69">
        <f t="shared" si="63"/>
        <v>0</v>
      </c>
      <c r="G234" s="69">
        <f t="shared" si="63"/>
        <v>0</v>
      </c>
      <c r="H234" s="69">
        <f t="shared" si="63"/>
        <v>0</v>
      </c>
      <c r="I234" s="69">
        <f t="shared" si="63"/>
        <v>0</v>
      </c>
      <c r="J234" s="69">
        <f t="shared" si="63"/>
        <v>0</v>
      </c>
      <c r="K234" s="69">
        <f t="shared" si="63"/>
        <v>0</v>
      </c>
      <c r="L234" s="69">
        <f t="shared" si="63"/>
        <v>0</v>
      </c>
      <c r="M234" s="69">
        <f t="shared" si="63"/>
        <v>0</v>
      </c>
      <c r="N234" s="69">
        <f t="shared" si="63"/>
        <v>0</v>
      </c>
      <c r="O234" s="69">
        <f t="shared" si="63"/>
        <v>0</v>
      </c>
      <c r="P234" s="69">
        <f>SUM(D234:O234)</f>
        <v>0</v>
      </c>
    </row>
    <row r="235" spans="1:16" ht="6" customHeight="1" x14ac:dyDescent="0.2">
      <c r="A235" s="66"/>
      <c r="B235" s="788"/>
      <c r="D235" s="69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</row>
    <row r="236" spans="1:16" x14ac:dyDescent="0.2">
      <c r="A236" s="351" t="s">
        <v>153</v>
      </c>
      <c r="B236" s="788"/>
      <c r="D236" s="481">
        <f t="shared" ref="D236:O236" si="64">D209</f>
        <v>0</v>
      </c>
      <c r="E236" s="481">
        <f t="shared" si="64"/>
        <v>0</v>
      </c>
      <c r="F236" s="481">
        <f t="shared" si="64"/>
        <v>0</v>
      </c>
      <c r="G236" s="481">
        <f t="shared" si="64"/>
        <v>0</v>
      </c>
      <c r="H236" s="481">
        <f t="shared" si="64"/>
        <v>0</v>
      </c>
      <c r="I236" s="481">
        <f t="shared" si="64"/>
        <v>0</v>
      </c>
      <c r="J236" s="481">
        <f t="shared" si="64"/>
        <v>0</v>
      </c>
      <c r="K236" s="481">
        <f t="shared" si="64"/>
        <v>0</v>
      </c>
      <c r="L236" s="481">
        <f t="shared" si="64"/>
        <v>0</v>
      </c>
      <c r="M236" s="481">
        <f t="shared" si="64"/>
        <v>0</v>
      </c>
      <c r="N236" s="481">
        <f t="shared" si="64"/>
        <v>0</v>
      </c>
      <c r="O236" s="481">
        <f t="shared" si="64"/>
        <v>0</v>
      </c>
      <c r="P236" s="69">
        <f>SUM(D236:O236)</f>
        <v>0</v>
      </c>
    </row>
    <row r="237" spans="1:16" ht="6" customHeight="1" x14ac:dyDescent="0.2">
      <c r="A237" s="66"/>
      <c r="B237" s="788"/>
      <c r="D237" s="69"/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</row>
    <row r="238" spans="1:16" x14ac:dyDescent="0.2">
      <c r="A238" s="67" t="s">
        <v>111</v>
      </c>
      <c r="B238" s="788"/>
      <c r="D238" s="71">
        <f t="shared" ref="D238:O238" si="65">D247</f>
        <v>0</v>
      </c>
      <c r="E238" s="71">
        <f t="shared" si="65"/>
        <v>0</v>
      </c>
      <c r="F238" s="71">
        <f t="shared" si="65"/>
        <v>0</v>
      </c>
      <c r="G238" s="71">
        <f t="shared" si="65"/>
        <v>0</v>
      </c>
      <c r="H238" s="71">
        <f t="shared" si="65"/>
        <v>0</v>
      </c>
      <c r="I238" s="71">
        <f t="shared" si="65"/>
        <v>0</v>
      </c>
      <c r="J238" s="71">
        <f t="shared" si="65"/>
        <v>0</v>
      </c>
      <c r="K238" s="71">
        <f t="shared" si="65"/>
        <v>0</v>
      </c>
      <c r="L238" s="71">
        <f t="shared" si="65"/>
        <v>0</v>
      </c>
      <c r="M238" s="71">
        <f t="shared" si="65"/>
        <v>0</v>
      </c>
      <c r="N238" s="71">
        <f t="shared" si="65"/>
        <v>0</v>
      </c>
      <c r="O238" s="71">
        <f t="shared" si="65"/>
        <v>0</v>
      </c>
      <c r="P238" s="71">
        <f>SUM(D238:O238)</f>
        <v>0</v>
      </c>
    </row>
    <row r="239" spans="1:16" ht="3.95" customHeight="1" x14ac:dyDescent="0.2">
      <c r="A239" s="66"/>
      <c r="B239" s="788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</row>
    <row r="240" spans="1:16" x14ac:dyDescent="0.2">
      <c r="A240" s="344" t="s">
        <v>64</v>
      </c>
      <c r="B240" s="793"/>
      <c r="C240" s="637">
        <v>0</v>
      </c>
      <c r="D240" s="87">
        <f t="shared" ref="D240:O240" si="66">SUM(D230:D238)</f>
        <v>0</v>
      </c>
      <c r="E240" s="87">
        <f t="shared" si="66"/>
        <v>0</v>
      </c>
      <c r="F240" s="87">
        <f t="shared" si="66"/>
        <v>0</v>
      </c>
      <c r="G240" s="87">
        <f t="shared" si="66"/>
        <v>0</v>
      </c>
      <c r="H240" s="87">
        <f t="shared" si="66"/>
        <v>0</v>
      </c>
      <c r="I240" s="87">
        <f t="shared" si="66"/>
        <v>0</v>
      </c>
      <c r="J240" s="87">
        <f t="shared" si="66"/>
        <v>0</v>
      </c>
      <c r="K240" s="87">
        <f t="shared" si="66"/>
        <v>0</v>
      </c>
      <c r="L240" s="87">
        <f t="shared" si="66"/>
        <v>0</v>
      </c>
      <c r="M240" s="87">
        <f t="shared" si="66"/>
        <v>0</v>
      </c>
      <c r="N240" s="87">
        <f t="shared" si="66"/>
        <v>0</v>
      </c>
      <c r="O240" s="87">
        <f t="shared" si="66"/>
        <v>0</v>
      </c>
      <c r="P240" s="87">
        <f>SUM(P232:P238)+D230</f>
        <v>0</v>
      </c>
    </row>
    <row r="241" spans="1:16" x14ac:dyDescent="0.2">
      <c r="A241" s="66"/>
      <c r="C241" s="66"/>
      <c r="D241" s="79"/>
      <c r="E241" s="79"/>
      <c r="F241" s="79"/>
      <c r="G241" s="79"/>
      <c r="H241" s="79"/>
      <c r="I241" s="76"/>
      <c r="J241" s="79"/>
      <c r="K241" s="79"/>
      <c r="L241" s="79"/>
      <c r="M241" s="79"/>
      <c r="N241" s="79"/>
      <c r="O241" s="79"/>
    </row>
    <row r="242" spans="1:16" x14ac:dyDescent="0.2">
      <c r="A242" s="626" t="str">
        <f>A61</f>
        <v xml:space="preserve">   Interest Rate </v>
      </c>
      <c r="C242" s="66"/>
      <c r="D242" s="97">
        <f t="shared" ref="D242:O242" si="67">D61</f>
        <v>7.7499999999999999E-2</v>
      </c>
      <c r="E242" s="97">
        <f t="shared" si="67"/>
        <v>7.7499999999999999E-2</v>
      </c>
      <c r="F242" s="97">
        <f t="shared" si="67"/>
        <v>7.7499999999999999E-2</v>
      </c>
      <c r="G242" s="97">
        <f t="shared" si="67"/>
        <v>7.7499999999999999E-2</v>
      </c>
      <c r="H242" s="97">
        <f t="shared" si="67"/>
        <v>7.7499999999999999E-2</v>
      </c>
      <c r="I242" s="97">
        <f t="shared" si="67"/>
        <v>7.7499999999999999E-2</v>
      </c>
      <c r="J242" s="97">
        <f t="shared" si="67"/>
        <v>7.7499999999999999E-2</v>
      </c>
      <c r="K242" s="97">
        <f t="shared" si="67"/>
        <v>7.7499999999999999E-2</v>
      </c>
      <c r="L242" s="97">
        <f t="shared" si="67"/>
        <v>7.7499999999999999E-2</v>
      </c>
      <c r="M242" s="97">
        <f t="shared" si="67"/>
        <v>7.7499999999999999E-2</v>
      </c>
      <c r="N242" s="97">
        <f t="shared" si="67"/>
        <v>7.7499999999999999E-2</v>
      </c>
      <c r="O242" s="97">
        <f t="shared" si="67"/>
        <v>7.7499999999999999E-2</v>
      </c>
    </row>
    <row r="243" spans="1:16" x14ac:dyDescent="0.2">
      <c r="A243" s="626" t="str">
        <f>A62</f>
        <v xml:space="preserve">      Monthly</v>
      </c>
      <c r="C243" s="66"/>
      <c r="D243" s="89">
        <f t="shared" ref="D243:O243" si="68">D62</f>
        <v>6.6E-3</v>
      </c>
      <c r="E243" s="89">
        <f t="shared" si="68"/>
        <v>5.8999999999999999E-3</v>
      </c>
      <c r="F243" s="89">
        <f t="shared" si="68"/>
        <v>6.6E-3</v>
      </c>
      <c r="G243" s="89">
        <f t="shared" si="68"/>
        <v>6.4000000000000003E-3</v>
      </c>
      <c r="H243" s="89">
        <f t="shared" si="68"/>
        <v>6.6E-3</v>
      </c>
      <c r="I243" s="89">
        <f t="shared" si="68"/>
        <v>6.4000000000000003E-3</v>
      </c>
      <c r="J243" s="89">
        <f t="shared" si="68"/>
        <v>6.6E-3</v>
      </c>
      <c r="K243" s="89">
        <f t="shared" si="68"/>
        <v>6.6E-3</v>
      </c>
      <c r="L243" s="89">
        <f t="shared" si="68"/>
        <v>6.4000000000000003E-3</v>
      </c>
      <c r="M243" s="89">
        <f t="shared" si="68"/>
        <v>6.6E-3</v>
      </c>
      <c r="N243" s="89">
        <f t="shared" si="68"/>
        <v>6.4000000000000003E-3</v>
      </c>
      <c r="O243" s="89">
        <f t="shared" si="68"/>
        <v>6.6E-3</v>
      </c>
    </row>
    <row r="244" spans="1:16" ht="6" customHeight="1" x14ac:dyDescent="0.2">
      <c r="A244" s="66"/>
      <c r="C244" s="66"/>
    </row>
    <row r="245" spans="1:16" x14ac:dyDescent="0.2">
      <c r="A245" s="624" t="s">
        <v>67</v>
      </c>
      <c r="C245" s="86"/>
      <c r="D245" s="629">
        <f>ROUND(C240*D243,0)</f>
        <v>0</v>
      </c>
      <c r="E245" s="629">
        <f>ROUND(D240*E243,0)</f>
        <v>0</v>
      </c>
      <c r="F245" s="629">
        <f>ROUND(E240*F243,0)</f>
        <v>0</v>
      </c>
      <c r="G245" s="629">
        <f>ROUND(F240*G243,0)</f>
        <v>0</v>
      </c>
      <c r="H245" s="629">
        <f t="shared" ref="H245:O245" si="69">ROUND(G240*H243,0)</f>
        <v>0</v>
      </c>
      <c r="I245" s="629">
        <f>ROUND(H240*I243,0)</f>
        <v>0</v>
      </c>
      <c r="J245" s="629">
        <f>ROUND(I240*J243,0)</f>
        <v>0</v>
      </c>
      <c r="K245" s="629">
        <f t="shared" si="69"/>
        <v>0</v>
      </c>
      <c r="L245" s="629">
        <f>ROUND(K240*L243,0)</f>
        <v>0</v>
      </c>
      <c r="M245" s="629">
        <f t="shared" si="69"/>
        <v>0</v>
      </c>
      <c r="N245" s="629">
        <f t="shared" si="69"/>
        <v>0</v>
      </c>
      <c r="O245" s="629">
        <f t="shared" si="69"/>
        <v>0</v>
      </c>
      <c r="P245" s="630">
        <f>SUM(D245:O245)</f>
        <v>0</v>
      </c>
    </row>
    <row r="246" spans="1:16" x14ac:dyDescent="0.2">
      <c r="A246" s="351" t="s">
        <v>102</v>
      </c>
      <c r="C246" s="86"/>
      <c r="D246" s="267">
        <v>0</v>
      </c>
      <c r="E246" s="267">
        <v>0</v>
      </c>
      <c r="F246" s="267">
        <v>0</v>
      </c>
      <c r="G246" s="267">
        <v>0</v>
      </c>
      <c r="H246" s="267">
        <v>0</v>
      </c>
      <c r="I246" s="267">
        <v>0</v>
      </c>
      <c r="J246" s="267">
        <v>0</v>
      </c>
      <c r="K246" s="267">
        <v>0</v>
      </c>
      <c r="L246" s="267">
        <v>0</v>
      </c>
      <c r="M246" s="267">
        <v>0</v>
      </c>
      <c r="N246" s="267">
        <v>0</v>
      </c>
      <c r="O246" s="267">
        <v>0</v>
      </c>
      <c r="P246" s="71">
        <f>SUM(D246:O246)</f>
        <v>0</v>
      </c>
    </row>
    <row r="247" spans="1:16" x14ac:dyDescent="0.2">
      <c r="A247" s="627" t="str">
        <f>A66</f>
        <v xml:space="preserve">      Total Current Month Carrying Charges</v>
      </c>
      <c r="C247" s="86"/>
      <c r="D247" s="74">
        <f>D245+D246</f>
        <v>0</v>
      </c>
      <c r="E247" s="74">
        <f t="shared" ref="E247:P247" si="70">E245+E246</f>
        <v>0</v>
      </c>
      <c r="F247" s="74">
        <f t="shared" si="70"/>
        <v>0</v>
      </c>
      <c r="G247" s="74">
        <f t="shared" si="70"/>
        <v>0</v>
      </c>
      <c r="H247" s="74">
        <f t="shared" si="70"/>
        <v>0</v>
      </c>
      <c r="I247" s="74">
        <f t="shared" si="70"/>
        <v>0</v>
      </c>
      <c r="J247" s="74">
        <f t="shared" si="70"/>
        <v>0</v>
      </c>
      <c r="K247" s="74">
        <f t="shared" si="70"/>
        <v>0</v>
      </c>
      <c r="L247" s="74">
        <f t="shared" si="70"/>
        <v>0</v>
      </c>
      <c r="M247" s="74">
        <f t="shared" si="70"/>
        <v>0</v>
      </c>
      <c r="N247" s="74">
        <f t="shared" si="70"/>
        <v>0</v>
      </c>
      <c r="O247" s="74">
        <f t="shared" si="70"/>
        <v>0</v>
      </c>
      <c r="P247" s="74">
        <f t="shared" si="70"/>
        <v>0</v>
      </c>
    </row>
    <row r="248" spans="1:16" ht="6" customHeight="1" x14ac:dyDescent="0.2">
      <c r="A248" s="66"/>
      <c r="B248" s="788"/>
    </row>
    <row r="249" spans="1:16" x14ac:dyDescent="0.2">
      <c r="A249" s="627" t="str">
        <f>A68</f>
        <v xml:space="preserve">      Cumulative Carrying Charges</v>
      </c>
      <c r="B249" s="788"/>
      <c r="D249" s="69">
        <f>D247</f>
        <v>0</v>
      </c>
      <c r="E249" s="69">
        <f>E247+D249</f>
        <v>0</v>
      </c>
      <c r="F249" s="69">
        <f t="shared" ref="F249:O249" si="71">F247+E249</f>
        <v>0</v>
      </c>
      <c r="G249" s="69">
        <f t="shared" si="71"/>
        <v>0</v>
      </c>
      <c r="H249" s="69">
        <f t="shared" si="71"/>
        <v>0</v>
      </c>
      <c r="I249" s="69">
        <f t="shared" si="71"/>
        <v>0</v>
      </c>
      <c r="J249" s="69">
        <f t="shared" si="71"/>
        <v>0</v>
      </c>
      <c r="K249" s="69">
        <f t="shared" si="71"/>
        <v>0</v>
      </c>
      <c r="L249" s="69">
        <f t="shared" si="71"/>
        <v>0</v>
      </c>
      <c r="M249" s="69">
        <f t="shared" si="71"/>
        <v>0</v>
      </c>
      <c r="N249" s="69">
        <f t="shared" si="71"/>
        <v>0</v>
      </c>
      <c r="O249" s="69">
        <f t="shared" si="71"/>
        <v>0</v>
      </c>
    </row>
    <row r="252" spans="1:16" x14ac:dyDescent="0.2">
      <c r="A252" s="356" t="s">
        <v>154</v>
      </c>
      <c r="B252" s="788"/>
      <c r="C252" s="62" t="str">
        <f>C47</f>
        <v>DEC.,2001</v>
      </c>
      <c r="D252" s="85"/>
      <c r="E252" s="85"/>
      <c r="F252" s="85"/>
      <c r="G252" s="85"/>
      <c r="H252" s="85"/>
      <c r="I252" s="85"/>
      <c r="J252" s="85"/>
      <c r="K252" s="85"/>
      <c r="L252" s="85"/>
      <c r="M252" s="85"/>
      <c r="N252" s="85"/>
      <c r="O252" s="85"/>
      <c r="P252" s="58"/>
    </row>
    <row r="253" spans="1:16" ht="3.95" customHeight="1" x14ac:dyDescent="0.2">
      <c r="A253" s="66"/>
      <c r="B253" s="788"/>
      <c r="D253" s="79"/>
      <c r="E253" s="79"/>
      <c r="F253" s="79"/>
      <c r="G253" s="79"/>
      <c r="H253" s="79"/>
      <c r="I253" s="79"/>
      <c r="J253" s="79"/>
      <c r="K253" s="79"/>
      <c r="L253" s="79"/>
      <c r="M253" s="79"/>
      <c r="N253" s="79"/>
      <c r="O253" s="79"/>
    </row>
    <row r="254" spans="1:16" x14ac:dyDescent="0.2">
      <c r="A254" s="344" t="s">
        <v>59</v>
      </c>
      <c r="B254" s="788"/>
      <c r="D254" s="69">
        <f t="shared" ref="D254:O254" si="72">C264</f>
        <v>0</v>
      </c>
      <c r="E254" s="69">
        <f t="shared" si="72"/>
        <v>0</v>
      </c>
      <c r="F254" s="69">
        <f t="shared" si="72"/>
        <v>0</v>
      </c>
      <c r="G254" s="69">
        <f t="shared" si="72"/>
        <v>0</v>
      </c>
      <c r="H254" s="69">
        <f t="shared" si="72"/>
        <v>0</v>
      </c>
      <c r="I254" s="69">
        <f t="shared" si="72"/>
        <v>0</v>
      </c>
      <c r="J254" s="69">
        <f t="shared" si="72"/>
        <v>0</v>
      </c>
      <c r="K254" s="69">
        <f t="shared" si="72"/>
        <v>0</v>
      </c>
      <c r="L254" s="69">
        <f t="shared" si="72"/>
        <v>0</v>
      </c>
      <c r="M254" s="69">
        <f t="shared" si="72"/>
        <v>0</v>
      </c>
      <c r="N254" s="69">
        <f t="shared" si="72"/>
        <v>0</v>
      </c>
      <c r="O254" s="69">
        <f t="shared" si="72"/>
        <v>0</v>
      </c>
      <c r="P254" s="69"/>
    </row>
    <row r="255" spans="1:16" ht="6" customHeight="1" x14ac:dyDescent="0.2"/>
    <row r="256" spans="1:16" x14ac:dyDescent="0.2">
      <c r="A256" s="77" t="s">
        <v>155</v>
      </c>
      <c r="B256" s="91"/>
      <c r="D256" s="69">
        <f t="shared" ref="D256:O256" si="73">D205-D232</f>
        <v>0</v>
      </c>
      <c r="E256" s="69">
        <f t="shared" si="73"/>
        <v>0</v>
      </c>
      <c r="F256" s="69">
        <f t="shared" si="73"/>
        <v>0</v>
      </c>
      <c r="G256" s="69">
        <f t="shared" si="73"/>
        <v>0</v>
      </c>
      <c r="H256" s="69">
        <f t="shared" si="73"/>
        <v>0</v>
      </c>
      <c r="I256" s="69">
        <f t="shared" si="73"/>
        <v>0</v>
      </c>
      <c r="J256" s="69">
        <f t="shared" si="73"/>
        <v>0</v>
      </c>
      <c r="K256" s="69">
        <f t="shared" si="73"/>
        <v>0</v>
      </c>
      <c r="L256" s="69">
        <f t="shared" si="73"/>
        <v>0</v>
      </c>
      <c r="M256" s="69">
        <f t="shared" si="73"/>
        <v>0</v>
      </c>
      <c r="N256" s="69">
        <f t="shared" si="73"/>
        <v>0</v>
      </c>
      <c r="O256" s="69">
        <f t="shared" si="73"/>
        <v>0</v>
      </c>
      <c r="P256" s="69">
        <f>SUM(D256:O256)</f>
        <v>0</v>
      </c>
    </row>
    <row r="257" spans="1:16" ht="6" customHeight="1" x14ac:dyDescent="0.2">
      <c r="A257" s="66"/>
      <c r="B257" s="788"/>
      <c r="D257" s="69"/>
      <c r="E257" s="69"/>
      <c r="F257" s="69"/>
      <c r="G257" s="69"/>
      <c r="H257" s="69"/>
      <c r="I257" s="69"/>
      <c r="J257" s="69"/>
      <c r="K257" s="69"/>
      <c r="L257" s="69"/>
      <c r="M257" s="69"/>
      <c r="N257" s="69"/>
      <c r="O257" s="69"/>
    </row>
    <row r="258" spans="1:16" x14ac:dyDescent="0.2">
      <c r="A258" s="351" t="s">
        <v>156</v>
      </c>
      <c r="B258" s="788"/>
      <c r="D258" s="68">
        <v>0</v>
      </c>
      <c r="E258" s="68">
        <v>0</v>
      </c>
      <c r="F258" s="68">
        <v>0</v>
      </c>
      <c r="G258" s="68">
        <v>0</v>
      </c>
      <c r="H258" s="68">
        <v>0</v>
      </c>
      <c r="I258" s="68">
        <v>0</v>
      </c>
      <c r="J258" s="68">
        <v>0</v>
      </c>
      <c r="K258" s="68">
        <v>0</v>
      </c>
      <c r="L258" s="68">
        <v>0</v>
      </c>
      <c r="M258" s="68">
        <v>0</v>
      </c>
      <c r="N258" s="68">
        <v>0</v>
      </c>
      <c r="O258" s="68">
        <v>0</v>
      </c>
      <c r="P258" s="69">
        <f>SUM(D258:O258)</f>
        <v>0</v>
      </c>
    </row>
    <row r="259" spans="1:16" ht="6" customHeight="1" x14ac:dyDescent="0.2">
      <c r="A259" s="66"/>
      <c r="B259" s="788"/>
      <c r="D259" s="69"/>
      <c r="E259" s="69"/>
      <c r="F259" s="69"/>
      <c r="G259" s="69"/>
      <c r="H259" s="69"/>
      <c r="I259" s="69"/>
      <c r="J259" s="69"/>
      <c r="K259" s="69"/>
      <c r="L259" s="69"/>
      <c r="M259" s="69"/>
      <c r="N259" s="69"/>
      <c r="O259" s="69"/>
      <c r="P259" s="69"/>
    </row>
    <row r="260" spans="1:16" x14ac:dyDescent="0.2">
      <c r="A260" s="67" t="s">
        <v>157</v>
      </c>
      <c r="B260" s="788"/>
      <c r="D260" s="69">
        <f t="shared" ref="D260:O260" si="74">D209-D236</f>
        <v>0</v>
      </c>
      <c r="E260" s="69">
        <f t="shared" si="74"/>
        <v>0</v>
      </c>
      <c r="F260" s="69">
        <f t="shared" si="74"/>
        <v>0</v>
      </c>
      <c r="G260" s="69">
        <f t="shared" si="74"/>
        <v>0</v>
      </c>
      <c r="H260" s="69">
        <f t="shared" si="74"/>
        <v>0</v>
      </c>
      <c r="I260" s="69">
        <f t="shared" si="74"/>
        <v>0</v>
      </c>
      <c r="J260" s="69">
        <f t="shared" si="74"/>
        <v>0</v>
      </c>
      <c r="K260" s="69">
        <f t="shared" si="74"/>
        <v>0</v>
      </c>
      <c r="L260" s="69">
        <f t="shared" si="74"/>
        <v>0</v>
      </c>
      <c r="M260" s="69">
        <f t="shared" si="74"/>
        <v>0</v>
      </c>
      <c r="N260" s="69">
        <f t="shared" si="74"/>
        <v>0</v>
      </c>
      <c r="O260" s="69">
        <f t="shared" si="74"/>
        <v>0</v>
      </c>
      <c r="P260" s="69">
        <f>SUM(D260:O260)</f>
        <v>0</v>
      </c>
    </row>
    <row r="261" spans="1:16" ht="6" customHeight="1" x14ac:dyDescent="0.2">
      <c r="A261" s="66"/>
      <c r="B261" s="788"/>
      <c r="D261" s="69"/>
      <c r="E261" s="69"/>
      <c r="F261" s="69"/>
      <c r="G261" s="69"/>
      <c r="H261" s="69"/>
      <c r="I261" s="69"/>
      <c r="J261" s="69"/>
      <c r="K261" s="69"/>
      <c r="L261" s="69"/>
      <c r="M261" s="69"/>
      <c r="N261" s="69"/>
      <c r="O261" s="69"/>
      <c r="P261" s="69"/>
    </row>
    <row r="262" spans="1:16" x14ac:dyDescent="0.2">
      <c r="A262" s="67" t="s">
        <v>111</v>
      </c>
      <c r="B262" s="788"/>
      <c r="D262" s="71">
        <f t="shared" ref="D262:O262" si="75">D271</f>
        <v>0</v>
      </c>
      <c r="E262" s="71">
        <f t="shared" si="75"/>
        <v>0</v>
      </c>
      <c r="F262" s="71">
        <f t="shared" si="75"/>
        <v>0</v>
      </c>
      <c r="G262" s="71">
        <f t="shared" si="75"/>
        <v>0</v>
      </c>
      <c r="H262" s="71">
        <f t="shared" si="75"/>
        <v>0</v>
      </c>
      <c r="I262" s="71">
        <f t="shared" si="75"/>
        <v>0</v>
      </c>
      <c r="J262" s="71">
        <f t="shared" si="75"/>
        <v>0</v>
      </c>
      <c r="K262" s="71">
        <f t="shared" si="75"/>
        <v>0</v>
      </c>
      <c r="L262" s="71">
        <f t="shared" si="75"/>
        <v>0</v>
      </c>
      <c r="M262" s="71">
        <f t="shared" si="75"/>
        <v>0</v>
      </c>
      <c r="N262" s="71">
        <f t="shared" si="75"/>
        <v>0</v>
      </c>
      <c r="O262" s="71">
        <f t="shared" si="75"/>
        <v>0</v>
      </c>
      <c r="P262" s="71">
        <f>SUM(D262:O262)</f>
        <v>0</v>
      </c>
    </row>
    <row r="263" spans="1:16" ht="3.95" customHeight="1" x14ac:dyDescent="0.2">
      <c r="A263" s="66"/>
      <c r="B263" s="788"/>
      <c r="D263" s="79"/>
      <c r="E263" s="79"/>
      <c r="F263" s="79"/>
      <c r="G263" s="79"/>
      <c r="H263" s="79"/>
      <c r="I263" s="79"/>
      <c r="J263" s="79"/>
      <c r="K263" s="79"/>
      <c r="L263" s="79"/>
      <c r="M263" s="79"/>
      <c r="N263" s="79"/>
      <c r="O263" s="79"/>
    </row>
    <row r="264" spans="1:16" x14ac:dyDescent="0.2">
      <c r="A264" s="344" t="s">
        <v>64</v>
      </c>
      <c r="B264" s="793"/>
      <c r="C264" s="74">
        <f>C213-C240</f>
        <v>0</v>
      </c>
      <c r="D264" s="87">
        <f t="shared" ref="D264:O264" si="76">SUM(D254:D262)</f>
        <v>0</v>
      </c>
      <c r="E264" s="87">
        <f t="shared" si="76"/>
        <v>0</v>
      </c>
      <c r="F264" s="87">
        <f t="shared" si="76"/>
        <v>0</v>
      </c>
      <c r="G264" s="87">
        <f t="shared" si="76"/>
        <v>0</v>
      </c>
      <c r="H264" s="87">
        <f t="shared" si="76"/>
        <v>0</v>
      </c>
      <c r="I264" s="87">
        <f t="shared" si="76"/>
        <v>0</v>
      </c>
      <c r="J264" s="87">
        <f t="shared" si="76"/>
        <v>0</v>
      </c>
      <c r="K264" s="87">
        <f t="shared" si="76"/>
        <v>0</v>
      </c>
      <c r="L264" s="87">
        <f t="shared" si="76"/>
        <v>0</v>
      </c>
      <c r="M264" s="87">
        <f t="shared" si="76"/>
        <v>0</v>
      </c>
      <c r="N264" s="87">
        <f t="shared" si="76"/>
        <v>0</v>
      </c>
      <c r="O264" s="87">
        <f t="shared" si="76"/>
        <v>0</v>
      </c>
      <c r="P264" s="87">
        <f>SUM(P256:P262)+D254</f>
        <v>0</v>
      </c>
    </row>
    <row r="265" spans="1:16" x14ac:dyDescent="0.2">
      <c r="A265" s="66"/>
      <c r="C265" s="66"/>
      <c r="D265" s="79"/>
      <c r="E265" s="79"/>
      <c r="F265" s="79"/>
      <c r="G265" s="79"/>
      <c r="H265" s="79"/>
      <c r="I265" s="76"/>
      <c r="J265" s="79"/>
      <c r="K265" s="79"/>
      <c r="L265" s="79"/>
      <c r="M265" s="79"/>
      <c r="N265" s="79"/>
      <c r="O265" s="79"/>
    </row>
    <row r="266" spans="1:16" x14ac:dyDescent="0.2">
      <c r="A266" s="67" t="s">
        <v>158</v>
      </c>
      <c r="C266" s="66"/>
      <c r="D266" s="88">
        <v>0</v>
      </c>
      <c r="E266" s="88">
        <v>0</v>
      </c>
      <c r="F266" s="88">
        <v>0</v>
      </c>
      <c r="G266" s="88">
        <v>0</v>
      </c>
      <c r="H266" s="88">
        <v>0</v>
      </c>
      <c r="I266" s="88">
        <v>0</v>
      </c>
      <c r="J266" s="88">
        <v>0</v>
      </c>
      <c r="K266" s="88">
        <v>0</v>
      </c>
      <c r="L266" s="88">
        <v>0</v>
      </c>
      <c r="M266" s="88">
        <v>0</v>
      </c>
      <c r="N266" s="88">
        <v>0</v>
      </c>
      <c r="O266" s="88">
        <v>0</v>
      </c>
    </row>
    <row r="267" spans="1:16" x14ac:dyDescent="0.2">
      <c r="A267" s="626" t="str">
        <f>A62</f>
        <v xml:space="preserve">      Monthly</v>
      </c>
      <c r="C267" s="66"/>
      <c r="D267" s="354">
        <f>ROUND((D266/365)*31,4)</f>
        <v>0</v>
      </c>
      <c r="E267" s="354">
        <f>ROUND((E266/365)*28,4)</f>
        <v>0</v>
      </c>
      <c r="F267" s="354">
        <f>ROUND((F266/365)*31,4)</f>
        <v>0</v>
      </c>
      <c r="G267" s="354">
        <f>ROUND((G266/365)*30,4)</f>
        <v>0</v>
      </c>
      <c r="H267" s="354">
        <f>ROUND((H266/365)*31,4)</f>
        <v>0</v>
      </c>
      <c r="I267" s="354">
        <f>ROUND((I266/365)*30,4)</f>
        <v>0</v>
      </c>
      <c r="J267" s="354">
        <f>ROUND((J266/365)*31,4)</f>
        <v>0</v>
      </c>
      <c r="K267" s="354">
        <f>ROUND((K266/365)*31,4)</f>
        <v>0</v>
      </c>
      <c r="L267" s="354">
        <f>ROUND((L266/365)*30,4)</f>
        <v>0</v>
      </c>
      <c r="M267" s="354">
        <f>ROUND((M266/365)*31,4)</f>
        <v>0</v>
      </c>
      <c r="N267" s="354">
        <f>ROUND((N266/365)*30,4)</f>
        <v>0</v>
      </c>
      <c r="O267" s="354">
        <f>ROUND((O266/365)*31,4)</f>
        <v>0</v>
      </c>
    </row>
    <row r="268" spans="1:16" ht="6" customHeight="1" x14ac:dyDescent="0.2">
      <c r="A268" s="66"/>
      <c r="C268" s="66"/>
    </row>
    <row r="269" spans="1:16" x14ac:dyDescent="0.2">
      <c r="A269" s="624" t="s">
        <v>67</v>
      </c>
      <c r="C269" s="86"/>
      <c r="D269" s="625">
        <f t="shared" ref="D269:O269" si="77">ROUND(C264*D267,0)</f>
        <v>0</v>
      </c>
      <c r="E269" s="625">
        <f t="shared" si="77"/>
        <v>0</v>
      </c>
      <c r="F269" s="625">
        <f t="shared" si="77"/>
        <v>0</v>
      </c>
      <c r="G269" s="625">
        <f t="shared" si="77"/>
        <v>0</v>
      </c>
      <c r="H269" s="625">
        <f t="shared" si="77"/>
        <v>0</v>
      </c>
      <c r="I269" s="625">
        <f t="shared" si="77"/>
        <v>0</v>
      </c>
      <c r="J269" s="625">
        <f t="shared" si="77"/>
        <v>0</v>
      </c>
      <c r="K269" s="625">
        <f t="shared" si="77"/>
        <v>0</v>
      </c>
      <c r="L269" s="625">
        <f t="shared" si="77"/>
        <v>0</v>
      </c>
      <c r="M269" s="625">
        <f t="shared" si="77"/>
        <v>0</v>
      </c>
      <c r="N269" s="625">
        <f t="shared" si="77"/>
        <v>0</v>
      </c>
      <c r="O269" s="625">
        <f t="shared" si="77"/>
        <v>0</v>
      </c>
      <c r="P269" s="625">
        <f>SUM(D269:O269)</f>
        <v>0</v>
      </c>
    </row>
    <row r="270" spans="1:16" x14ac:dyDescent="0.2">
      <c r="A270" s="351" t="s">
        <v>102</v>
      </c>
      <c r="C270" s="86"/>
      <c r="D270" s="267">
        <v>0</v>
      </c>
      <c r="E270" s="267">
        <v>0</v>
      </c>
      <c r="F270" s="267">
        <v>0</v>
      </c>
      <c r="G270" s="267">
        <v>0</v>
      </c>
      <c r="H270" s="267">
        <v>0</v>
      </c>
      <c r="I270" s="267">
        <v>0</v>
      </c>
      <c r="J270" s="267">
        <v>0</v>
      </c>
      <c r="K270" s="267">
        <v>0</v>
      </c>
      <c r="L270" s="267">
        <v>0</v>
      </c>
      <c r="M270" s="267">
        <v>0</v>
      </c>
      <c r="N270" s="267">
        <v>0</v>
      </c>
      <c r="O270" s="267">
        <v>0</v>
      </c>
      <c r="P270" s="71">
        <f>SUM(D270:O270)</f>
        <v>0</v>
      </c>
    </row>
    <row r="271" spans="1:16" x14ac:dyDescent="0.2">
      <c r="A271" s="627" t="str">
        <f>A66</f>
        <v xml:space="preserve">      Total Current Month Carrying Charges</v>
      </c>
      <c r="C271" s="86"/>
      <c r="D271" s="74">
        <f>D269+D270</f>
        <v>0</v>
      </c>
      <c r="E271" s="74">
        <f t="shared" ref="E271:P271" si="78">E269+E270</f>
        <v>0</v>
      </c>
      <c r="F271" s="74">
        <f t="shared" si="78"/>
        <v>0</v>
      </c>
      <c r="G271" s="74">
        <f t="shared" si="78"/>
        <v>0</v>
      </c>
      <c r="H271" s="74">
        <f t="shared" si="78"/>
        <v>0</v>
      </c>
      <c r="I271" s="74">
        <f t="shared" si="78"/>
        <v>0</v>
      </c>
      <c r="J271" s="74">
        <f t="shared" si="78"/>
        <v>0</v>
      </c>
      <c r="K271" s="74">
        <f t="shared" si="78"/>
        <v>0</v>
      </c>
      <c r="L271" s="74">
        <f t="shared" si="78"/>
        <v>0</v>
      </c>
      <c r="M271" s="74">
        <f t="shared" si="78"/>
        <v>0</v>
      </c>
      <c r="N271" s="74">
        <f t="shared" si="78"/>
        <v>0</v>
      </c>
      <c r="O271" s="74">
        <f t="shared" si="78"/>
        <v>0</v>
      </c>
      <c r="P271" s="74">
        <f t="shared" si="78"/>
        <v>0</v>
      </c>
    </row>
    <row r="272" spans="1:16" ht="6" customHeight="1" x14ac:dyDescent="0.2">
      <c r="A272" s="66"/>
      <c r="B272" s="788"/>
    </row>
    <row r="273" spans="1:16" x14ac:dyDescent="0.2">
      <c r="A273" s="627" t="str">
        <f>A68</f>
        <v xml:space="preserve">      Cumulative Carrying Charges</v>
      </c>
      <c r="B273" s="788"/>
      <c r="D273" s="69">
        <f>D271</f>
        <v>0</v>
      </c>
      <c r="E273" s="69">
        <f>E271+D273</f>
        <v>0</v>
      </c>
      <c r="F273" s="69">
        <f t="shared" ref="F273:O273" si="79">F271+E273</f>
        <v>0</v>
      </c>
      <c r="G273" s="69">
        <f t="shared" si="79"/>
        <v>0</v>
      </c>
      <c r="H273" s="69">
        <f t="shared" si="79"/>
        <v>0</v>
      </c>
      <c r="I273" s="69">
        <f t="shared" si="79"/>
        <v>0</v>
      </c>
      <c r="J273" s="69">
        <f t="shared" si="79"/>
        <v>0</v>
      </c>
      <c r="K273" s="69">
        <f t="shared" si="79"/>
        <v>0</v>
      </c>
      <c r="L273" s="69">
        <f t="shared" si="79"/>
        <v>0</v>
      </c>
      <c r="M273" s="69">
        <f t="shared" si="79"/>
        <v>0</v>
      </c>
      <c r="N273" s="69">
        <f t="shared" si="79"/>
        <v>0</v>
      </c>
      <c r="O273" s="69">
        <f t="shared" si="79"/>
        <v>0</v>
      </c>
    </row>
    <row r="274" spans="1:16" x14ac:dyDescent="0.2">
      <c r="A274" s="345"/>
    </row>
    <row r="275" spans="1:16" x14ac:dyDescent="0.2">
      <c r="A275" s="345"/>
    </row>
    <row r="276" spans="1:16" x14ac:dyDescent="0.2">
      <c r="A276" s="356" t="s">
        <v>159</v>
      </c>
      <c r="B276" s="788"/>
      <c r="C276" s="62" t="str">
        <f>C47</f>
        <v>DEC.,2001</v>
      </c>
      <c r="D276" s="85"/>
      <c r="E276" s="85"/>
      <c r="F276" s="85"/>
      <c r="G276" s="85"/>
      <c r="H276" s="85"/>
      <c r="I276" s="85"/>
      <c r="J276" s="85"/>
      <c r="K276" s="85"/>
      <c r="L276" s="85"/>
      <c r="M276" s="85"/>
      <c r="N276" s="85"/>
      <c r="O276" s="85"/>
      <c r="P276" s="58"/>
    </row>
    <row r="277" spans="1:16" ht="3.95" customHeight="1" x14ac:dyDescent="0.2">
      <c r="A277" s="66"/>
      <c r="B277" s="788"/>
      <c r="D277" s="79"/>
      <c r="E277" s="79"/>
      <c r="F277" s="79"/>
      <c r="G277" s="79"/>
      <c r="H277" s="79"/>
      <c r="I277" s="79"/>
      <c r="J277" s="79"/>
      <c r="K277" s="79"/>
      <c r="L277" s="79"/>
      <c r="M277" s="79"/>
      <c r="N277" s="79"/>
      <c r="O277" s="79"/>
    </row>
    <row r="278" spans="1:16" x14ac:dyDescent="0.2">
      <c r="A278" s="344" t="s">
        <v>59</v>
      </c>
      <c r="B278" s="788"/>
      <c r="D278" s="69">
        <f t="shared" ref="D278:O278" si="80">C288</f>
        <v>0</v>
      </c>
      <c r="E278" s="69">
        <f t="shared" si="80"/>
        <v>0</v>
      </c>
      <c r="F278" s="69">
        <f t="shared" si="80"/>
        <v>0</v>
      </c>
      <c r="G278" s="69">
        <f t="shared" si="80"/>
        <v>0</v>
      </c>
      <c r="H278" s="69">
        <f t="shared" si="80"/>
        <v>0</v>
      </c>
      <c r="I278" s="69">
        <f t="shared" si="80"/>
        <v>0</v>
      </c>
      <c r="J278" s="69">
        <f t="shared" si="80"/>
        <v>0</v>
      </c>
      <c r="K278" s="69">
        <f t="shared" si="80"/>
        <v>0</v>
      </c>
      <c r="L278" s="69">
        <f t="shared" si="80"/>
        <v>0</v>
      </c>
      <c r="M278" s="69">
        <f t="shared" si="80"/>
        <v>0</v>
      </c>
      <c r="N278" s="69">
        <f t="shared" si="80"/>
        <v>0</v>
      </c>
      <c r="O278" s="69">
        <f t="shared" si="80"/>
        <v>0</v>
      </c>
      <c r="P278" s="69"/>
    </row>
    <row r="279" spans="1:16" ht="6" customHeight="1" x14ac:dyDescent="0.2"/>
    <row r="280" spans="1:16" x14ac:dyDescent="0.2">
      <c r="A280" s="77" t="s">
        <v>155</v>
      </c>
      <c r="B280" s="91"/>
      <c r="D280" s="69">
        <f t="shared" ref="D280:O280" si="81">D232+D256</f>
        <v>0</v>
      </c>
      <c r="E280" s="69">
        <f t="shared" si="81"/>
        <v>0</v>
      </c>
      <c r="F280" s="69">
        <f t="shared" si="81"/>
        <v>0</v>
      </c>
      <c r="G280" s="69">
        <f t="shared" si="81"/>
        <v>0</v>
      </c>
      <c r="H280" s="69">
        <f t="shared" si="81"/>
        <v>0</v>
      </c>
      <c r="I280" s="69">
        <f t="shared" si="81"/>
        <v>0</v>
      </c>
      <c r="J280" s="69">
        <f t="shared" si="81"/>
        <v>0</v>
      </c>
      <c r="K280" s="69">
        <f t="shared" si="81"/>
        <v>0</v>
      </c>
      <c r="L280" s="69">
        <f t="shared" si="81"/>
        <v>0</v>
      </c>
      <c r="M280" s="69">
        <f t="shared" si="81"/>
        <v>0</v>
      </c>
      <c r="N280" s="69">
        <f t="shared" si="81"/>
        <v>0</v>
      </c>
      <c r="O280" s="69">
        <f t="shared" si="81"/>
        <v>0</v>
      </c>
      <c r="P280" s="69">
        <f>SUM(D280:O280)</f>
        <v>0</v>
      </c>
    </row>
    <row r="281" spans="1:16" ht="6" customHeight="1" x14ac:dyDescent="0.2">
      <c r="A281" s="66"/>
      <c r="B281" s="788"/>
      <c r="D281" s="69"/>
      <c r="E281" s="69"/>
      <c r="F281" s="69"/>
      <c r="G281" s="69"/>
      <c r="H281" s="69"/>
      <c r="I281" s="69"/>
      <c r="J281" s="69"/>
      <c r="K281" s="69"/>
      <c r="L281" s="69"/>
      <c r="M281" s="69"/>
      <c r="N281" s="69"/>
      <c r="O281" s="69"/>
    </row>
    <row r="282" spans="1:16" x14ac:dyDescent="0.2">
      <c r="A282" s="67" t="s">
        <v>61</v>
      </c>
      <c r="B282" s="788"/>
      <c r="D282" s="69">
        <f t="shared" ref="D282:O282" si="82">D234+D258</f>
        <v>0</v>
      </c>
      <c r="E282" s="69">
        <f t="shared" si="82"/>
        <v>0</v>
      </c>
      <c r="F282" s="69">
        <f t="shared" si="82"/>
        <v>0</v>
      </c>
      <c r="G282" s="69">
        <f t="shared" si="82"/>
        <v>0</v>
      </c>
      <c r="H282" s="69">
        <f t="shared" si="82"/>
        <v>0</v>
      </c>
      <c r="I282" s="69">
        <f t="shared" si="82"/>
        <v>0</v>
      </c>
      <c r="J282" s="69">
        <f t="shared" si="82"/>
        <v>0</v>
      </c>
      <c r="K282" s="69">
        <f t="shared" si="82"/>
        <v>0</v>
      </c>
      <c r="L282" s="69">
        <f t="shared" si="82"/>
        <v>0</v>
      </c>
      <c r="M282" s="69">
        <f t="shared" si="82"/>
        <v>0</v>
      </c>
      <c r="N282" s="69">
        <f t="shared" si="82"/>
        <v>0</v>
      </c>
      <c r="O282" s="69">
        <f t="shared" si="82"/>
        <v>0</v>
      </c>
      <c r="P282" s="69">
        <f>SUM(D282:O282)</f>
        <v>0</v>
      </c>
    </row>
    <row r="283" spans="1:16" ht="6" customHeight="1" x14ac:dyDescent="0.2">
      <c r="A283" s="66"/>
      <c r="B283" s="788"/>
      <c r="D283" s="69"/>
      <c r="E283" s="69"/>
      <c r="F283" s="69"/>
      <c r="G283" s="69"/>
      <c r="H283" s="69"/>
      <c r="I283" s="69"/>
      <c r="J283" s="69"/>
      <c r="K283" s="69"/>
      <c r="L283" s="69"/>
      <c r="M283" s="69"/>
      <c r="N283" s="69"/>
      <c r="O283" s="69"/>
      <c r="P283" s="69"/>
    </row>
    <row r="284" spans="1:16" x14ac:dyDescent="0.2">
      <c r="A284" s="67" t="s">
        <v>157</v>
      </c>
      <c r="B284" s="788"/>
      <c r="D284" s="69">
        <f t="shared" ref="D284:O284" si="83">D236+D260</f>
        <v>0</v>
      </c>
      <c r="E284" s="69">
        <f t="shared" si="83"/>
        <v>0</v>
      </c>
      <c r="F284" s="69">
        <f t="shared" si="83"/>
        <v>0</v>
      </c>
      <c r="G284" s="69">
        <f t="shared" si="83"/>
        <v>0</v>
      </c>
      <c r="H284" s="69">
        <f t="shared" si="83"/>
        <v>0</v>
      </c>
      <c r="I284" s="69">
        <f t="shared" si="83"/>
        <v>0</v>
      </c>
      <c r="J284" s="69">
        <f t="shared" si="83"/>
        <v>0</v>
      </c>
      <c r="K284" s="69">
        <f t="shared" si="83"/>
        <v>0</v>
      </c>
      <c r="L284" s="69">
        <f t="shared" si="83"/>
        <v>0</v>
      </c>
      <c r="M284" s="69">
        <f t="shared" si="83"/>
        <v>0</v>
      </c>
      <c r="N284" s="69">
        <f t="shared" si="83"/>
        <v>0</v>
      </c>
      <c r="O284" s="69">
        <f t="shared" si="83"/>
        <v>0</v>
      </c>
      <c r="P284" s="69">
        <f>SUM(D284:O284)</f>
        <v>0</v>
      </c>
    </row>
    <row r="285" spans="1:16" ht="6" customHeight="1" x14ac:dyDescent="0.2">
      <c r="A285" s="66"/>
      <c r="B285" s="788"/>
      <c r="D285" s="69"/>
      <c r="E285" s="69"/>
      <c r="F285" s="69"/>
      <c r="G285" s="69"/>
      <c r="H285" s="69"/>
      <c r="I285" s="69"/>
      <c r="J285" s="69"/>
      <c r="K285" s="69"/>
      <c r="L285" s="69"/>
      <c r="M285" s="69"/>
      <c r="N285" s="69"/>
      <c r="O285" s="69"/>
      <c r="P285" s="69"/>
    </row>
    <row r="286" spans="1:16" x14ac:dyDescent="0.2">
      <c r="A286" s="67" t="s">
        <v>111</v>
      </c>
      <c r="B286" s="788"/>
      <c r="D286" s="71">
        <f t="shared" ref="D286:O286" si="84">D238+D262</f>
        <v>0</v>
      </c>
      <c r="E286" s="71">
        <f t="shared" si="84"/>
        <v>0</v>
      </c>
      <c r="F286" s="71">
        <f t="shared" si="84"/>
        <v>0</v>
      </c>
      <c r="G286" s="71">
        <f t="shared" si="84"/>
        <v>0</v>
      </c>
      <c r="H286" s="71">
        <f t="shared" si="84"/>
        <v>0</v>
      </c>
      <c r="I286" s="71">
        <f t="shared" si="84"/>
        <v>0</v>
      </c>
      <c r="J286" s="71">
        <f t="shared" si="84"/>
        <v>0</v>
      </c>
      <c r="K286" s="71">
        <f t="shared" si="84"/>
        <v>0</v>
      </c>
      <c r="L286" s="71">
        <f t="shared" si="84"/>
        <v>0</v>
      </c>
      <c r="M286" s="71">
        <f t="shared" si="84"/>
        <v>0</v>
      </c>
      <c r="N286" s="71">
        <f t="shared" si="84"/>
        <v>0</v>
      </c>
      <c r="O286" s="71">
        <f t="shared" si="84"/>
        <v>0</v>
      </c>
      <c r="P286" s="71">
        <f>SUM(D286:O286)</f>
        <v>0</v>
      </c>
    </row>
    <row r="287" spans="1:16" ht="3.95" customHeight="1" x14ac:dyDescent="0.2">
      <c r="A287" s="66"/>
      <c r="B287" s="788"/>
      <c r="D287" s="79"/>
      <c r="E287" s="79"/>
      <c r="F287" s="79"/>
      <c r="G287" s="79"/>
      <c r="H287" s="79"/>
      <c r="I287" s="79"/>
      <c r="J287" s="79"/>
      <c r="K287" s="79"/>
      <c r="L287" s="79"/>
      <c r="M287" s="79"/>
      <c r="N287" s="79"/>
      <c r="O287" s="79"/>
    </row>
    <row r="288" spans="1:16" x14ac:dyDescent="0.2">
      <c r="A288" s="344" t="s">
        <v>64</v>
      </c>
      <c r="C288" s="74">
        <f>C240+C264</f>
        <v>0</v>
      </c>
      <c r="D288" s="87">
        <f t="shared" ref="D288:O288" si="85">SUM(D278:D286)</f>
        <v>0</v>
      </c>
      <c r="E288" s="87">
        <f t="shared" si="85"/>
        <v>0</v>
      </c>
      <c r="F288" s="87">
        <f t="shared" si="85"/>
        <v>0</v>
      </c>
      <c r="G288" s="87">
        <f t="shared" si="85"/>
        <v>0</v>
      </c>
      <c r="H288" s="87">
        <f t="shared" si="85"/>
        <v>0</v>
      </c>
      <c r="I288" s="87">
        <f t="shared" si="85"/>
        <v>0</v>
      </c>
      <c r="J288" s="87">
        <f t="shared" si="85"/>
        <v>0</v>
      </c>
      <c r="K288" s="87">
        <f t="shared" si="85"/>
        <v>0</v>
      </c>
      <c r="L288" s="87">
        <f t="shared" si="85"/>
        <v>0</v>
      </c>
      <c r="M288" s="87">
        <f t="shared" si="85"/>
        <v>0</v>
      </c>
      <c r="N288" s="87">
        <f t="shared" si="85"/>
        <v>0</v>
      </c>
      <c r="O288" s="87">
        <f t="shared" si="85"/>
        <v>0</v>
      </c>
      <c r="P288" s="87">
        <f>SUM(P280:P286)+D278</f>
        <v>0</v>
      </c>
    </row>
    <row r="289" spans="1:16" x14ac:dyDescent="0.2">
      <c r="A289" s="66"/>
      <c r="C289" s="66"/>
      <c r="D289" s="79"/>
      <c r="E289" s="79"/>
      <c r="F289" s="79"/>
      <c r="G289" s="79"/>
      <c r="H289" s="79"/>
      <c r="I289" s="76"/>
      <c r="J289" s="79"/>
      <c r="K289" s="79"/>
      <c r="L289" s="79"/>
      <c r="M289" s="79"/>
      <c r="N289" s="79"/>
      <c r="O289" s="79"/>
    </row>
    <row r="290" spans="1:16" x14ac:dyDescent="0.2">
      <c r="A290" s="67" t="s">
        <v>149</v>
      </c>
      <c r="C290" s="66"/>
      <c r="D290" s="620" t="e">
        <f>ROUND((D286/C288)*(365/31),4)</f>
        <v>#DIV/0!</v>
      </c>
      <c r="E290" s="620" t="e">
        <f>ROUND((E286/D288)*(365/28),4)</f>
        <v>#DIV/0!</v>
      </c>
      <c r="F290" s="620" t="e">
        <f>ROUND((F286/E288)*(365/31),4)</f>
        <v>#DIV/0!</v>
      </c>
      <c r="G290" s="620" t="e">
        <f>ROUND((G286/F288)*(365/30),4)</f>
        <v>#DIV/0!</v>
      </c>
      <c r="H290" s="620" t="e">
        <f>ROUND((H286/G288)*(365/31),4)</f>
        <v>#DIV/0!</v>
      </c>
      <c r="I290" s="620" t="e">
        <f>ROUND((I286/H288)*(365/30),4)</f>
        <v>#DIV/0!</v>
      </c>
      <c r="J290" s="620" t="e">
        <f>ROUND((J286/I288)*(365/31),4)</f>
        <v>#DIV/0!</v>
      </c>
      <c r="K290" s="620" t="e">
        <f>ROUND((K286/J288)*(365/31),4)</f>
        <v>#DIV/0!</v>
      </c>
      <c r="L290" s="620" t="e">
        <f>ROUND((L286/K288)*(365/30),4)</f>
        <v>#DIV/0!</v>
      </c>
      <c r="M290" s="620" t="e">
        <f>ROUND((M286/L288)*(365/31),4)</f>
        <v>#DIV/0!</v>
      </c>
      <c r="N290" s="620" t="e">
        <f>ROUND((N286/M288)*(365/30),4)</f>
        <v>#DIV/0!</v>
      </c>
      <c r="O290" s="620" t="e">
        <f>ROUND((O286/N288)*(365/31),4)</f>
        <v>#DIV/0!</v>
      </c>
    </row>
    <row r="291" spans="1:16" x14ac:dyDescent="0.2">
      <c r="A291" s="626" t="str">
        <f>A62</f>
        <v xml:space="preserve">      Monthly</v>
      </c>
      <c r="C291" s="66"/>
      <c r="D291" s="621" t="e">
        <f>ROUND((D290/365)*31,4)</f>
        <v>#DIV/0!</v>
      </c>
      <c r="E291" s="621" t="e">
        <f>ROUND((E290/365)*28,4)</f>
        <v>#DIV/0!</v>
      </c>
      <c r="F291" s="621" t="e">
        <f>ROUND((F290/365)*31,4)</f>
        <v>#DIV/0!</v>
      </c>
      <c r="G291" s="621" t="e">
        <f>ROUND((G290/365)*30,4)</f>
        <v>#DIV/0!</v>
      </c>
      <c r="H291" s="621" t="e">
        <f>ROUND((H290/365)*31,4)</f>
        <v>#DIV/0!</v>
      </c>
      <c r="I291" s="621" t="e">
        <f>ROUND((I290/365)*30,4)</f>
        <v>#DIV/0!</v>
      </c>
      <c r="J291" s="621" t="e">
        <f>ROUND((J290/365)*31,4)</f>
        <v>#DIV/0!</v>
      </c>
      <c r="K291" s="621" t="e">
        <f>ROUND((K290/365)*31,4)</f>
        <v>#DIV/0!</v>
      </c>
      <c r="L291" s="621" t="e">
        <f>ROUND((L290/365)*30,4)</f>
        <v>#DIV/0!</v>
      </c>
      <c r="M291" s="621" t="e">
        <f>ROUND((M290/365)*31,4)</f>
        <v>#DIV/0!</v>
      </c>
      <c r="N291" s="621" t="e">
        <f>ROUND((N290/365)*30,4)</f>
        <v>#DIV/0!</v>
      </c>
      <c r="O291" s="621" t="e">
        <f>ROUND((O290/365)*31,4)</f>
        <v>#DIV/0!</v>
      </c>
    </row>
    <row r="292" spans="1:16" ht="6" customHeight="1" x14ac:dyDescent="0.2">
      <c r="A292" s="66"/>
      <c r="C292" s="66"/>
    </row>
    <row r="293" spans="1:16" x14ac:dyDescent="0.2">
      <c r="A293" s="65" t="str">
        <f>A66</f>
        <v xml:space="preserve">      Total Current Month Carrying Charges</v>
      </c>
      <c r="C293" s="86"/>
      <c r="D293" s="74">
        <f t="shared" ref="D293:O293" si="86">D286</f>
        <v>0</v>
      </c>
      <c r="E293" s="74">
        <f t="shared" si="86"/>
        <v>0</v>
      </c>
      <c r="F293" s="74">
        <f t="shared" si="86"/>
        <v>0</v>
      </c>
      <c r="G293" s="74">
        <f t="shared" si="86"/>
        <v>0</v>
      </c>
      <c r="H293" s="74">
        <f t="shared" si="86"/>
        <v>0</v>
      </c>
      <c r="I293" s="74">
        <f t="shared" si="86"/>
        <v>0</v>
      </c>
      <c r="J293" s="74">
        <f t="shared" si="86"/>
        <v>0</v>
      </c>
      <c r="K293" s="74">
        <f t="shared" si="86"/>
        <v>0</v>
      </c>
      <c r="L293" s="74">
        <f t="shared" si="86"/>
        <v>0</v>
      </c>
      <c r="M293" s="74">
        <f t="shared" si="86"/>
        <v>0</v>
      </c>
      <c r="N293" s="74">
        <f t="shared" si="86"/>
        <v>0</v>
      </c>
      <c r="O293" s="74">
        <f t="shared" si="86"/>
        <v>0</v>
      </c>
      <c r="P293" s="74">
        <f>SUM(D293:O293)</f>
        <v>0</v>
      </c>
    </row>
    <row r="294" spans="1:16" ht="6" customHeight="1" x14ac:dyDescent="0.2">
      <c r="A294" s="66"/>
      <c r="B294" s="788"/>
    </row>
    <row r="295" spans="1:16" x14ac:dyDescent="0.2">
      <c r="A295" s="65" t="str">
        <f>A68</f>
        <v xml:space="preserve">      Cumulative Carrying Charges</v>
      </c>
      <c r="B295" s="788"/>
      <c r="D295" s="69">
        <f>D293</f>
        <v>0</v>
      </c>
      <c r="E295" s="69">
        <f t="shared" ref="E295:O295" si="87">E293+D295</f>
        <v>0</v>
      </c>
      <c r="F295" s="69">
        <f t="shared" si="87"/>
        <v>0</v>
      </c>
      <c r="G295" s="69">
        <f t="shared" si="87"/>
        <v>0</v>
      </c>
      <c r="H295" s="69">
        <f t="shared" si="87"/>
        <v>0</v>
      </c>
      <c r="I295" s="69">
        <f t="shared" si="87"/>
        <v>0</v>
      </c>
      <c r="J295" s="69">
        <f t="shared" si="87"/>
        <v>0</v>
      </c>
      <c r="K295" s="69">
        <f t="shared" si="87"/>
        <v>0</v>
      </c>
      <c r="L295" s="69">
        <f t="shared" si="87"/>
        <v>0</v>
      </c>
      <c r="M295" s="69">
        <f t="shared" si="87"/>
        <v>0</v>
      </c>
      <c r="N295" s="69">
        <f t="shared" si="87"/>
        <v>0</v>
      </c>
      <c r="O295" s="69">
        <f t="shared" si="87"/>
        <v>0</v>
      </c>
    </row>
    <row r="296" spans="1:16" ht="6" customHeight="1" x14ac:dyDescent="0.2"/>
    <row r="297" spans="1:16" s="104" customFormat="1" x14ac:dyDescent="0.2">
      <c r="B297" s="794"/>
    </row>
    <row r="298" spans="1:16" x14ac:dyDescent="0.2">
      <c r="A298" s="605" t="str">
        <f ca="1">CELL("FILENAME")</f>
        <v>C:\Users\Felienne\Enron\EnronSpreadsheets\[tracy_geaccone__40367__EMNNG02PL.xls]IncomeState</v>
      </c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</row>
    <row r="299" spans="1:16" x14ac:dyDescent="0.2">
      <c r="A299" s="340" t="s">
        <v>160</v>
      </c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</row>
    <row r="300" spans="1:16" x14ac:dyDescent="0.2">
      <c r="A300" s="355" t="str">
        <f>A3</f>
        <v>2002 OPERATING PLAN</v>
      </c>
      <c r="B300" s="786">
        <f ca="1">NOW()</f>
        <v>41887.551126967592</v>
      </c>
      <c r="C300" s="489" t="s">
        <v>161</v>
      </c>
      <c r="D300" s="60"/>
      <c r="E300" s="59"/>
      <c r="F300" s="59"/>
      <c r="G300" s="60"/>
      <c r="H300" s="60"/>
      <c r="I300" s="60"/>
      <c r="J300" s="59"/>
      <c r="K300" s="59"/>
      <c r="L300" s="59"/>
      <c r="M300" s="59"/>
      <c r="N300" s="59"/>
      <c r="O300" s="59"/>
      <c r="P300" s="90"/>
    </row>
    <row r="301" spans="1:16" ht="12.95" customHeight="1" x14ac:dyDescent="0.2">
      <c r="A301" s="61"/>
      <c r="B301" s="787">
        <f ca="1">NOW()</f>
        <v>41887.551126967592</v>
      </c>
      <c r="C301" s="338" t="str">
        <f t="shared" ref="C301:P301" si="88">C4</f>
        <v>BALANCE</v>
      </c>
      <c r="D301" s="338" t="str">
        <f t="shared" si="88"/>
        <v>JAN</v>
      </c>
      <c r="E301" s="338" t="str">
        <f t="shared" si="88"/>
        <v>FEB</v>
      </c>
      <c r="F301" s="338" t="str">
        <f t="shared" si="88"/>
        <v>MAR</v>
      </c>
      <c r="G301" s="338" t="str">
        <f t="shared" si="88"/>
        <v>APR</v>
      </c>
      <c r="H301" s="338" t="str">
        <f t="shared" si="88"/>
        <v>MAY</v>
      </c>
      <c r="I301" s="338" t="str">
        <f t="shared" si="88"/>
        <v>JUN</v>
      </c>
      <c r="J301" s="338" t="str">
        <f t="shared" si="88"/>
        <v>JUL</v>
      </c>
      <c r="K301" s="338" t="str">
        <f t="shared" si="88"/>
        <v>AUG</v>
      </c>
      <c r="L301" s="338" t="str">
        <f t="shared" si="88"/>
        <v>SEP</v>
      </c>
      <c r="M301" s="338" t="str">
        <f t="shared" si="88"/>
        <v>OCT</v>
      </c>
      <c r="N301" s="338" t="str">
        <f t="shared" si="88"/>
        <v>NOV</v>
      </c>
      <c r="O301" s="338" t="str">
        <f t="shared" si="88"/>
        <v>DEC</v>
      </c>
      <c r="P301" s="338" t="str">
        <f t="shared" si="88"/>
        <v>2002</v>
      </c>
    </row>
    <row r="302" spans="1:16" ht="3.95" customHeight="1" x14ac:dyDescent="0.2">
      <c r="D302" s="85"/>
      <c r="E302" s="85"/>
      <c r="F302" s="85"/>
      <c r="G302" s="85"/>
      <c r="H302" s="85"/>
      <c r="I302" s="85"/>
      <c r="J302" s="85"/>
      <c r="K302" s="85"/>
      <c r="L302" s="85"/>
      <c r="M302" s="85"/>
      <c r="N302" s="85"/>
      <c r="O302" s="85"/>
      <c r="P302" s="58"/>
    </row>
    <row r="303" spans="1:16" ht="12" customHeight="1" x14ac:dyDescent="0.2">
      <c r="A303" s="350" t="s">
        <v>162</v>
      </c>
      <c r="B303" s="788"/>
    </row>
    <row r="304" spans="1:16" x14ac:dyDescent="0.2">
      <c r="A304" s="67" t="s">
        <v>9</v>
      </c>
      <c r="B304" s="788"/>
      <c r="D304" s="69">
        <f t="shared" ref="D304:O304" si="89">D167</f>
        <v>0</v>
      </c>
      <c r="E304" s="69">
        <f t="shared" si="89"/>
        <v>0</v>
      </c>
      <c r="F304" s="69">
        <f t="shared" si="89"/>
        <v>0</v>
      </c>
      <c r="G304" s="69">
        <f t="shared" si="89"/>
        <v>0</v>
      </c>
      <c r="H304" s="69">
        <f t="shared" si="89"/>
        <v>0</v>
      </c>
      <c r="I304" s="69">
        <f t="shared" si="89"/>
        <v>0</v>
      </c>
      <c r="J304" s="69">
        <f t="shared" si="89"/>
        <v>0</v>
      </c>
      <c r="K304" s="69">
        <f t="shared" si="89"/>
        <v>0</v>
      </c>
      <c r="L304" s="69">
        <f t="shared" si="89"/>
        <v>0</v>
      </c>
      <c r="M304" s="69">
        <f t="shared" si="89"/>
        <v>0</v>
      </c>
      <c r="N304" s="69">
        <f t="shared" si="89"/>
        <v>0</v>
      </c>
      <c r="O304" s="69">
        <f t="shared" si="89"/>
        <v>0</v>
      </c>
      <c r="P304" s="69">
        <f>SUM(D304:O304)</f>
        <v>0</v>
      </c>
    </row>
    <row r="305" spans="1:16" x14ac:dyDescent="0.2">
      <c r="A305" s="351" t="s">
        <v>82</v>
      </c>
      <c r="D305" s="69">
        <f t="shared" ref="D305:O305" si="90">D168</f>
        <v>0</v>
      </c>
      <c r="E305" s="69">
        <f t="shared" si="90"/>
        <v>0</v>
      </c>
      <c r="F305" s="69">
        <f t="shared" si="90"/>
        <v>0</v>
      </c>
      <c r="G305" s="69">
        <f t="shared" si="90"/>
        <v>0</v>
      </c>
      <c r="H305" s="69">
        <f t="shared" si="90"/>
        <v>0</v>
      </c>
      <c r="I305" s="69">
        <f t="shared" si="90"/>
        <v>0</v>
      </c>
      <c r="J305" s="69">
        <f t="shared" si="90"/>
        <v>0</v>
      </c>
      <c r="K305" s="69">
        <f t="shared" si="90"/>
        <v>0</v>
      </c>
      <c r="L305" s="69">
        <f t="shared" si="90"/>
        <v>0</v>
      </c>
      <c r="M305" s="69">
        <f t="shared" si="90"/>
        <v>0</v>
      </c>
      <c r="N305" s="69">
        <f t="shared" si="90"/>
        <v>0</v>
      </c>
      <c r="O305" s="69">
        <f t="shared" si="90"/>
        <v>0</v>
      </c>
      <c r="P305" s="69">
        <f>SUM(D305:O305)</f>
        <v>0</v>
      </c>
    </row>
    <row r="306" spans="1:16" x14ac:dyDescent="0.2">
      <c r="A306" s="351" t="s">
        <v>85</v>
      </c>
      <c r="D306" s="71">
        <f t="shared" ref="D306:O306" si="91">D169</f>
        <v>0</v>
      </c>
      <c r="E306" s="71">
        <f t="shared" si="91"/>
        <v>0</v>
      </c>
      <c r="F306" s="71">
        <f t="shared" si="91"/>
        <v>0</v>
      </c>
      <c r="G306" s="71">
        <f t="shared" si="91"/>
        <v>0</v>
      </c>
      <c r="H306" s="71">
        <f t="shared" si="91"/>
        <v>0</v>
      </c>
      <c r="I306" s="71">
        <f t="shared" si="91"/>
        <v>0</v>
      </c>
      <c r="J306" s="71">
        <f t="shared" si="91"/>
        <v>0</v>
      </c>
      <c r="K306" s="71">
        <f t="shared" si="91"/>
        <v>0</v>
      </c>
      <c r="L306" s="71">
        <f t="shared" si="91"/>
        <v>0</v>
      </c>
      <c r="M306" s="71">
        <f t="shared" si="91"/>
        <v>0</v>
      </c>
      <c r="N306" s="71">
        <f t="shared" si="91"/>
        <v>0</v>
      </c>
      <c r="O306" s="71">
        <f t="shared" si="91"/>
        <v>0</v>
      </c>
      <c r="P306" s="71">
        <f>SUM(D306:O306)</f>
        <v>0</v>
      </c>
    </row>
    <row r="307" spans="1:16" ht="3.95" customHeight="1" x14ac:dyDescent="0.2"/>
    <row r="308" spans="1:16" x14ac:dyDescent="0.2">
      <c r="A308" s="67" t="s">
        <v>12</v>
      </c>
      <c r="B308" s="788"/>
      <c r="D308" s="69">
        <f t="shared" ref="D308:O308" si="92">D304+D305+D306</f>
        <v>0</v>
      </c>
      <c r="E308" s="69">
        <f t="shared" si="92"/>
        <v>0</v>
      </c>
      <c r="F308" s="69">
        <f t="shared" si="92"/>
        <v>0</v>
      </c>
      <c r="G308" s="69">
        <f t="shared" si="92"/>
        <v>0</v>
      </c>
      <c r="H308" s="69">
        <f t="shared" si="92"/>
        <v>0</v>
      </c>
      <c r="I308" s="69">
        <f t="shared" si="92"/>
        <v>0</v>
      </c>
      <c r="J308" s="69">
        <f t="shared" si="92"/>
        <v>0</v>
      </c>
      <c r="K308" s="69">
        <f t="shared" si="92"/>
        <v>0</v>
      </c>
      <c r="L308" s="69">
        <f t="shared" si="92"/>
        <v>0</v>
      </c>
      <c r="M308" s="69">
        <f t="shared" si="92"/>
        <v>0</v>
      </c>
      <c r="N308" s="69">
        <f t="shared" si="92"/>
        <v>0</v>
      </c>
      <c r="O308" s="69">
        <f t="shared" si="92"/>
        <v>0</v>
      </c>
      <c r="P308" s="69">
        <f>SUM(D308:O308)</f>
        <v>0</v>
      </c>
    </row>
    <row r="309" spans="1:16" ht="3.95" customHeight="1" x14ac:dyDescent="0.2"/>
    <row r="310" spans="1:16" x14ac:dyDescent="0.2">
      <c r="A310" s="67" t="s">
        <v>163</v>
      </c>
      <c r="B310" s="788"/>
      <c r="D310" s="72">
        <f t="shared" ref="D310:P310" si="93">IF(D308=0,0,ROUND(D312/D308,4))</f>
        <v>0</v>
      </c>
      <c r="E310" s="72">
        <f t="shared" si="93"/>
        <v>0</v>
      </c>
      <c r="F310" s="72">
        <f t="shared" si="93"/>
        <v>0</v>
      </c>
      <c r="G310" s="72">
        <f t="shared" si="93"/>
        <v>0</v>
      </c>
      <c r="H310" s="72">
        <f t="shared" si="93"/>
        <v>0</v>
      </c>
      <c r="I310" s="72">
        <f t="shared" si="93"/>
        <v>0</v>
      </c>
      <c r="J310" s="72">
        <f t="shared" si="93"/>
        <v>0</v>
      </c>
      <c r="K310" s="72">
        <f t="shared" si="93"/>
        <v>0</v>
      </c>
      <c r="L310" s="72">
        <f t="shared" si="93"/>
        <v>0</v>
      </c>
      <c r="M310" s="72">
        <f t="shared" si="93"/>
        <v>0</v>
      </c>
      <c r="N310" s="72">
        <f t="shared" si="93"/>
        <v>0</v>
      </c>
      <c r="O310" s="72">
        <f t="shared" si="93"/>
        <v>0</v>
      </c>
      <c r="P310" s="72">
        <f t="shared" si="93"/>
        <v>0</v>
      </c>
    </row>
    <row r="311" spans="1:16" ht="3.95" customHeight="1" x14ac:dyDescent="0.2"/>
    <row r="312" spans="1:16" x14ac:dyDescent="0.2">
      <c r="A312" s="351" t="s">
        <v>164</v>
      </c>
      <c r="B312" s="788"/>
      <c r="D312" s="69">
        <f>Transport!C12+Transport!C30</f>
        <v>0</v>
      </c>
      <c r="E312" s="69">
        <f>Transport!D12+Transport!D30</f>
        <v>0</v>
      </c>
      <c r="F312" s="69">
        <f>Transport!E12+Transport!E30</f>
        <v>0</v>
      </c>
      <c r="G312" s="69">
        <f>Transport!F12+Transport!F30</f>
        <v>0</v>
      </c>
      <c r="H312" s="69">
        <f>Transport!G12+Transport!G30</f>
        <v>0</v>
      </c>
      <c r="I312" s="69">
        <f>Transport!H12+Transport!H30</f>
        <v>0</v>
      </c>
      <c r="J312" s="69">
        <f>Transport!I12+Transport!I30</f>
        <v>0</v>
      </c>
      <c r="K312" s="69">
        <f>Transport!J12+Transport!J30</f>
        <v>0</v>
      </c>
      <c r="L312" s="69">
        <f>Transport!K12+Transport!K30</f>
        <v>0</v>
      </c>
      <c r="M312" s="69">
        <f>Transport!L12+Transport!L30</f>
        <v>0</v>
      </c>
      <c r="N312" s="69">
        <f>Transport!M12+Transport!M30</f>
        <v>0</v>
      </c>
      <c r="O312" s="69">
        <f>Transport!N12+Transport!N30</f>
        <v>0</v>
      </c>
      <c r="P312" s="69">
        <f>SUM(D312:O312)</f>
        <v>0</v>
      </c>
    </row>
    <row r="313" spans="1:16" x14ac:dyDescent="0.2">
      <c r="A313" s="77" t="s">
        <v>165</v>
      </c>
      <c r="D313" s="68">
        <v>0</v>
      </c>
      <c r="E313" s="68">
        <v>0</v>
      </c>
      <c r="F313" s="68">
        <v>0</v>
      </c>
      <c r="G313" s="68">
        <v>0</v>
      </c>
      <c r="H313" s="68">
        <v>0</v>
      </c>
      <c r="I313" s="68">
        <v>0</v>
      </c>
      <c r="J313" s="68">
        <v>0</v>
      </c>
      <c r="K313" s="68">
        <v>0</v>
      </c>
      <c r="L313" s="68">
        <v>0</v>
      </c>
      <c r="M313" s="68">
        <v>0</v>
      </c>
      <c r="N313" s="68">
        <v>0</v>
      </c>
      <c r="O313" s="68">
        <v>0</v>
      </c>
      <c r="P313" s="69">
        <f>SUM(D313:O313)</f>
        <v>0</v>
      </c>
    </row>
    <row r="314" spans="1:16" x14ac:dyDescent="0.2">
      <c r="A314" s="77" t="s">
        <v>1188</v>
      </c>
      <c r="D314" s="267">
        <v>0</v>
      </c>
      <c r="E314" s="267">
        <v>0</v>
      </c>
      <c r="F314" s="267">
        <v>0</v>
      </c>
      <c r="G314" s="267">
        <v>0</v>
      </c>
      <c r="H314" s="267">
        <v>0</v>
      </c>
      <c r="I314" s="267">
        <v>0</v>
      </c>
      <c r="J314" s="267">
        <v>0</v>
      </c>
      <c r="K314" s="267">
        <v>0</v>
      </c>
      <c r="L314" s="267">
        <v>0</v>
      </c>
      <c r="M314" s="267">
        <v>0</v>
      </c>
      <c r="N314" s="267">
        <v>0</v>
      </c>
      <c r="O314" s="267">
        <v>0</v>
      </c>
      <c r="P314" s="71">
        <f>SUM(D314:O314)</f>
        <v>0</v>
      </c>
    </row>
    <row r="315" spans="1:16" ht="3.95" customHeight="1" x14ac:dyDescent="0.2"/>
    <row r="316" spans="1:16" x14ac:dyDescent="0.2">
      <c r="A316" s="350" t="s">
        <v>166</v>
      </c>
      <c r="D316" s="87">
        <f t="shared" ref="D316:P316" si="94">SUM(D312:D314)</f>
        <v>0</v>
      </c>
      <c r="E316" s="87">
        <f t="shared" si="94"/>
        <v>0</v>
      </c>
      <c r="F316" s="87">
        <f t="shared" si="94"/>
        <v>0</v>
      </c>
      <c r="G316" s="87">
        <f t="shared" si="94"/>
        <v>0</v>
      </c>
      <c r="H316" s="87">
        <f t="shared" si="94"/>
        <v>0</v>
      </c>
      <c r="I316" s="87">
        <f t="shared" si="94"/>
        <v>0</v>
      </c>
      <c r="J316" s="87">
        <f t="shared" si="94"/>
        <v>0</v>
      </c>
      <c r="K316" s="87">
        <f t="shared" si="94"/>
        <v>0</v>
      </c>
      <c r="L316" s="87">
        <f t="shared" si="94"/>
        <v>0</v>
      </c>
      <c r="M316" s="87">
        <f t="shared" si="94"/>
        <v>0</v>
      </c>
      <c r="N316" s="87">
        <f t="shared" si="94"/>
        <v>0</v>
      </c>
      <c r="O316" s="87">
        <f t="shared" si="94"/>
        <v>0</v>
      </c>
      <c r="P316" s="87">
        <f t="shared" si="94"/>
        <v>0</v>
      </c>
    </row>
    <row r="317" spans="1:16" x14ac:dyDescent="0.2">
      <c r="A317" s="358"/>
    </row>
    <row r="318" spans="1:16" x14ac:dyDescent="0.2">
      <c r="A318" s="350" t="s">
        <v>167</v>
      </c>
      <c r="B318" s="788"/>
      <c r="D318" s="93"/>
      <c r="E318" s="93"/>
      <c r="F318" s="93"/>
      <c r="G318" s="93"/>
      <c r="H318" s="93"/>
      <c r="I318" s="93"/>
      <c r="J318" s="93"/>
      <c r="K318" s="93"/>
      <c r="L318" s="93"/>
      <c r="M318" s="93"/>
      <c r="N318" s="93"/>
      <c r="O318" s="93"/>
    </row>
    <row r="319" spans="1:16" x14ac:dyDescent="0.2">
      <c r="A319" s="95" t="s">
        <v>313</v>
      </c>
      <c r="D319" s="68">
        <v>0</v>
      </c>
      <c r="E319" s="68">
        <v>0</v>
      </c>
      <c r="F319" s="68">
        <v>0</v>
      </c>
      <c r="G319" s="68">
        <v>0</v>
      </c>
      <c r="H319" s="68">
        <v>0</v>
      </c>
      <c r="I319" s="68">
        <v>0</v>
      </c>
      <c r="J319" s="68">
        <v>0</v>
      </c>
      <c r="K319" s="68">
        <v>0</v>
      </c>
      <c r="L319" s="68">
        <v>0</v>
      </c>
      <c r="M319" s="661">
        <v>0</v>
      </c>
      <c r="N319" s="68">
        <v>0</v>
      </c>
      <c r="O319" s="68">
        <v>0</v>
      </c>
      <c r="P319" s="69">
        <f>SUM(D319:O319)</f>
        <v>0</v>
      </c>
    </row>
    <row r="320" spans="1:16" x14ac:dyDescent="0.2">
      <c r="A320" s="95" t="s">
        <v>168</v>
      </c>
      <c r="D320" s="68">
        <v>0</v>
      </c>
      <c r="E320" s="68">
        <v>0</v>
      </c>
      <c r="F320" s="68">
        <v>0</v>
      </c>
      <c r="G320" s="68">
        <v>0</v>
      </c>
      <c r="H320" s="68">
        <v>0</v>
      </c>
      <c r="I320" s="68">
        <v>0</v>
      </c>
      <c r="J320" s="68">
        <v>0</v>
      </c>
      <c r="K320" s="68">
        <v>0</v>
      </c>
      <c r="L320" s="68">
        <v>0</v>
      </c>
      <c r="M320" s="68">
        <v>0</v>
      </c>
      <c r="N320" s="68">
        <v>0</v>
      </c>
      <c r="O320" s="68">
        <v>0</v>
      </c>
      <c r="P320" s="69">
        <f>SUM(D320:O320)</f>
        <v>0</v>
      </c>
    </row>
    <row r="321" spans="1:16" x14ac:dyDescent="0.2">
      <c r="A321" s="95" t="s">
        <v>1188</v>
      </c>
      <c r="D321" s="267">
        <v>0</v>
      </c>
      <c r="E321" s="267">
        <v>0</v>
      </c>
      <c r="F321" s="267">
        <v>0</v>
      </c>
      <c r="G321" s="267">
        <v>0</v>
      </c>
      <c r="H321" s="267">
        <v>0</v>
      </c>
      <c r="I321" s="267">
        <v>0</v>
      </c>
      <c r="J321" s="267">
        <v>0</v>
      </c>
      <c r="K321" s="267">
        <v>0</v>
      </c>
      <c r="L321" s="267">
        <v>0</v>
      </c>
      <c r="M321" s="267">
        <v>0</v>
      </c>
      <c r="N321" s="267">
        <v>0</v>
      </c>
      <c r="O321" s="267">
        <v>0</v>
      </c>
      <c r="P321" s="71">
        <f>SUM(D321:O321)</f>
        <v>0</v>
      </c>
    </row>
    <row r="322" spans="1:16" ht="3.95" customHeight="1" x14ac:dyDescent="0.2">
      <c r="D322" s="96"/>
      <c r="E322" s="96"/>
      <c r="F322" s="96"/>
      <c r="G322" s="96"/>
      <c r="H322" s="96"/>
      <c r="I322" s="96"/>
      <c r="J322" s="96"/>
      <c r="K322" s="96"/>
      <c r="L322" s="96"/>
      <c r="M322" s="96"/>
      <c r="N322" s="96"/>
      <c r="O322" s="96"/>
      <c r="P322" s="96"/>
    </row>
    <row r="323" spans="1:16" x14ac:dyDescent="0.2">
      <c r="A323" s="350" t="s">
        <v>169</v>
      </c>
      <c r="B323" s="789"/>
      <c r="C323" s="58"/>
      <c r="D323" s="87">
        <f t="shared" ref="D323:P323" si="95">SUM(D319:D321)</f>
        <v>0</v>
      </c>
      <c r="E323" s="87">
        <f t="shared" si="95"/>
        <v>0</v>
      </c>
      <c r="F323" s="87">
        <f t="shared" si="95"/>
        <v>0</v>
      </c>
      <c r="G323" s="87">
        <f t="shared" si="95"/>
        <v>0</v>
      </c>
      <c r="H323" s="87">
        <f t="shared" si="95"/>
        <v>0</v>
      </c>
      <c r="I323" s="87">
        <f t="shared" si="95"/>
        <v>0</v>
      </c>
      <c r="J323" s="87">
        <f t="shared" si="95"/>
        <v>0</v>
      </c>
      <c r="K323" s="87">
        <f t="shared" si="95"/>
        <v>0</v>
      </c>
      <c r="L323" s="87">
        <f t="shared" si="95"/>
        <v>0</v>
      </c>
      <c r="M323" s="87">
        <f t="shared" si="95"/>
        <v>0</v>
      </c>
      <c r="N323" s="87">
        <f t="shared" si="95"/>
        <v>0</v>
      </c>
      <c r="O323" s="87">
        <f t="shared" si="95"/>
        <v>0</v>
      </c>
      <c r="P323" s="87">
        <f t="shared" si="95"/>
        <v>0</v>
      </c>
    </row>
    <row r="324" spans="1:16" ht="6" customHeight="1" x14ac:dyDescent="0.2"/>
    <row r="325" spans="1:16" x14ac:dyDescent="0.2">
      <c r="A325" s="67" t="s">
        <v>100</v>
      </c>
      <c r="B325" s="788"/>
      <c r="D325" s="69">
        <f t="shared" ref="D325:O325" si="96">D316-D323</f>
        <v>0</v>
      </c>
      <c r="E325" s="69">
        <f t="shared" si="96"/>
        <v>0</v>
      </c>
      <c r="F325" s="69">
        <f t="shared" si="96"/>
        <v>0</v>
      </c>
      <c r="G325" s="69">
        <f t="shared" si="96"/>
        <v>0</v>
      </c>
      <c r="H325" s="69">
        <f t="shared" si="96"/>
        <v>0</v>
      </c>
      <c r="I325" s="69">
        <f t="shared" si="96"/>
        <v>0</v>
      </c>
      <c r="J325" s="69">
        <f t="shared" si="96"/>
        <v>0</v>
      </c>
      <c r="K325" s="69">
        <f t="shared" si="96"/>
        <v>0</v>
      </c>
      <c r="L325" s="69">
        <f t="shared" si="96"/>
        <v>0</v>
      </c>
      <c r="M325" s="69">
        <f t="shared" si="96"/>
        <v>0</v>
      </c>
      <c r="N325" s="69">
        <f t="shared" si="96"/>
        <v>0</v>
      </c>
      <c r="O325" s="69">
        <f t="shared" si="96"/>
        <v>0</v>
      </c>
      <c r="P325" s="69">
        <f>SUM(D325:O325)</f>
        <v>0</v>
      </c>
    </row>
    <row r="326" spans="1:16" x14ac:dyDescent="0.2">
      <c r="A326" s="77" t="s">
        <v>170</v>
      </c>
      <c r="D326" s="68">
        <v>0</v>
      </c>
      <c r="E326" s="68">
        <v>0</v>
      </c>
      <c r="F326" s="68">
        <v>0</v>
      </c>
      <c r="G326" s="68">
        <v>0</v>
      </c>
      <c r="H326" s="68">
        <v>0</v>
      </c>
      <c r="I326" s="68">
        <v>0</v>
      </c>
      <c r="J326" s="68">
        <v>0</v>
      </c>
      <c r="K326" s="68">
        <v>0</v>
      </c>
      <c r="L326" s="68">
        <v>0</v>
      </c>
      <c r="M326" s="68">
        <v>0</v>
      </c>
      <c r="N326" s="68">
        <v>0</v>
      </c>
      <c r="O326" s="68">
        <v>0</v>
      </c>
      <c r="P326" s="69">
        <f>SUM(D326:O326)</f>
        <v>0</v>
      </c>
    </row>
    <row r="327" spans="1:16" x14ac:dyDescent="0.2">
      <c r="A327" s="77" t="s">
        <v>1194</v>
      </c>
      <c r="D327" s="68">
        <v>0</v>
      </c>
      <c r="E327" s="68">
        <v>0</v>
      </c>
      <c r="F327" s="68">
        <v>0</v>
      </c>
      <c r="G327" s="68">
        <v>0</v>
      </c>
      <c r="H327" s="68">
        <v>0</v>
      </c>
      <c r="I327" s="68">
        <v>0</v>
      </c>
      <c r="J327" s="68">
        <v>0</v>
      </c>
      <c r="K327" s="68">
        <v>0</v>
      </c>
      <c r="L327" s="68">
        <v>0</v>
      </c>
      <c r="M327" s="68">
        <v>0</v>
      </c>
      <c r="N327" s="68">
        <v>0</v>
      </c>
      <c r="O327" s="68">
        <v>0</v>
      </c>
      <c r="P327" s="69">
        <f>SUM(D327:O327)</f>
        <v>0</v>
      </c>
    </row>
    <row r="328" spans="1:16" x14ac:dyDescent="0.2">
      <c r="A328" s="67" t="s">
        <v>55</v>
      </c>
      <c r="D328" s="267">
        <v>0</v>
      </c>
      <c r="E328" s="267">
        <v>0</v>
      </c>
      <c r="F328" s="267">
        <v>0</v>
      </c>
      <c r="G328" s="267">
        <v>0</v>
      </c>
      <c r="H328" s="267">
        <v>0</v>
      </c>
      <c r="I328" s="267">
        <v>0</v>
      </c>
      <c r="J328" s="267">
        <v>0</v>
      </c>
      <c r="K328" s="267">
        <v>0</v>
      </c>
      <c r="L328" s="267">
        <v>0</v>
      </c>
      <c r="M328" s="267">
        <v>0</v>
      </c>
      <c r="N328" s="267">
        <v>0</v>
      </c>
      <c r="O328" s="267">
        <v>0</v>
      </c>
      <c r="P328" s="71">
        <f>SUM(D328:O328)</f>
        <v>0</v>
      </c>
    </row>
    <row r="329" spans="1:16" ht="3.95" customHeight="1" x14ac:dyDescent="0.2">
      <c r="D329" s="79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</row>
    <row r="330" spans="1:16" x14ac:dyDescent="0.2">
      <c r="A330" s="346" t="s">
        <v>56</v>
      </c>
      <c r="B330" s="790"/>
      <c r="C330" s="58"/>
      <c r="D330" s="74">
        <f t="shared" ref="D330:O330" si="97">SUM(D325:D328)</f>
        <v>0</v>
      </c>
      <c r="E330" s="74">
        <f t="shared" si="97"/>
        <v>0</v>
      </c>
      <c r="F330" s="74">
        <f t="shared" si="97"/>
        <v>0</v>
      </c>
      <c r="G330" s="74">
        <f t="shared" si="97"/>
        <v>0</v>
      </c>
      <c r="H330" s="74">
        <f t="shared" si="97"/>
        <v>0</v>
      </c>
      <c r="I330" s="74">
        <f t="shared" si="97"/>
        <v>0</v>
      </c>
      <c r="J330" s="74">
        <f t="shared" si="97"/>
        <v>0</v>
      </c>
      <c r="K330" s="74">
        <f t="shared" si="97"/>
        <v>0</v>
      </c>
      <c r="L330" s="74">
        <f t="shared" si="97"/>
        <v>0</v>
      </c>
      <c r="M330" s="74">
        <f t="shared" si="97"/>
        <v>0</v>
      </c>
      <c r="N330" s="74">
        <f t="shared" si="97"/>
        <v>0</v>
      </c>
      <c r="O330" s="74">
        <f t="shared" si="97"/>
        <v>0</v>
      </c>
      <c r="P330" s="74">
        <f>SUM(D330:O330)</f>
        <v>0</v>
      </c>
    </row>
    <row r="331" spans="1:16" ht="6" customHeight="1" x14ac:dyDescent="0.2">
      <c r="A331" s="66"/>
      <c r="B331" s="788"/>
      <c r="D331" s="69"/>
      <c r="E331" s="69"/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69"/>
    </row>
    <row r="332" spans="1:16" x14ac:dyDescent="0.2">
      <c r="A332" s="350" t="s">
        <v>171</v>
      </c>
      <c r="B332" s="789"/>
      <c r="C332" s="58"/>
      <c r="D332" s="74">
        <f t="shared" ref="D332:O332" si="98">-1*D330</f>
        <v>0</v>
      </c>
      <c r="E332" s="74">
        <f t="shared" si="98"/>
        <v>0</v>
      </c>
      <c r="F332" s="74">
        <f t="shared" si="98"/>
        <v>0</v>
      </c>
      <c r="G332" s="74">
        <f t="shared" si="98"/>
        <v>0</v>
      </c>
      <c r="H332" s="74">
        <f t="shared" si="98"/>
        <v>0</v>
      </c>
      <c r="I332" s="74">
        <f t="shared" si="98"/>
        <v>0</v>
      </c>
      <c r="J332" s="74">
        <f t="shared" si="98"/>
        <v>0</v>
      </c>
      <c r="K332" s="74">
        <f t="shared" si="98"/>
        <v>0</v>
      </c>
      <c r="L332" s="74">
        <f t="shared" si="98"/>
        <v>0</v>
      </c>
      <c r="M332" s="74">
        <f t="shared" si="98"/>
        <v>0</v>
      </c>
      <c r="N332" s="74">
        <f t="shared" si="98"/>
        <v>0</v>
      </c>
      <c r="O332" s="74">
        <f t="shared" si="98"/>
        <v>0</v>
      </c>
      <c r="P332" s="74">
        <f>SUM(D332:O332)</f>
        <v>0</v>
      </c>
    </row>
    <row r="333" spans="1:16" x14ac:dyDescent="0.2">
      <c r="A333" s="66"/>
      <c r="B333" s="788"/>
    </row>
    <row r="334" spans="1:16" x14ac:dyDescent="0.2">
      <c r="A334" s="81"/>
      <c r="B334" s="791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</row>
    <row r="335" spans="1:16" x14ac:dyDescent="0.2">
      <c r="A335" s="345"/>
    </row>
    <row r="336" spans="1:16" x14ac:dyDescent="0.2">
      <c r="A336" s="356" t="s">
        <v>172</v>
      </c>
      <c r="B336" s="788"/>
      <c r="C336" s="62" t="str">
        <f>C47</f>
        <v>DEC.,2001</v>
      </c>
      <c r="D336" s="85"/>
      <c r="E336" s="85"/>
      <c r="F336" s="85"/>
      <c r="G336" s="85"/>
      <c r="H336" s="85"/>
      <c r="I336" s="85"/>
      <c r="J336" s="85"/>
      <c r="K336" s="85"/>
      <c r="L336" s="85"/>
      <c r="M336" s="85"/>
      <c r="N336" s="85"/>
      <c r="O336" s="85"/>
      <c r="P336" s="58"/>
    </row>
    <row r="337" spans="1:16" ht="3.95" customHeight="1" x14ac:dyDescent="0.2">
      <c r="A337" s="66"/>
      <c r="B337" s="788"/>
      <c r="D337" s="79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</row>
    <row r="338" spans="1:16" x14ac:dyDescent="0.2">
      <c r="A338" s="344" t="s">
        <v>59</v>
      </c>
      <c r="B338" s="788"/>
      <c r="D338" s="69">
        <f t="shared" ref="D338:O338" si="99">C348</f>
        <v>0</v>
      </c>
      <c r="E338" s="69">
        <f t="shared" si="99"/>
        <v>0</v>
      </c>
      <c r="F338" s="69">
        <f t="shared" si="99"/>
        <v>0</v>
      </c>
      <c r="G338" s="69">
        <f t="shared" si="99"/>
        <v>0</v>
      </c>
      <c r="H338" s="69">
        <f t="shared" si="99"/>
        <v>0</v>
      </c>
      <c r="I338" s="69">
        <f t="shared" si="99"/>
        <v>0</v>
      </c>
      <c r="J338" s="69">
        <f t="shared" si="99"/>
        <v>0</v>
      </c>
      <c r="K338" s="69">
        <f t="shared" si="99"/>
        <v>0</v>
      </c>
      <c r="L338" s="69">
        <f t="shared" si="99"/>
        <v>0</v>
      </c>
      <c r="M338" s="69">
        <f t="shared" si="99"/>
        <v>0</v>
      </c>
      <c r="N338" s="69">
        <f t="shared" si="99"/>
        <v>0</v>
      </c>
      <c r="O338" s="69">
        <f t="shared" si="99"/>
        <v>0</v>
      </c>
      <c r="P338" s="69"/>
    </row>
    <row r="339" spans="1:16" ht="6" customHeight="1" x14ac:dyDescent="0.2">
      <c r="A339" s="345"/>
    </row>
    <row r="340" spans="1:16" x14ac:dyDescent="0.2">
      <c r="A340" s="95" t="s">
        <v>173</v>
      </c>
      <c r="B340" s="91"/>
      <c r="D340" s="68">
        <v>0</v>
      </c>
      <c r="E340" s="68">
        <v>0</v>
      </c>
      <c r="F340" s="68">
        <v>0</v>
      </c>
      <c r="G340" s="68">
        <v>0</v>
      </c>
      <c r="H340" s="68">
        <v>0</v>
      </c>
      <c r="I340" s="68">
        <v>0</v>
      </c>
      <c r="J340" s="68">
        <v>0</v>
      </c>
      <c r="K340" s="68">
        <v>0</v>
      </c>
      <c r="L340" s="68">
        <v>0</v>
      </c>
      <c r="M340" s="68">
        <v>0</v>
      </c>
      <c r="N340" s="68">
        <v>0</v>
      </c>
      <c r="O340" s="68">
        <v>0</v>
      </c>
      <c r="P340" s="69">
        <f>SUM(D340:O340)</f>
        <v>0</v>
      </c>
    </row>
    <row r="341" spans="1:16" ht="6" customHeight="1" x14ac:dyDescent="0.2">
      <c r="A341" s="66"/>
      <c r="B341" s="788"/>
      <c r="D341" s="69"/>
      <c r="E341" s="69"/>
      <c r="F341" s="69"/>
      <c r="G341" s="69"/>
      <c r="H341" s="69"/>
      <c r="I341" s="69"/>
      <c r="J341" s="69"/>
      <c r="K341" s="69"/>
      <c r="L341" s="69"/>
      <c r="M341" s="69"/>
      <c r="N341" s="69"/>
      <c r="O341" s="69"/>
    </row>
    <row r="342" spans="1:16" x14ac:dyDescent="0.2">
      <c r="A342" s="351" t="s">
        <v>132</v>
      </c>
      <c r="B342" s="788"/>
      <c r="D342" s="69">
        <f t="shared" ref="D342:O342" si="100">D332</f>
        <v>0</v>
      </c>
      <c r="E342" s="69">
        <f t="shared" si="100"/>
        <v>0</v>
      </c>
      <c r="F342" s="69">
        <f t="shared" si="100"/>
        <v>0</v>
      </c>
      <c r="G342" s="69">
        <f t="shared" si="100"/>
        <v>0</v>
      </c>
      <c r="H342" s="69">
        <f t="shared" si="100"/>
        <v>0</v>
      </c>
      <c r="I342" s="69">
        <f t="shared" si="100"/>
        <v>0</v>
      </c>
      <c r="J342" s="69">
        <f t="shared" si="100"/>
        <v>0</v>
      </c>
      <c r="K342" s="69">
        <f t="shared" si="100"/>
        <v>0</v>
      </c>
      <c r="L342" s="69">
        <f t="shared" si="100"/>
        <v>0</v>
      </c>
      <c r="M342" s="69">
        <f t="shared" si="100"/>
        <v>0</v>
      </c>
      <c r="N342" s="69">
        <f t="shared" si="100"/>
        <v>0</v>
      </c>
      <c r="O342" s="69">
        <f t="shared" si="100"/>
        <v>0</v>
      </c>
      <c r="P342" s="69">
        <f>SUM(D342:O342)</f>
        <v>0</v>
      </c>
    </row>
    <row r="343" spans="1:16" ht="6" customHeight="1" x14ac:dyDescent="0.2">
      <c r="A343" s="66"/>
      <c r="B343" s="788"/>
      <c r="D343" s="69"/>
      <c r="E343" s="69"/>
      <c r="F343" s="69"/>
      <c r="G343" s="69"/>
      <c r="H343" s="69"/>
      <c r="I343" s="69"/>
      <c r="J343" s="69"/>
      <c r="K343" s="69"/>
      <c r="L343" s="69"/>
      <c r="M343" s="69"/>
      <c r="N343" s="69"/>
      <c r="O343" s="69"/>
      <c r="P343" s="69"/>
    </row>
    <row r="344" spans="1:16" x14ac:dyDescent="0.2">
      <c r="A344" s="351" t="s">
        <v>1188</v>
      </c>
      <c r="B344" s="788"/>
      <c r="D344" s="68">
        <v>0</v>
      </c>
      <c r="E344" s="68">
        <v>0</v>
      </c>
      <c r="F344" s="68">
        <v>0</v>
      </c>
      <c r="G344" s="68">
        <v>0</v>
      </c>
      <c r="H344" s="68">
        <v>0</v>
      </c>
      <c r="I344" s="68">
        <v>0</v>
      </c>
      <c r="J344" s="68">
        <v>0</v>
      </c>
      <c r="K344" s="68">
        <v>0</v>
      </c>
      <c r="L344" s="68">
        <v>0</v>
      </c>
      <c r="M344" s="68">
        <v>0</v>
      </c>
      <c r="N344" s="68">
        <v>0</v>
      </c>
      <c r="O344" s="68">
        <v>0</v>
      </c>
      <c r="P344" s="69">
        <f>SUM(D344:O344)</f>
        <v>0</v>
      </c>
    </row>
    <row r="345" spans="1:16" ht="6" customHeight="1" x14ac:dyDescent="0.2">
      <c r="A345" s="66"/>
      <c r="B345" s="788"/>
      <c r="D345" s="69"/>
      <c r="E345" s="69"/>
      <c r="F345" s="69"/>
      <c r="G345" s="69"/>
      <c r="H345" s="69"/>
      <c r="I345" s="69"/>
      <c r="J345" s="69"/>
      <c r="K345" s="69"/>
      <c r="L345" s="69"/>
      <c r="M345" s="69"/>
      <c r="N345" s="69"/>
      <c r="O345" s="69"/>
      <c r="P345" s="69"/>
    </row>
    <row r="346" spans="1:16" x14ac:dyDescent="0.2">
      <c r="A346" s="67" t="s">
        <v>111</v>
      </c>
      <c r="B346" s="788"/>
      <c r="D346" s="71">
        <f t="shared" ref="D346:O346" si="101">D355</f>
        <v>0</v>
      </c>
      <c r="E346" s="71">
        <f t="shared" si="101"/>
        <v>0</v>
      </c>
      <c r="F346" s="71">
        <f t="shared" si="101"/>
        <v>0</v>
      </c>
      <c r="G346" s="71">
        <f t="shared" si="101"/>
        <v>0</v>
      </c>
      <c r="H346" s="71">
        <f t="shared" si="101"/>
        <v>0</v>
      </c>
      <c r="I346" s="71">
        <f t="shared" si="101"/>
        <v>0</v>
      </c>
      <c r="J346" s="71">
        <f t="shared" si="101"/>
        <v>0</v>
      </c>
      <c r="K346" s="71">
        <f t="shared" si="101"/>
        <v>0</v>
      </c>
      <c r="L346" s="71">
        <f t="shared" si="101"/>
        <v>0</v>
      </c>
      <c r="M346" s="71">
        <f t="shared" si="101"/>
        <v>0</v>
      </c>
      <c r="N346" s="71">
        <f t="shared" si="101"/>
        <v>0</v>
      </c>
      <c r="O346" s="71">
        <f t="shared" si="101"/>
        <v>0</v>
      </c>
      <c r="P346" s="71">
        <f>SUM(D346:O346)</f>
        <v>0</v>
      </c>
    </row>
    <row r="347" spans="1:16" ht="3.95" customHeight="1" x14ac:dyDescent="0.2">
      <c r="A347" s="66"/>
      <c r="B347" s="788"/>
      <c r="D347" s="79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</row>
    <row r="348" spans="1:16" x14ac:dyDescent="0.2">
      <c r="A348" s="344" t="s">
        <v>64</v>
      </c>
      <c r="B348" s="793"/>
      <c r="C348" s="658">
        <v>0</v>
      </c>
      <c r="D348" s="87">
        <f t="shared" ref="D348:O348" si="102">SUM(D338:D346)</f>
        <v>0</v>
      </c>
      <c r="E348" s="87">
        <f t="shared" si="102"/>
        <v>0</v>
      </c>
      <c r="F348" s="87">
        <f t="shared" si="102"/>
        <v>0</v>
      </c>
      <c r="G348" s="87">
        <f t="shared" si="102"/>
        <v>0</v>
      </c>
      <c r="H348" s="87">
        <f t="shared" si="102"/>
        <v>0</v>
      </c>
      <c r="I348" s="87">
        <f t="shared" si="102"/>
        <v>0</v>
      </c>
      <c r="J348" s="87">
        <f t="shared" si="102"/>
        <v>0</v>
      </c>
      <c r="K348" s="87">
        <f t="shared" si="102"/>
        <v>0</v>
      </c>
      <c r="L348" s="87">
        <f t="shared" si="102"/>
        <v>0</v>
      </c>
      <c r="M348" s="87">
        <f t="shared" si="102"/>
        <v>0</v>
      </c>
      <c r="N348" s="87">
        <f t="shared" si="102"/>
        <v>0</v>
      </c>
      <c r="O348" s="87">
        <f t="shared" si="102"/>
        <v>0</v>
      </c>
      <c r="P348" s="87">
        <f>SUM(P340:P346)+D338</f>
        <v>0</v>
      </c>
    </row>
    <row r="349" spans="1:16" x14ac:dyDescent="0.2">
      <c r="A349" s="66"/>
      <c r="C349" s="66"/>
      <c r="D349" s="79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</row>
    <row r="350" spans="1:16" x14ac:dyDescent="0.2">
      <c r="A350" s="626" t="str">
        <f>A61</f>
        <v xml:space="preserve">   Interest Rate </v>
      </c>
      <c r="C350" s="66"/>
      <c r="D350" s="97">
        <f t="shared" ref="D350:O350" si="103">D61</f>
        <v>7.7499999999999999E-2</v>
      </c>
      <c r="E350" s="97">
        <f t="shared" si="103"/>
        <v>7.7499999999999999E-2</v>
      </c>
      <c r="F350" s="97">
        <f t="shared" si="103"/>
        <v>7.7499999999999999E-2</v>
      </c>
      <c r="G350" s="97">
        <f t="shared" si="103"/>
        <v>7.7499999999999999E-2</v>
      </c>
      <c r="H350" s="97">
        <f t="shared" si="103"/>
        <v>7.7499999999999999E-2</v>
      </c>
      <c r="I350" s="97">
        <f t="shared" si="103"/>
        <v>7.7499999999999999E-2</v>
      </c>
      <c r="J350" s="97">
        <f t="shared" si="103"/>
        <v>7.7499999999999999E-2</v>
      </c>
      <c r="K350" s="97">
        <f t="shared" si="103"/>
        <v>7.7499999999999999E-2</v>
      </c>
      <c r="L350" s="97">
        <f t="shared" si="103"/>
        <v>7.7499999999999999E-2</v>
      </c>
      <c r="M350" s="97">
        <f t="shared" si="103"/>
        <v>7.7499999999999999E-2</v>
      </c>
      <c r="N350" s="97">
        <f t="shared" si="103"/>
        <v>7.7499999999999999E-2</v>
      </c>
      <c r="O350" s="97">
        <f t="shared" si="103"/>
        <v>7.7499999999999999E-2</v>
      </c>
    </row>
    <row r="351" spans="1:16" x14ac:dyDescent="0.2">
      <c r="A351" s="626" t="str">
        <f>A62</f>
        <v xml:space="preserve">      Monthly</v>
      </c>
      <c r="C351" s="66"/>
      <c r="D351" s="89">
        <f>D62</f>
        <v>6.6E-3</v>
      </c>
      <c r="E351" s="89">
        <f>E62</f>
        <v>5.8999999999999999E-3</v>
      </c>
      <c r="F351" s="89">
        <f>F62</f>
        <v>6.6E-3</v>
      </c>
      <c r="G351" s="89">
        <f>G62</f>
        <v>6.4000000000000003E-3</v>
      </c>
      <c r="H351" s="89">
        <f t="shared" ref="H351:O351" si="104">H62</f>
        <v>6.6E-3</v>
      </c>
      <c r="I351" s="89">
        <f t="shared" si="104"/>
        <v>6.4000000000000003E-3</v>
      </c>
      <c r="J351" s="89">
        <f t="shared" si="104"/>
        <v>6.6E-3</v>
      </c>
      <c r="K351" s="89">
        <f t="shared" si="104"/>
        <v>6.6E-3</v>
      </c>
      <c r="L351" s="89">
        <f t="shared" si="104"/>
        <v>6.4000000000000003E-3</v>
      </c>
      <c r="M351" s="89">
        <f t="shared" si="104"/>
        <v>6.6E-3</v>
      </c>
      <c r="N351" s="89">
        <f t="shared" si="104"/>
        <v>6.4000000000000003E-3</v>
      </c>
      <c r="O351" s="89">
        <f t="shared" si="104"/>
        <v>6.6E-3</v>
      </c>
    </row>
    <row r="352" spans="1:16" ht="6" customHeight="1" x14ac:dyDescent="0.2">
      <c r="A352" s="66"/>
      <c r="C352" s="66"/>
    </row>
    <row r="353" spans="1:17" x14ac:dyDescent="0.2">
      <c r="A353" s="624" t="s">
        <v>67</v>
      </c>
      <c r="C353" s="86"/>
      <c r="D353" s="625">
        <f t="shared" ref="D353:O353" si="105">ROUND(C348*D351,0)</f>
        <v>0</v>
      </c>
      <c r="E353" s="625">
        <f t="shared" si="105"/>
        <v>0</v>
      </c>
      <c r="F353" s="625">
        <f t="shared" si="105"/>
        <v>0</v>
      </c>
      <c r="G353" s="625">
        <f t="shared" si="105"/>
        <v>0</v>
      </c>
      <c r="H353" s="625">
        <f t="shared" si="105"/>
        <v>0</v>
      </c>
      <c r="I353" s="625">
        <f t="shared" si="105"/>
        <v>0</v>
      </c>
      <c r="J353" s="625">
        <f>ROUND(I348*J351,0)</f>
        <v>0</v>
      </c>
      <c r="K353" s="625">
        <f t="shared" si="105"/>
        <v>0</v>
      </c>
      <c r="L353" s="625">
        <f t="shared" si="105"/>
        <v>0</v>
      </c>
      <c r="M353" s="660">
        <f>ROUND((L348+M323)*M351,0)</f>
        <v>0</v>
      </c>
      <c r="N353" s="625">
        <f t="shared" si="105"/>
        <v>0</v>
      </c>
      <c r="O353" s="625">
        <f t="shared" si="105"/>
        <v>0</v>
      </c>
      <c r="P353" s="625">
        <f>SUM(D353:O353)</f>
        <v>0</v>
      </c>
    </row>
    <row r="354" spans="1:17" x14ac:dyDescent="0.2">
      <c r="A354" s="351" t="s">
        <v>102</v>
      </c>
      <c r="C354" s="86"/>
      <c r="D354" s="267">
        <v>0</v>
      </c>
      <c r="E354" s="267">
        <v>0</v>
      </c>
      <c r="F354" s="267">
        <v>0</v>
      </c>
      <c r="G354" s="267">
        <v>0</v>
      </c>
      <c r="H354" s="267">
        <v>0</v>
      </c>
      <c r="I354" s="267">
        <v>0</v>
      </c>
      <c r="J354" s="267">
        <v>0</v>
      </c>
      <c r="K354" s="267">
        <v>0</v>
      </c>
      <c r="L354" s="267">
        <v>0</v>
      </c>
      <c r="M354" s="267">
        <v>0</v>
      </c>
      <c r="N354" s="267">
        <v>0</v>
      </c>
      <c r="O354" s="267">
        <v>0</v>
      </c>
      <c r="P354" s="71">
        <f>SUM(D354:O354)</f>
        <v>0</v>
      </c>
    </row>
    <row r="355" spans="1:17" x14ac:dyDescent="0.2">
      <c r="A355" s="627" t="str">
        <f>A66</f>
        <v xml:space="preserve">      Total Current Month Carrying Charges</v>
      </c>
      <c r="C355" s="86"/>
      <c r="D355" s="74">
        <f>D353+D354</f>
        <v>0</v>
      </c>
      <c r="E355" s="74">
        <f t="shared" ref="E355:P355" si="106">E353+E354</f>
        <v>0</v>
      </c>
      <c r="F355" s="74">
        <f t="shared" si="106"/>
        <v>0</v>
      </c>
      <c r="G355" s="74">
        <f t="shared" si="106"/>
        <v>0</v>
      </c>
      <c r="H355" s="74">
        <f t="shared" si="106"/>
        <v>0</v>
      </c>
      <c r="I355" s="74">
        <f t="shared" si="106"/>
        <v>0</v>
      </c>
      <c r="J355" s="74">
        <f t="shared" si="106"/>
        <v>0</v>
      </c>
      <c r="K355" s="74">
        <f t="shared" si="106"/>
        <v>0</v>
      </c>
      <c r="L355" s="74">
        <f t="shared" si="106"/>
        <v>0</v>
      </c>
      <c r="M355" s="74">
        <f t="shared" si="106"/>
        <v>0</v>
      </c>
      <c r="N355" s="74">
        <f t="shared" si="106"/>
        <v>0</v>
      </c>
      <c r="O355" s="74">
        <f t="shared" si="106"/>
        <v>0</v>
      </c>
      <c r="P355" s="74">
        <f t="shared" si="106"/>
        <v>0</v>
      </c>
    </row>
    <row r="356" spans="1:17" ht="6" customHeight="1" x14ac:dyDescent="0.2">
      <c r="A356" s="66"/>
      <c r="B356" s="788"/>
    </row>
    <row r="357" spans="1:17" x14ac:dyDescent="0.2">
      <c r="A357" s="627" t="str">
        <f>A68</f>
        <v xml:space="preserve">      Cumulative Carrying Charges</v>
      </c>
      <c r="B357" s="788"/>
      <c r="D357" s="69">
        <f>D355</f>
        <v>0</v>
      </c>
      <c r="E357" s="69">
        <f>E355+D357</f>
        <v>0</v>
      </c>
      <c r="F357" s="69">
        <f t="shared" ref="F357:O357" si="107">F355+E357</f>
        <v>0</v>
      </c>
      <c r="G357" s="69">
        <f t="shared" si="107"/>
        <v>0</v>
      </c>
      <c r="H357" s="69">
        <f t="shared" si="107"/>
        <v>0</v>
      </c>
      <c r="I357" s="69">
        <f t="shared" si="107"/>
        <v>0</v>
      </c>
      <c r="J357" s="69">
        <f t="shared" si="107"/>
        <v>0</v>
      </c>
      <c r="K357" s="69">
        <f t="shared" si="107"/>
        <v>0</v>
      </c>
      <c r="L357" s="69">
        <f t="shared" si="107"/>
        <v>0</v>
      </c>
      <c r="M357" s="69">
        <f t="shared" si="107"/>
        <v>0</v>
      </c>
      <c r="N357" s="69">
        <f t="shared" si="107"/>
        <v>0</v>
      </c>
      <c r="O357" s="69">
        <f t="shared" si="107"/>
        <v>0</v>
      </c>
    </row>
    <row r="358" spans="1:17" ht="6" customHeight="1" x14ac:dyDescent="0.2"/>
    <row r="359" spans="1:17" customFormat="1" x14ac:dyDescent="0.2">
      <c r="B359" s="691"/>
    </row>
    <row r="360" spans="1:17" customFormat="1" x14ac:dyDescent="0.2">
      <c r="A360" s="605" t="str">
        <f ca="1">CELL("FILENAME")</f>
        <v>C:\Users\Felienne\Enron\EnronSpreadsheets\[tracy_geaccone__40367__EMNNG02PL.xls]IncomeState</v>
      </c>
      <c r="B360" s="92"/>
      <c r="C360" s="57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7"/>
    </row>
    <row r="361" spans="1:17" customFormat="1" x14ac:dyDescent="0.2">
      <c r="A361" s="340" t="s">
        <v>174</v>
      </c>
      <c r="B361" s="92"/>
      <c r="C361" s="57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7"/>
    </row>
    <row r="362" spans="1:17" customFormat="1" x14ac:dyDescent="0.2">
      <c r="A362" s="355" t="str">
        <f>A3</f>
        <v>2002 OPERATING PLAN</v>
      </c>
      <c r="B362" s="786">
        <f ca="1">NOW()</f>
        <v>41887.55112708333</v>
      </c>
      <c r="C362" s="489" t="s">
        <v>175</v>
      </c>
      <c r="D362" s="60"/>
      <c r="E362" s="59"/>
      <c r="F362" s="59"/>
      <c r="G362" s="101"/>
      <c r="H362" s="101"/>
      <c r="I362" s="101"/>
      <c r="J362" s="102"/>
      <c r="K362" s="59"/>
      <c r="L362" s="59"/>
      <c r="M362" s="59"/>
      <c r="N362" s="59"/>
      <c r="O362" s="59"/>
      <c r="P362" s="90"/>
      <c r="Q362" s="57"/>
    </row>
    <row r="363" spans="1:17" customFormat="1" ht="12.95" customHeight="1" x14ac:dyDescent="0.2">
      <c r="A363" s="61"/>
      <c r="B363" s="787">
        <f ca="1">NOW()</f>
        <v>41887.551126967592</v>
      </c>
      <c r="C363" s="338" t="str">
        <f t="shared" ref="C363:P363" si="108">C4</f>
        <v>BALANCE</v>
      </c>
      <c r="D363" s="338" t="str">
        <f t="shared" si="108"/>
        <v>JAN</v>
      </c>
      <c r="E363" s="338" t="str">
        <f t="shared" si="108"/>
        <v>FEB</v>
      </c>
      <c r="F363" s="338" t="str">
        <f t="shared" si="108"/>
        <v>MAR</v>
      </c>
      <c r="G363" s="338" t="str">
        <f t="shared" si="108"/>
        <v>APR</v>
      </c>
      <c r="H363" s="338" t="str">
        <f t="shared" si="108"/>
        <v>MAY</v>
      </c>
      <c r="I363" s="338" t="str">
        <f t="shared" si="108"/>
        <v>JUN</v>
      </c>
      <c r="J363" s="338" t="str">
        <f t="shared" si="108"/>
        <v>JUL</v>
      </c>
      <c r="K363" s="338" t="str">
        <f t="shared" si="108"/>
        <v>AUG</v>
      </c>
      <c r="L363" s="338" t="str">
        <f t="shared" si="108"/>
        <v>SEP</v>
      </c>
      <c r="M363" s="338" t="str">
        <f t="shared" si="108"/>
        <v>OCT</v>
      </c>
      <c r="N363" s="338" t="str">
        <f t="shared" si="108"/>
        <v>NOV</v>
      </c>
      <c r="O363" s="338" t="str">
        <f t="shared" si="108"/>
        <v>DEC</v>
      </c>
      <c r="P363" s="338" t="str">
        <f t="shared" si="108"/>
        <v>2002</v>
      </c>
      <c r="Q363" s="57"/>
    </row>
    <row r="364" spans="1:17" customFormat="1" ht="3.95" customHeight="1" x14ac:dyDescent="0.2">
      <c r="A364" s="57"/>
      <c r="B364" s="92"/>
      <c r="C364" s="57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4"/>
      <c r="Q364" s="57"/>
    </row>
    <row r="365" spans="1:17" customFormat="1" x14ac:dyDescent="0.2">
      <c r="A365" s="344" t="s">
        <v>176</v>
      </c>
      <c r="B365" s="788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</row>
    <row r="366" spans="1:17" customFormat="1" x14ac:dyDescent="0.2">
      <c r="A366" s="67" t="s">
        <v>9</v>
      </c>
      <c r="B366" s="788"/>
      <c r="C366" s="57"/>
      <c r="D366" s="69">
        <f t="shared" ref="D366:O366" si="109">D7</f>
        <v>0</v>
      </c>
      <c r="E366" s="69">
        <f t="shared" si="109"/>
        <v>0</v>
      </c>
      <c r="F366" s="69">
        <f t="shared" si="109"/>
        <v>0</v>
      </c>
      <c r="G366" s="69">
        <f t="shared" si="109"/>
        <v>0</v>
      </c>
      <c r="H366" s="69">
        <f t="shared" si="109"/>
        <v>0</v>
      </c>
      <c r="I366" s="69">
        <f t="shared" si="109"/>
        <v>0</v>
      </c>
      <c r="J366" s="69">
        <f t="shared" si="109"/>
        <v>0</v>
      </c>
      <c r="K366" s="69">
        <f t="shared" si="109"/>
        <v>0</v>
      </c>
      <c r="L366" s="69">
        <f t="shared" si="109"/>
        <v>0</v>
      </c>
      <c r="M366" s="69">
        <f t="shared" si="109"/>
        <v>0</v>
      </c>
      <c r="N366" s="69">
        <f t="shared" si="109"/>
        <v>0</v>
      </c>
      <c r="O366" s="69">
        <f t="shared" si="109"/>
        <v>0</v>
      </c>
      <c r="P366" s="69">
        <f>SUM(D366:O366)</f>
        <v>0</v>
      </c>
      <c r="Q366" s="57"/>
    </row>
    <row r="367" spans="1:17" customFormat="1" x14ac:dyDescent="0.2">
      <c r="A367" s="351" t="s">
        <v>82</v>
      </c>
      <c r="B367" s="92"/>
      <c r="C367" s="57"/>
      <c r="D367" s="69">
        <f t="shared" ref="D367:O367" si="110">D8</f>
        <v>0</v>
      </c>
      <c r="E367" s="69">
        <f t="shared" si="110"/>
        <v>0</v>
      </c>
      <c r="F367" s="69">
        <f t="shared" si="110"/>
        <v>0</v>
      </c>
      <c r="G367" s="69">
        <f t="shared" si="110"/>
        <v>0</v>
      </c>
      <c r="H367" s="69">
        <f t="shared" si="110"/>
        <v>0</v>
      </c>
      <c r="I367" s="69">
        <f t="shared" si="110"/>
        <v>0</v>
      </c>
      <c r="J367" s="69">
        <f t="shared" si="110"/>
        <v>0</v>
      </c>
      <c r="K367" s="69">
        <f t="shared" si="110"/>
        <v>0</v>
      </c>
      <c r="L367" s="69">
        <f t="shared" si="110"/>
        <v>0</v>
      </c>
      <c r="M367" s="69">
        <f t="shared" si="110"/>
        <v>0</v>
      </c>
      <c r="N367" s="69">
        <f t="shared" si="110"/>
        <v>0</v>
      </c>
      <c r="O367" s="69">
        <f t="shared" si="110"/>
        <v>0</v>
      </c>
      <c r="P367" s="69">
        <f>SUM(D367:O367)</f>
        <v>0</v>
      </c>
      <c r="Q367" s="57"/>
    </row>
    <row r="368" spans="1:17" customFormat="1" x14ac:dyDescent="0.2">
      <c r="A368" s="351" t="s">
        <v>85</v>
      </c>
      <c r="B368" s="92"/>
      <c r="C368" s="57"/>
      <c r="D368" s="71">
        <f t="shared" ref="D368:O368" si="111">D9</f>
        <v>0</v>
      </c>
      <c r="E368" s="71">
        <f t="shared" si="111"/>
        <v>0</v>
      </c>
      <c r="F368" s="71">
        <f t="shared" si="111"/>
        <v>0</v>
      </c>
      <c r="G368" s="71">
        <f t="shared" si="111"/>
        <v>0</v>
      </c>
      <c r="H368" s="71">
        <f t="shared" si="111"/>
        <v>0</v>
      </c>
      <c r="I368" s="71">
        <f t="shared" si="111"/>
        <v>0</v>
      </c>
      <c r="J368" s="71">
        <f t="shared" si="111"/>
        <v>0</v>
      </c>
      <c r="K368" s="71">
        <f t="shared" si="111"/>
        <v>0</v>
      </c>
      <c r="L368" s="71">
        <f t="shared" si="111"/>
        <v>0</v>
      </c>
      <c r="M368" s="71">
        <f t="shared" si="111"/>
        <v>0</v>
      </c>
      <c r="N368" s="71">
        <f t="shared" si="111"/>
        <v>0</v>
      </c>
      <c r="O368" s="71">
        <f t="shared" si="111"/>
        <v>0</v>
      </c>
      <c r="P368" s="71">
        <f>SUM(D368:O368)</f>
        <v>0</v>
      </c>
      <c r="Q368" s="57"/>
    </row>
    <row r="369" spans="1:17" customFormat="1" ht="3.95" customHeight="1" x14ac:dyDescent="0.2">
      <c r="A369" s="57"/>
      <c r="B369" s="92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</row>
    <row r="370" spans="1:17" customFormat="1" x14ac:dyDescent="0.2">
      <c r="A370" s="67" t="s">
        <v>12</v>
      </c>
      <c r="B370" s="788"/>
      <c r="C370" s="57"/>
      <c r="D370" s="69">
        <f t="shared" ref="D370:O370" si="112">D366+D367+D368</f>
        <v>0</v>
      </c>
      <c r="E370" s="69">
        <f t="shared" si="112"/>
        <v>0</v>
      </c>
      <c r="F370" s="69">
        <f t="shared" si="112"/>
        <v>0</v>
      </c>
      <c r="G370" s="69">
        <f t="shared" si="112"/>
        <v>0</v>
      </c>
      <c r="H370" s="69">
        <f t="shared" si="112"/>
        <v>0</v>
      </c>
      <c r="I370" s="69">
        <f t="shared" si="112"/>
        <v>0</v>
      </c>
      <c r="J370" s="69">
        <f t="shared" si="112"/>
        <v>0</v>
      </c>
      <c r="K370" s="69">
        <f t="shared" si="112"/>
        <v>0</v>
      </c>
      <c r="L370" s="69">
        <f t="shared" si="112"/>
        <v>0</v>
      </c>
      <c r="M370" s="69">
        <f t="shared" si="112"/>
        <v>0</v>
      </c>
      <c r="N370" s="69">
        <f t="shared" si="112"/>
        <v>0</v>
      </c>
      <c r="O370" s="69">
        <f t="shared" si="112"/>
        <v>0</v>
      </c>
      <c r="P370" s="69">
        <f>SUM(D370:O370)</f>
        <v>0</v>
      </c>
      <c r="Q370" s="57"/>
    </row>
    <row r="371" spans="1:17" customFormat="1" ht="3.95" customHeight="1" x14ac:dyDescent="0.2">
      <c r="A371" s="57"/>
      <c r="B371" s="92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</row>
    <row r="372" spans="1:17" customFormat="1" x14ac:dyDescent="0.2">
      <c r="A372" s="67" t="s">
        <v>177</v>
      </c>
      <c r="B372" s="788"/>
      <c r="C372" s="57"/>
      <c r="D372" s="72">
        <f t="shared" ref="D372:P372" si="113">IF(D370=0,0,ROUND(D374/D370,4))</f>
        <v>0</v>
      </c>
      <c r="E372" s="72">
        <f t="shared" si="113"/>
        <v>0</v>
      </c>
      <c r="F372" s="72">
        <f t="shared" si="113"/>
        <v>0</v>
      </c>
      <c r="G372" s="72">
        <f t="shared" si="113"/>
        <v>0</v>
      </c>
      <c r="H372" s="72">
        <f t="shared" si="113"/>
        <v>0</v>
      </c>
      <c r="I372" s="72">
        <f t="shared" si="113"/>
        <v>0</v>
      </c>
      <c r="J372" s="72">
        <f t="shared" si="113"/>
        <v>0</v>
      </c>
      <c r="K372" s="72">
        <f t="shared" si="113"/>
        <v>0</v>
      </c>
      <c r="L372" s="72">
        <f t="shared" si="113"/>
        <v>0</v>
      </c>
      <c r="M372" s="72">
        <f t="shared" si="113"/>
        <v>0</v>
      </c>
      <c r="N372" s="72">
        <f t="shared" si="113"/>
        <v>0</v>
      </c>
      <c r="O372" s="72">
        <f t="shared" si="113"/>
        <v>0</v>
      </c>
      <c r="P372" s="72">
        <f t="shared" si="113"/>
        <v>0</v>
      </c>
      <c r="Q372" s="57"/>
    </row>
    <row r="373" spans="1:17" customFormat="1" ht="3.95" customHeight="1" x14ac:dyDescent="0.2">
      <c r="A373" s="57"/>
      <c r="B373" s="92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</row>
    <row r="374" spans="1:17" customFormat="1" x14ac:dyDescent="0.2">
      <c r="A374" s="350" t="s">
        <v>178</v>
      </c>
      <c r="B374" s="789"/>
      <c r="C374" s="58"/>
      <c r="D374" s="74">
        <f>Transport!C15</f>
        <v>0</v>
      </c>
      <c r="E374" s="74">
        <f>Transport!D15</f>
        <v>0</v>
      </c>
      <c r="F374" s="74">
        <f>Transport!E15</f>
        <v>0</v>
      </c>
      <c r="G374" s="74">
        <f>Transport!F15</f>
        <v>0</v>
      </c>
      <c r="H374" s="74">
        <f>Transport!G15</f>
        <v>0</v>
      </c>
      <c r="I374" s="74">
        <f>Transport!H15</f>
        <v>0</v>
      </c>
      <c r="J374" s="74">
        <f>Transport!I15</f>
        <v>0</v>
      </c>
      <c r="K374" s="74">
        <f>Transport!J15</f>
        <v>0</v>
      </c>
      <c r="L374" s="74">
        <f>Transport!K15</f>
        <v>0</v>
      </c>
      <c r="M374" s="74">
        <f>Transport!L15</f>
        <v>0</v>
      </c>
      <c r="N374" s="74">
        <f>Transport!M15</f>
        <v>0</v>
      </c>
      <c r="O374" s="74">
        <f>Transport!N15</f>
        <v>0</v>
      </c>
      <c r="P374" s="74">
        <f>SUM(D374:O374)</f>
        <v>0</v>
      </c>
      <c r="Q374" s="75"/>
    </row>
    <row r="375" spans="1:17" customFormat="1" ht="3.95" customHeight="1" x14ac:dyDescent="0.2">
      <c r="A375" s="66"/>
      <c r="B375" s="788"/>
      <c r="C375" s="57"/>
      <c r="D375" s="93"/>
      <c r="E375" s="93"/>
      <c r="F375" s="93"/>
      <c r="G375" s="93"/>
      <c r="H375" s="93"/>
      <c r="I375" s="93"/>
      <c r="J375" s="93"/>
      <c r="K375" s="93"/>
      <c r="L375" s="93"/>
      <c r="M375" s="93"/>
      <c r="N375" s="93"/>
      <c r="O375" s="93"/>
      <c r="P375" s="57"/>
      <c r="Q375" s="57"/>
    </row>
    <row r="376" spans="1:17" customFormat="1" x14ac:dyDescent="0.2">
      <c r="A376" s="350" t="s">
        <v>179</v>
      </c>
      <c r="B376" s="789"/>
      <c r="C376" s="58"/>
      <c r="D376" s="266">
        <v>0</v>
      </c>
      <c r="E376" s="266">
        <v>0</v>
      </c>
      <c r="F376" s="266">
        <v>0</v>
      </c>
      <c r="G376" s="266">
        <v>0</v>
      </c>
      <c r="H376" s="266">
        <v>0</v>
      </c>
      <c r="I376" s="266">
        <v>0</v>
      </c>
      <c r="J376" s="266">
        <v>0</v>
      </c>
      <c r="K376" s="266">
        <v>0</v>
      </c>
      <c r="L376" s="266">
        <v>0</v>
      </c>
      <c r="M376" s="659">
        <v>0</v>
      </c>
      <c r="N376" s="266">
        <v>0</v>
      </c>
      <c r="O376" s="266">
        <v>0</v>
      </c>
      <c r="P376" s="87">
        <f>SUM(D376:O376)</f>
        <v>0</v>
      </c>
      <c r="Q376" s="57"/>
    </row>
    <row r="377" spans="1:17" customFormat="1" ht="6" customHeight="1" x14ac:dyDescent="0.2">
      <c r="A377" s="57"/>
      <c r="B377" s="92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</row>
    <row r="378" spans="1:17" customFormat="1" x14ac:dyDescent="0.2">
      <c r="A378" s="67" t="s">
        <v>100</v>
      </c>
      <c r="B378" s="788"/>
      <c r="C378" s="57"/>
      <c r="D378" s="69">
        <f t="shared" ref="D378:O378" si="114">D374-D376</f>
        <v>0</v>
      </c>
      <c r="E378" s="69">
        <f t="shared" si="114"/>
        <v>0</v>
      </c>
      <c r="F378" s="69">
        <f t="shared" si="114"/>
        <v>0</v>
      </c>
      <c r="G378" s="69">
        <f t="shared" si="114"/>
        <v>0</v>
      </c>
      <c r="H378" s="69">
        <f t="shared" si="114"/>
        <v>0</v>
      </c>
      <c r="I378" s="69">
        <f t="shared" si="114"/>
        <v>0</v>
      </c>
      <c r="J378" s="69">
        <f t="shared" si="114"/>
        <v>0</v>
      </c>
      <c r="K378" s="69">
        <f t="shared" si="114"/>
        <v>0</v>
      </c>
      <c r="L378" s="69">
        <f t="shared" si="114"/>
        <v>0</v>
      </c>
      <c r="M378" s="69">
        <f t="shared" si="114"/>
        <v>0</v>
      </c>
      <c r="N378" s="69">
        <f t="shared" si="114"/>
        <v>0</v>
      </c>
      <c r="O378" s="69">
        <f t="shared" si="114"/>
        <v>0</v>
      </c>
      <c r="P378" s="69">
        <f>SUM(D378:O378)</f>
        <v>0</v>
      </c>
      <c r="Q378" s="57"/>
    </row>
    <row r="379" spans="1:17" customFormat="1" x14ac:dyDescent="0.2">
      <c r="A379" s="95" t="s">
        <v>180</v>
      </c>
      <c r="B379" s="92"/>
      <c r="C379" s="57"/>
      <c r="D379" s="68">
        <v>0</v>
      </c>
      <c r="E379" s="68">
        <v>0</v>
      </c>
      <c r="F379" s="68">
        <v>0</v>
      </c>
      <c r="G379" s="68">
        <v>0</v>
      </c>
      <c r="H379" s="68">
        <v>0</v>
      </c>
      <c r="I379" s="68">
        <v>0</v>
      </c>
      <c r="J379" s="68">
        <v>0</v>
      </c>
      <c r="K379" s="68">
        <v>0</v>
      </c>
      <c r="L379" s="68">
        <v>0</v>
      </c>
      <c r="M379" s="68">
        <v>0</v>
      </c>
      <c r="N379" s="68">
        <v>0</v>
      </c>
      <c r="O379" s="68">
        <v>0</v>
      </c>
      <c r="P379" s="69">
        <f>SUM(D379:O379)</f>
        <v>0</v>
      </c>
      <c r="Q379" s="57"/>
    </row>
    <row r="380" spans="1:17" customFormat="1" x14ac:dyDescent="0.2">
      <c r="A380" s="95" t="s">
        <v>181</v>
      </c>
      <c r="B380" s="92"/>
      <c r="C380" s="57"/>
      <c r="D380" s="480">
        <f>-D320</f>
        <v>0</v>
      </c>
      <c r="E380" s="480">
        <f t="shared" ref="E380:O380" si="115">-E320</f>
        <v>0</v>
      </c>
      <c r="F380" s="480">
        <f t="shared" si="115"/>
        <v>0</v>
      </c>
      <c r="G380" s="480">
        <f t="shared" si="115"/>
        <v>0</v>
      </c>
      <c r="H380" s="480">
        <f t="shared" si="115"/>
        <v>0</v>
      </c>
      <c r="I380" s="480">
        <f t="shared" si="115"/>
        <v>0</v>
      </c>
      <c r="J380" s="480">
        <f t="shared" si="115"/>
        <v>0</v>
      </c>
      <c r="K380" s="480">
        <f t="shared" si="115"/>
        <v>0</v>
      </c>
      <c r="L380" s="480">
        <f t="shared" si="115"/>
        <v>0</v>
      </c>
      <c r="M380" s="480">
        <f t="shared" si="115"/>
        <v>0</v>
      </c>
      <c r="N380" s="480">
        <f t="shared" si="115"/>
        <v>0</v>
      </c>
      <c r="O380" s="480">
        <f t="shared" si="115"/>
        <v>0</v>
      </c>
      <c r="P380" s="69">
        <f>SUM(D380:O380)</f>
        <v>0</v>
      </c>
      <c r="Q380" s="57"/>
    </row>
    <row r="381" spans="1:17" customFormat="1" x14ac:dyDescent="0.2">
      <c r="A381" s="67" t="s">
        <v>55</v>
      </c>
      <c r="B381" s="92"/>
      <c r="C381" s="57"/>
      <c r="D381" s="267">
        <v>0</v>
      </c>
      <c r="E381" s="267">
        <v>0</v>
      </c>
      <c r="F381" s="267">
        <v>0</v>
      </c>
      <c r="G381" s="267">
        <v>0</v>
      </c>
      <c r="H381" s="267">
        <v>0</v>
      </c>
      <c r="I381" s="267">
        <v>0</v>
      </c>
      <c r="J381" s="267">
        <v>0</v>
      </c>
      <c r="K381" s="267">
        <v>0</v>
      </c>
      <c r="L381" s="267">
        <v>0</v>
      </c>
      <c r="M381" s="267">
        <v>0</v>
      </c>
      <c r="N381" s="267">
        <v>0</v>
      </c>
      <c r="O381" s="267">
        <v>0</v>
      </c>
      <c r="P381" s="71">
        <f>SUM(D381:O381)</f>
        <v>0</v>
      </c>
      <c r="Q381" s="57"/>
    </row>
    <row r="382" spans="1:17" customFormat="1" ht="6" customHeight="1" x14ac:dyDescent="0.2">
      <c r="A382" s="57"/>
      <c r="B382" s="92"/>
      <c r="C382" s="57"/>
      <c r="D382" s="79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57"/>
      <c r="Q382" s="57"/>
    </row>
    <row r="383" spans="1:17" customFormat="1" x14ac:dyDescent="0.2">
      <c r="A383" s="346" t="s">
        <v>56</v>
      </c>
      <c r="B383" s="795"/>
      <c r="C383" s="358"/>
      <c r="D383" s="74">
        <f t="shared" ref="D383:O383" si="116">SUM(D378:D381)</f>
        <v>0</v>
      </c>
      <c r="E383" s="74">
        <f t="shared" si="116"/>
        <v>0</v>
      </c>
      <c r="F383" s="74">
        <f t="shared" si="116"/>
        <v>0</v>
      </c>
      <c r="G383" s="74">
        <f t="shared" si="116"/>
        <v>0</v>
      </c>
      <c r="H383" s="74">
        <f t="shared" si="116"/>
        <v>0</v>
      </c>
      <c r="I383" s="74">
        <f t="shared" si="116"/>
        <v>0</v>
      </c>
      <c r="J383" s="74">
        <f t="shared" si="116"/>
        <v>0</v>
      </c>
      <c r="K383" s="74">
        <f t="shared" si="116"/>
        <v>0</v>
      </c>
      <c r="L383" s="74">
        <f t="shared" si="116"/>
        <v>0</v>
      </c>
      <c r="M383" s="74">
        <f t="shared" si="116"/>
        <v>0</v>
      </c>
      <c r="N383" s="74">
        <f t="shared" si="116"/>
        <v>0</v>
      </c>
      <c r="O383" s="74">
        <f t="shared" si="116"/>
        <v>0</v>
      </c>
      <c r="P383" s="74">
        <f>SUM(D383:O383)</f>
        <v>0</v>
      </c>
      <c r="Q383" s="58"/>
    </row>
    <row r="384" spans="1:17" customFormat="1" ht="6" customHeight="1" x14ac:dyDescent="0.2">
      <c r="A384" s="66"/>
      <c r="B384" s="788"/>
      <c r="C384" s="345"/>
      <c r="D384" s="69"/>
      <c r="E384" s="69"/>
      <c r="F384" s="69"/>
      <c r="G384" s="69"/>
      <c r="H384" s="69"/>
      <c r="I384" s="69"/>
      <c r="J384" s="69"/>
      <c r="K384" s="69"/>
      <c r="L384" s="69"/>
      <c r="M384" s="69"/>
      <c r="N384" s="69"/>
      <c r="O384" s="69"/>
      <c r="P384" s="69"/>
      <c r="Q384" s="76"/>
    </row>
    <row r="385" spans="1:17" customFormat="1" x14ac:dyDescent="0.2">
      <c r="A385" s="344" t="s">
        <v>182</v>
      </c>
      <c r="B385" s="796"/>
      <c r="C385" s="358"/>
      <c r="D385" s="74">
        <f t="shared" ref="D385:O385" si="117">-1*D383</f>
        <v>0</v>
      </c>
      <c r="E385" s="74">
        <f t="shared" si="117"/>
        <v>0</v>
      </c>
      <c r="F385" s="74">
        <f t="shared" si="117"/>
        <v>0</v>
      </c>
      <c r="G385" s="74">
        <f t="shared" si="117"/>
        <v>0</v>
      </c>
      <c r="H385" s="74">
        <f t="shared" si="117"/>
        <v>0</v>
      </c>
      <c r="I385" s="74">
        <f t="shared" si="117"/>
        <v>0</v>
      </c>
      <c r="J385" s="74">
        <f t="shared" si="117"/>
        <v>0</v>
      </c>
      <c r="K385" s="74">
        <f t="shared" si="117"/>
        <v>0</v>
      </c>
      <c r="L385" s="74">
        <f t="shared" si="117"/>
        <v>0</v>
      </c>
      <c r="M385" s="74">
        <f t="shared" si="117"/>
        <v>0</v>
      </c>
      <c r="N385" s="74">
        <f t="shared" si="117"/>
        <v>0</v>
      </c>
      <c r="O385" s="74">
        <f t="shared" si="117"/>
        <v>0</v>
      </c>
      <c r="P385" s="74">
        <f>SUM(D385:O385)</f>
        <v>0</v>
      </c>
      <c r="Q385" s="57"/>
    </row>
    <row r="386" spans="1:17" customFormat="1" x14ac:dyDescent="0.2">
      <c r="A386" s="66"/>
      <c r="B386" s="788"/>
      <c r="C386" s="345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</row>
    <row r="387" spans="1:17" customFormat="1" x14ac:dyDescent="0.2">
      <c r="A387" s="81"/>
      <c r="B387" s="791"/>
      <c r="C387" s="361"/>
      <c r="D387" s="82"/>
      <c r="E387" s="82"/>
      <c r="F387" s="82"/>
      <c r="G387" s="82"/>
      <c r="H387" s="82"/>
      <c r="I387" s="82"/>
      <c r="J387" s="82"/>
      <c r="K387" s="82"/>
      <c r="L387" s="82"/>
      <c r="M387" s="82"/>
      <c r="N387" s="82"/>
      <c r="O387" s="82"/>
      <c r="P387" s="82"/>
      <c r="Q387" s="57"/>
    </row>
    <row r="388" spans="1:17" customFormat="1" x14ac:dyDescent="0.2">
      <c r="A388" s="345"/>
      <c r="B388" s="793"/>
      <c r="C388" s="345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</row>
    <row r="389" spans="1:17" customFormat="1" x14ac:dyDescent="0.2">
      <c r="A389" s="356" t="s">
        <v>183</v>
      </c>
      <c r="B389" s="788"/>
      <c r="C389" s="62" t="str">
        <f>C47</f>
        <v>DEC.,2001</v>
      </c>
      <c r="D389" s="85"/>
      <c r="E389" s="85"/>
      <c r="F389" s="85"/>
      <c r="G389" s="85"/>
      <c r="H389" s="85"/>
      <c r="I389" s="85"/>
      <c r="J389" s="85"/>
      <c r="K389" s="85"/>
      <c r="L389" s="85"/>
      <c r="M389" s="85"/>
      <c r="N389" s="85"/>
      <c r="O389" s="85"/>
      <c r="P389" s="58"/>
      <c r="Q389" s="57"/>
    </row>
    <row r="390" spans="1:17" customFormat="1" ht="3.95" customHeight="1" x14ac:dyDescent="0.2">
      <c r="A390" s="66"/>
      <c r="B390" s="788"/>
      <c r="C390" s="345"/>
      <c r="D390" s="79"/>
      <c r="E390" s="79"/>
      <c r="F390" s="79"/>
      <c r="G390" s="79"/>
      <c r="H390" s="79"/>
      <c r="I390" s="79"/>
      <c r="J390" s="79"/>
      <c r="K390" s="79"/>
      <c r="L390" s="79"/>
      <c r="M390" s="79"/>
      <c r="N390" s="79"/>
      <c r="O390" s="79"/>
      <c r="P390" s="57"/>
      <c r="Q390" s="57"/>
    </row>
    <row r="391" spans="1:17" customFormat="1" x14ac:dyDescent="0.2">
      <c r="A391" s="344" t="s">
        <v>59</v>
      </c>
      <c r="B391" s="788"/>
      <c r="C391" s="345"/>
      <c r="D391" s="69">
        <f t="shared" ref="D391:O391" si="118">C401</f>
        <v>0</v>
      </c>
      <c r="E391" s="69">
        <f t="shared" si="118"/>
        <v>0</v>
      </c>
      <c r="F391" s="69">
        <f t="shared" si="118"/>
        <v>0</v>
      </c>
      <c r="G391" s="69">
        <f t="shared" si="118"/>
        <v>0</v>
      </c>
      <c r="H391" s="69">
        <f t="shared" si="118"/>
        <v>0</v>
      </c>
      <c r="I391" s="69">
        <f t="shared" si="118"/>
        <v>0</v>
      </c>
      <c r="J391" s="69">
        <f t="shared" si="118"/>
        <v>0</v>
      </c>
      <c r="K391" s="69">
        <f t="shared" si="118"/>
        <v>0</v>
      </c>
      <c r="L391" s="69">
        <f t="shared" si="118"/>
        <v>0</v>
      </c>
      <c r="M391" s="69">
        <f t="shared" si="118"/>
        <v>0</v>
      </c>
      <c r="N391" s="69">
        <f t="shared" si="118"/>
        <v>0</v>
      </c>
      <c r="O391" s="69">
        <f t="shared" si="118"/>
        <v>0</v>
      </c>
      <c r="P391" s="69"/>
      <c r="Q391" s="76"/>
    </row>
    <row r="392" spans="1:17" customFormat="1" ht="3.95" customHeight="1" x14ac:dyDescent="0.2">
      <c r="A392" s="345"/>
      <c r="B392" s="793"/>
      <c r="C392" s="345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</row>
    <row r="393" spans="1:17" customFormat="1" x14ac:dyDescent="0.2">
      <c r="A393" s="77" t="s">
        <v>60</v>
      </c>
      <c r="B393" s="91"/>
      <c r="C393" s="345"/>
      <c r="D393" s="68">
        <v>0</v>
      </c>
      <c r="E393" s="68">
        <v>0</v>
      </c>
      <c r="F393" s="68">
        <v>0</v>
      </c>
      <c r="G393" s="68">
        <v>0</v>
      </c>
      <c r="H393" s="68">
        <v>0</v>
      </c>
      <c r="I393" s="68">
        <v>0</v>
      </c>
      <c r="J393" s="68">
        <v>0</v>
      </c>
      <c r="K393" s="68">
        <v>0</v>
      </c>
      <c r="L393" s="68">
        <v>0</v>
      </c>
      <c r="M393" s="68">
        <v>0</v>
      </c>
      <c r="N393" s="68">
        <v>0</v>
      </c>
      <c r="O393" s="68">
        <v>0</v>
      </c>
      <c r="P393" s="69">
        <f>SUM(D393:O393)</f>
        <v>0</v>
      </c>
      <c r="Q393" s="57"/>
    </row>
    <row r="394" spans="1:17" customFormat="1" ht="3.95" customHeight="1" x14ac:dyDescent="0.2">
      <c r="A394" s="66"/>
      <c r="B394" s="788"/>
      <c r="C394" s="345"/>
      <c r="D394" s="69"/>
      <c r="E394" s="69"/>
      <c r="F394" s="69"/>
      <c r="G394" s="69"/>
      <c r="H394" s="69"/>
      <c r="I394" s="69"/>
      <c r="J394" s="69"/>
      <c r="K394" s="69"/>
      <c r="L394" s="69"/>
      <c r="M394" s="69"/>
      <c r="N394" s="69"/>
      <c r="O394" s="69"/>
      <c r="P394" s="57"/>
      <c r="Q394" s="57"/>
    </row>
    <row r="395" spans="1:17" customFormat="1" x14ac:dyDescent="0.2">
      <c r="A395" s="67" t="s">
        <v>61</v>
      </c>
      <c r="B395" s="788"/>
      <c r="C395" s="345"/>
      <c r="D395" s="69">
        <f t="shared" ref="D395:O395" si="119">D385</f>
        <v>0</v>
      </c>
      <c r="E395" s="69">
        <f t="shared" si="119"/>
        <v>0</v>
      </c>
      <c r="F395" s="69">
        <f t="shared" si="119"/>
        <v>0</v>
      </c>
      <c r="G395" s="69">
        <f t="shared" si="119"/>
        <v>0</v>
      </c>
      <c r="H395" s="69">
        <f t="shared" si="119"/>
        <v>0</v>
      </c>
      <c r="I395" s="69">
        <f t="shared" si="119"/>
        <v>0</v>
      </c>
      <c r="J395" s="69">
        <f t="shared" si="119"/>
        <v>0</v>
      </c>
      <c r="K395" s="69">
        <f t="shared" si="119"/>
        <v>0</v>
      </c>
      <c r="L395" s="69">
        <f t="shared" si="119"/>
        <v>0</v>
      </c>
      <c r="M395" s="69">
        <f t="shared" si="119"/>
        <v>0</v>
      </c>
      <c r="N395" s="69">
        <f t="shared" si="119"/>
        <v>0</v>
      </c>
      <c r="O395" s="69">
        <f t="shared" si="119"/>
        <v>0</v>
      </c>
      <c r="P395" s="69">
        <f>SUM(D395:O395)</f>
        <v>0</v>
      </c>
      <c r="Q395" s="76"/>
    </row>
    <row r="396" spans="1:17" customFormat="1" ht="3.95" customHeight="1" x14ac:dyDescent="0.2">
      <c r="A396" s="66"/>
      <c r="B396" s="788"/>
      <c r="C396" s="345"/>
      <c r="D396" s="69"/>
      <c r="E396" s="69"/>
      <c r="F396" s="69"/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57"/>
    </row>
    <row r="397" spans="1:17" customFormat="1" x14ac:dyDescent="0.2">
      <c r="A397" s="351" t="s">
        <v>1188</v>
      </c>
      <c r="B397" s="788"/>
      <c r="C397" s="345"/>
      <c r="D397" s="68">
        <v>0</v>
      </c>
      <c r="E397" s="68">
        <v>0</v>
      </c>
      <c r="F397" s="68">
        <v>0</v>
      </c>
      <c r="G397" s="68">
        <v>0</v>
      </c>
      <c r="H397" s="68">
        <v>0</v>
      </c>
      <c r="I397" s="68">
        <v>0</v>
      </c>
      <c r="J397" s="68">
        <v>0</v>
      </c>
      <c r="K397" s="68">
        <v>0</v>
      </c>
      <c r="L397" s="68">
        <v>0</v>
      </c>
      <c r="M397" s="68">
        <v>0</v>
      </c>
      <c r="N397" s="68">
        <v>0</v>
      </c>
      <c r="O397" s="68">
        <v>0</v>
      </c>
      <c r="P397" s="69">
        <f>SUM(D397:O397)</f>
        <v>0</v>
      </c>
      <c r="Q397" s="76"/>
    </row>
    <row r="398" spans="1:17" customFormat="1" ht="3.95" customHeight="1" x14ac:dyDescent="0.2">
      <c r="A398" s="66"/>
      <c r="B398" s="788"/>
      <c r="C398" s="345"/>
      <c r="D398" s="69"/>
      <c r="E398" s="69"/>
      <c r="F398" s="69"/>
      <c r="G398" s="69"/>
      <c r="H398" s="69"/>
      <c r="I398" s="69"/>
      <c r="J398" s="69"/>
      <c r="K398" s="69"/>
      <c r="L398" s="69"/>
      <c r="M398" s="69"/>
      <c r="N398" s="69"/>
      <c r="O398" s="69"/>
      <c r="P398" s="69"/>
      <c r="Q398" s="57"/>
    </row>
    <row r="399" spans="1:17" customFormat="1" x14ac:dyDescent="0.2">
      <c r="A399" s="67" t="s">
        <v>63</v>
      </c>
      <c r="B399" s="788"/>
      <c r="C399" s="345"/>
      <c r="D399" s="71">
        <f t="shared" ref="D399:O399" si="120">D408</f>
        <v>0</v>
      </c>
      <c r="E399" s="71">
        <f t="shared" si="120"/>
        <v>0</v>
      </c>
      <c r="F399" s="71">
        <f t="shared" si="120"/>
        <v>0</v>
      </c>
      <c r="G399" s="71">
        <f t="shared" si="120"/>
        <v>0</v>
      </c>
      <c r="H399" s="71">
        <f t="shared" si="120"/>
        <v>0</v>
      </c>
      <c r="I399" s="71">
        <f t="shared" si="120"/>
        <v>0</v>
      </c>
      <c r="J399" s="71">
        <f t="shared" si="120"/>
        <v>0</v>
      </c>
      <c r="K399" s="71">
        <f t="shared" si="120"/>
        <v>0</v>
      </c>
      <c r="L399" s="71">
        <f t="shared" si="120"/>
        <v>0</v>
      </c>
      <c r="M399" s="71">
        <f t="shared" si="120"/>
        <v>0</v>
      </c>
      <c r="N399" s="71">
        <f t="shared" si="120"/>
        <v>0</v>
      </c>
      <c r="O399" s="71">
        <f t="shared" si="120"/>
        <v>0</v>
      </c>
      <c r="P399" s="71">
        <f>SUM(D399:O399)</f>
        <v>0</v>
      </c>
      <c r="Q399" s="96"/>
    </row>
    <row r="400" spans="1:17" customFormat="1" ht="3.95" customHeight="1" x14ac:dyDescent="0.2">
      <c r="A400" s="66"/>
      <c r="B400" s="788"/>
      <c r="C400" s="345"/>
      <c r="D400" s="79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57"/>
      <c r="Q400" s="57"/>
    </row>
    <row r="401" spans="1:17" customFormat="1" x14ac:dyDescent="0.2">
      <c r="A401" s="344" t="s">
        <v>64</v>
      </c>
      <c r="B401" s="793"/>
      <c r="C401" s="658">
        <v>0</v>
      </c>
      <c r="D401" s="87">
        <f t="shared" ref="D401:O401" si="121">SUM(D391:D399)</f>
        <v>0</v>
      </c>
      <c r="E401" s="87">
        <f t="shared" si="121"/>
        <v>0</v>
      </c>
      <c r="F401" s="87">
        <f t="shared" si="121"/>
        <v>0</v>
      </c>
      <c r="G401" s="87">
        <f t="shared" si="121"/>
        <v>0</v>
      </c>
      <c r="H401" s="87">
        <f t="shared" si="121"/>
        <v>0</v>
      </c>
      <c r="I401" s="87">
        <f t="shared" si="121"/>
        <v>0</v>
      </c>
      <c r="J401" s="87">
        <f t="shared" si="121"/>
        <v>0</v>
      </c>
      <c r="K401" s="87">
        <f t="shared" si="121"/>
        <v>0</v>
      </c>
      <c r="L401" s="87">
        <f t="shared" si="121"/>
        <v>0</v>
      </c>
      <c r="M401" s="87">
        <f t="shared" si="121"/>
        <v>0</v>
      </c>
      <c r="N401" s="87">
        <f t="shared" si="121"/>
        <v>0</v>
      </c>
      <c r="O401" s="87">
        <f t="shared" si="121"/>
        <v>0</v>
      </c>
      <c r="P401" s="87">
        <f>SUM(P391:P399)+D391</f>
        <v>0</v>
      </c>
      <c r="Q401" s="76"/>
    </row>
    <row r="402" spans="1:17" customFormat="1" x14ac:dyDescent="0.2">
      <c r="A402" s="66"/>
      <c r="B402" s="788"/>
      <c r="C402" s="57"/>
      <c r="D402" s="79"/>
      <c r="E402" s="79"/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57"/>
      <c r="Q402" s="57"/>
    </row>
    <row r="403" spans="1:17" customFormat="1" x14ac:dyDescent="0.2">
      <c r="A403" s="626" t="str">
        <f>A61</f>
        <v xml:space="preserve">   Interest Rate </v>
      </c>
      <c r="B403" s="788"/>
      <c r="C403" s="57"/>
      <c r="D403" s="97">
        <f t="shared" ref="D403:O403" si="122">D61</f>
        <v>7.7499999999999999E-2</v>
      </c>
      <c r="E403" s="97">
        <f t="shared" si="122"/>
        <v>7.7499999999999999E-2</v>
      </c>
      <c r="F403" s="97">
        <f t="shared" si="122"/>
        <v>7.7499999999999999E-2</v>
      </c>
      <c r="G403" s="97">
        <f t="shared" si="122"/>
        <v>7.7499999999999999E-2</v>
      </c>
      <c r="H403" s="97">
        <f t="shared" si="122"/>
        <v>7.7499999999999999E-2</v>
      </c>
      <c r="I403" s="97">
        <f t="shared" si="122"/>
        <v>7.7499999999999999E-2</v>
      </c>
      <c r="J403" s="97">
        <f t="shared" si="122"/>
        <v>7.7499999999999999E-2</v>
      </c>
      <c r="K403" s="97">
        <f t="shared" si="122"/>
        <v>7.7499999999999999E-2</v>
      </c>
      <c r="L403" s="97">
        <f t="shared" si="122"/>
        <v>7.7499999999999999E-2</v>
      </c>
      <c r="M403" s="97">
        <f t="shared" si="122"/>
        <v>7.7499999999999999E-2</v>
      </c>
      <c r="N403" s="97">
        <f t="shared" si="122"/>
        <v>7.7499999999999999E-2</v>
      </c>
      <c r="O403" s="97">
        <f t="shared" si="122"/>
        <v>7.7499999999999999E-2</v>
      </c>
      <c r="P403" s="57"/>
      <c r="Q403" s="57"/>
    </row>
    <row r="404" spans="1:17" customFormat="1" x14ac:dyDescent="0.2">
      <c r="A404" s="626" t="str">
        <f>A62</f>
        <v xml:space="preserve">      Monthly</v>
      </c>
      <c r="B404" s="788"/>
      <c r="C404" s="57"/>
      <c r="D404" s="89">
        <f>D62</f>
        <v>6.6E-3</v>
      </c>
      <c r="E404" s="89">
        <f t="shared" ref="E404:O404" si="123">E62</f>
        <v>5.8999999999999999E-3</v>
      </c>
      <c r="F404" s="89">
        <f t="shared" si="123"/>
        <v>6.6E-3</v>
      </c>
      <c r="G404" s="89">
        <f t="shared" si="123"/>
        <v>6.4000000000000003E-3</v>
      </c>
      <c r="H404" s="89">
        <f t="shared" si="123"/>
        <v>6.6E-3</v>
      </c>
      <c r="I404" s="89">
        <f t="shared" si="123"/>
        <v>6.4000000000000003E-3</v>
      </c>
      <c r="J404" s="89">
        <f t="shared" si="123"/>
        <v>6.6E-3</v>
      </c>
      <c r="K404" s="89">
        <f t="shared" si="123"/>
        <v>6.6E-3</v>
      </c>
      <c r="L404" s="89">
        <f t="shared" si="123"/>
        <v>6.4000000000000003E-3</v>
      </c>
      <c r="M404" s="89">
        <f t="shared" si="123"/>
        <v>6.6E-3</v>
      </c>
      <c r="N404" s="89">
        <f t="shared" si="123"/>
        <v>6.4000000000000003E-3</v>
      </c>
      <c r="O404" s="89">
        <f t="shared" si="123"/>
        <v>6.6E-3</v>
      </c>
      <c r="P404" s="57"/>
      <c r="Q404" s="99"/>
    </row>
    <row r="405" spans="1:17" customFormat="1" x14ac:dyDescent="0.2">
      <c r="A405" s="66"/>
      <c r="B405" s="788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</row>
    <row r="406" spans="1:17" customFormat="1" x14ac:dyDescent="0.2">
      <c r="A406" s="624" t="s">
        <v>67</v>
      </c>
      <c r="B406" s="92"/>
      <c r="C406" s="86"/>
      <c r="D406" s="625">
        <f t="shared" ref="D406:O406" si="124">ROUND(C401*D404,0)</f>
        <v>0</v>
      </c>
      <c r="E406" s="625">
        <f t="shared" si="124"/>
        <v>0</v>
      </c>
      <c r="F406" s="625">
        <f t="shared" si="124"/>
        <v>0</v>
      </c>
      <c r="G406" s="625">
        <f t="shared" si="124"/>
        <v>0</v>
      </c>
      <c r="H406" s="625">
        <f t="shared" si="124"/>
        <v>0</v>
      </c>
      <c r="I406" s="625">
        <f t="shared" si="124"/>
        <v>0</v>
      </c>
      <c r="J406" s="625">
        <f t="shared" si="124"/>
        <v>0</v>
      </c>
      <c r="K406" s="625">
        <f t="shared" si="124"/>
        <v>0</v>
      </c>
      <c r="L406" s="625">
        <f t="shared" si="124"/>
        <v>0</v>
      </c>
      <c r="M406" s="660">
        <f>ROUND((L401+M376)*M404,0)</f>
        <v>0</v>
      </c>
      <c r="N406" s="625">
        <f t="shared" si="124"/>
        <v>0</v>
      </c>
      <c r="O406" s="625">
        <f t="shared" si="124"/>
        <v>0</v>
      </c>
      <c r="P406" s="625">
        <f>SUM(D406:O406)</f>
        <v>0</v>
      </c>
      <c r="Q406" s="58"/>
    </row>
    <row r="407" spans="1:17" customFormat="1" x14ac:dyDescent="0.2">
      <c r="A407" s="351" t="s">
        <v>102</v>
      </c>
      <c r="B407" s="92"/>
      <c r="C407" s="86"/>
      <c r="D407" s="267">
        <v>0</v>
      </c>
      <c r="E407" s="267">
        <v>0</v>
      </c>
      <c r="F407" s="267">
        <v>0</v>
      </c>
      <c r="G407" s="267">
        <v>0</v>
      </c>
      <c r="H407" s="267">
        <v>0</v>
      </c>
      <c r="I407" s="267">
        <v>0</v>
      </c>
      <c r="J407" s="267">
        <v>0</v>
      </c>
      <c r="K407" s="267">
        <v>0</v>
      </c>
      <c r="L407" s="267">
        <v>0</v>
      </c>
      <c r="M407" s="267">
        <v>0</v>
      </c>
      <c r="N407" s="267">
        <v>0</v>
      </c>
      <c r="O407" s="267">
        <v>0</v>
      </c>
      <c r="P407" s="71">
        <f>SUM(D407:O407)</f>
        <v>0</v>
      </c>
      <c r="Q407" s="58"/>
    </row>
    <row r="408" spans="1:17" customFormat="1" x14ac:dyDescent="0.2">
      <c r="A408" s="627" t="str">
        <f>A66</f>
        <v xml:space="preserve">      Total Current Month Carrying Charges</v>
      </c>
      <c r="B408" s="92"/>
      <c r="C408" s="86"/>
      <c r="D408" s="74">
        <f>D406+D407</f>
        <v>0</v>
      </c>
      <c r="E408" s="74">
        <f t="shared" ref="E408:P408" si="125">E406+E407</f>
        <v>0</v>
      </c>
      <c r="F408" s="74">
        <f t="shared" si="125"/>
        <v>0</v>
      </c>
      <c r="G408" s="74">
        <f t="shared" si="125"/>
        <v>0</v>
      </c>
      <c r="H408" s="74">
        <f t="shared" si="125"/>
        <v>0</v>
      </c>
      <c r="I408" s="74">
        <f t="shared" si="125"/>
        <v>0</v>
      </c>
      <c r="J408" s="74">
        <f t="shared" si="125"/>
        <v>0</v>
      </c>
      <c r="K408" s="74">
        <f t="shared" si="125"/>
        <v>0</v>
      </c>
      <c r="L408" s="74">
        <f t="shared" si="125"/>
        <v>0</v>
      </c>
      <c r="M408" s="74">
        <f t="shared" si="125"/>
        <v>0</v>
      </c>
      <c r="N408" s="74">
        <f t="shared" si="125"/>
        <v>0</v>
      </c>
      <c r="O408" s="74">
        <f t="shared" si="125"/>
        <v>0</v>
      </c>
      <c r="P408" s="74">
        <f t="shared" si="125"/>
        <v>0</v>
      </c>
      <c r="Q408" s="58"/>
    </row>
    <row r="409" spans="1:17" customFormat="1" ht="6" customHeight="1" x14ac:dyDescent="0.2">
      <c r="A409" s="66"/>
      <c r="B409" s="788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</row>
    <row r="410" spans="1:17" customFormat="1" x14ac:dyDescent="0.2">
      <c r="A410" s="627" t="str">
        <f>A68</f>
        <v xml:space="preserve">      Cumulative Carrying Charges</v>
      </c>
      <c r="B410" s="788"/>
      <c r="C410" s="57"/>
      <c r="D410" s="69">
        <f>D408</f>
        <v>0</v>
      </c>
      <c r="E410" s="69">
        <f>E408+D410</f>
        <v>0</v>
      </c>
      <c r="F410" s="69">
        <f t="shared" ref="F410:O410" si="126">F408+E410</f>
        <v>0</v>
      </c>
      <c r="G410" s="69">
        <f t="shared" si="126"/>
        <v>0</v>
      </c>
      <c r="H410" s="69">
        <f t="shared" si="126"/>
        <v>0</v>
      </c>
      <c r="I410" s="69">
        <f t="shared" si="126"/>
        <v>0</v>
      </c>
      <c r="J410" s="69">
        <f t="shared" si="126"/>
        <v>0</v>
      </c>
      <c r="K410" s="69">
        <f t="shared" si="126"/>
        <v>0</v>
      </c>
      <c r="L410" s="69">
        <f t="shared" si="126"/>
        <v>0</v>
      </c>
      <c r="M410" s="69">
        <f t="shared" si="126"/>
        <v>0</v>
      </c>
      <c r="N410" s="69">
        <f t="shared" si="126"/>
        <v>0</v>
      </c>
      <c r="O410" s="69">
        <f t="shared" si="126"/>
        <v>0</v>
      </c>
      <c r="P410" s="57"/>
      <c r="Q410" s="57"/>
    </row>
    <row r="411" spans="1:17" customFormat="1" ht="6" customHeight="1" x14ac:dyDescent="0.2">
      <c r="B411" s="691"/>
    </row>
    <row r="412" spans="1:17" customFormat="1" x14ac:dyDescent="0.2">
      <c r="B412" s="691"/>
    </row>
    <row r="413" spans="1:17" x14ac:dyDescent="0.2">
      <c r="A413" s="605" t="str">
        <f ca="1">CELL("FILENAME")</f>
        <v>C:\Users\Felienne\Enron\EnronSpreadsheets\[tracy_geaccone__40367__EMNNG02PL.xls]IncomeState</v>
      </c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</row>
    <row r="414" spans="1:17" x14ac:dyDescent="0.2">
      <c r="A414" s="340" t="s">
        <v>184</v>
      </c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</row>
    <row r="415" spans="1:17" x14ac:dyDescent="0.2">
      <c r="A415" s="355" t="str">
        <f>A3</f>
        <v>2002 OPERATING PLAN</v>
      </c>
      <c r="B415" s="786">
        <f ca="1">NOW()</f>
        <v>41887.551126967592</v>
      </c>
      <c r="C415" s="489" t="s">
        <v>185</v>
      </c>
      <c r="D415" s="60"/>
      <c r="E415" s="59"/>
      <c r="F415" s="59"/>
      <c r="G415" s="101"/>
      <c r="H415" s="101"/>
      <c r="I415" s="101"/>
      <c r="J415" s="102"/>
      <c r="K415" s="59"/>
      <c r="L415" s="59"/>
      <c r="M415" s="59"/>
      <c r="N415" s="59"/>
      <c r="O415" s="59"/>
      <c r="P415" s="90"/>
    </row>
    <row r="416" spans="1:17" ht="12.95" customHeight="1" x14ac:dyDescent="0.2">
      <c r="A416" s="61"/>
      <c r="B416" s="787">
        <f ca="1">NOW()</f>
        <v>41887.551126967592</v>
      </c>
      <c r="C416" s="338" t="str">
        <f t="shared" ref="C416:P416" si="127">C4</f>
        <v>BALANCE</v>
      </c>
      <c r="D416" s="338" t="str">
        <f t="shared" si="127"/>
        <v>JAN</v>
      </c>
      <c r="E416" s="338" t="str">
        <f t="shared" si="127"/>
        <v>FEB</v>
      </c>
      <c r="F416" s="338" t="str">
        <f t="shared" si="127"/>
        <v>MAR</v>
      </c>
      <c r="G416" s="338" t="str">
        <f t="shared" si="127"/>
        <v>APR</v>
      </c>
      <c r="H416" s="338" t="str">
        <f t="shared" si="127"/>
        <v>MAY</v>
      </c>
      <c r="I416" s="338" t="str">
        <f t="shared" si="127"/>
        <v>JUN</v>
      </c>
      <c r="J416" s="338" t="str">
        <f t="shared" si="127"/>
        <v>JUL</v>
      </c>
      <c r="K416" s="338" t="str">
        <f t="shared" si="127"/>
        <v>AUG</v>
      </c>
      <c r="L416" s="338" t="str">
        <f t="shared" si="127"/>
        <v>SEP</v>
      </c>
      <c r="M416" s="338" t="str">
        <f t="shared" si="127"/>
        <v>OCT</v>
      </c>
      <c r="N416" s="338" t="str">
        <f t="shared" si="127"/>
        <v>NOV</v>
      </c>
      <c r="O416" s="338" t="str">
        <f t="shared" si="127"/>
        <v>DEC</v>
      </c>
      <c r="P416" s="338" t="str">
        <f t="shared" si="127"/>
        <v>2002</v>
      </c>
    </row>
    <row r="417" spans="1:16" ht="3.95" customHeight="1" x14ac:dyDescent="0.2"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4"/>
    </row>
    <row r="418" spans="1:16" x14ac:dyDescent="0.2">
      <c r="A418" s="344" t="s">
        <v>186</v>
      </c>
      <c r="B418" s="788"/>
    </row>
    <row r="419" spans="1:16" x14ac:dyDescent="0.2">
      <c r="A419" s="67" t="s">
        <v>9</v>
      </c>
      <c r="B419" s="788"/>
      <c r="D419" s="69">
        <f t="shared" ref="D419:O419" si="128">D7</f>
        <v>0</v>
      </c>
      <c r="E419" s="69">
        <f t="shared" si="128"/>
        <v>0</v>
      </c>
      <c r="F419" s="69">
        <f t="shared" si="128"/>
        <v>0</v>
      </c>
      <c r="G419" s="69">
        <f t="shared" si="128"/>
        <v>0</v>
      </c>
      <c r="H419" s="69">
        <f t="shared" si="128"/>
        <v>0</v>
      </c>
      <c r="I419" s="69">
        <f t="shared" si="128"/>
        <v>0</v>
      </c>
      <c r="J419" s="69">
        <f t="shared" si="128"/>
        <v>0</v>
      </c>
      <c r="K419" s="69">
        <f t="shared" si="128"/>
        <v>0</v>
      </c>
      <c r="L419" s="69">
        <f t="shared" si="128"/>
        <v>0</v>
      </c>
      <c r="M419" s="69">
        <f t="shared" si="128"/>
        <v>0</v>
      </c>
      <c r="N419" s="69">
        <f t="shared" si="128"/>
        <v>0</v>
      </c>
      <c r="O419" s="69">
        <f t="shared" si="128"/>
        <v>0</v>
      </c>
      <c r="P419" s="69">
        <f>SUM(D419:O419)</f>
        <v>0</v>
      </c>
    </row>
    <row r="420" spans="1:16" x14ac:dyDescent="0.2">
      <c r="A420" s="351" t="s">
        <v>82</v>
      </c>
      <c r="D420" s="69">
        <f t="shared" ref="D420:O420" si="129">D8</f>
        <v>0</v>
      </c>
      <c r="E420" s="69">
        <f t="shared" si="129"/>
        <v>0</v>
      </c>
      <c r="F420" s="69">
        <f t="shared" si="129"/>
        <v>0</v>
      </c>
      <c r="G420" s="69">
        <f t="shared" si="129"/>
        <v>0</v>
      </c>
      <c r="H420" s="69">
        <f t="shared" si="129"/>
        <v>0</v>
      </c>
      <c r="I420" s="69">
        <f t="shared" si="129"/>
        <v>0</v>
      </c>
      <c r="J420" s="69">
        <f t="shared" si="129"/>
        <v>0</v>
      </c>
      <c r="K420" s="69">
        <f t="shared" si="129"/>
        <v>0</v>
      </c>
      <c r="L420" s="69">
        <f t="shared" si="129"/>
        <v>0</v>
      </c>
      <c r="M420" s="69">
        <f t="shared" si="129"/>
        <v>0</v>
      </c>
      <c r="N420" s="69">
        <f t="shared" si="129"/>
        <v>0</v>
      </c>
      <c r="O420" s="69">
        <f t="shared" si="129"/>
        <v>0</v>
      </c>
      <c r="P420" s="69">
        <f>SUM(D420:O420)</f>
        <v>0</v>
      </c>
    </row>
    <row r="421" spans="1:16" x14ac:dyDescent="0.2">
      <c r="A421" s="351" t="s">
        <v>85</v>
      </c>
      <c r="D421" s="71">
        <f t="shared" ref="D421:O421" si="130">D9</f>
        <v>0</v>
      </c>
      <c r="E421" s="71">
        <f t="shared" si="130"/>
        <v>0</v>
      </c>
      <c r="F421" s="71">
        <f t="shared" si="130"/>
        <v>0</v>
      </c>
      <c r="G421" s="71">
        <f t="shared" si="130"/>
        <v>0</v>
      </c>
      <c r="H421" s="71">
        <f t="shared" si="130"/>
        <v>0</v>
      </c>
      <c r="I421" s="71">
        <f t="shared" si="130"/>
        <v>0</v>
      </c>
      <c r="J421" s="71">
        <f t="shared" si="130"/>
        <v>0</v>
      </c>
      <c r="K421" s="71">
        <f t="shared" si="130"/>
        <v>0</v>
      </c>
      <c r="L421" s="71">
        <f t="shared" si="130"/>
        <v>0</v>
      </c>
      <c r="M421" s="71">
        <f t="shared" si="130"/>
        <v>0</v>
      </c>
      <c r="N421" s="71">
        <f t="shared" si="130"/>
        <v>0</v>
      </c>
      <c r="O421" s="71">
        <f t="shared" si="130"/>
        <v>0</v>
      </c>
      <c r="P421" s="71">
        <f>SUM(D421:O421)</f>
        <v>0</v>
      </c>
    </row>
    <row r="422" spans="1:16" ht="3.95" customHeight="1" x14ac:dyDescent="0.2"/>
    <row r="423" spans="1:16" x14ac:dyDescent="0.2">
      <c r="A423" s="67" t="s">
        <v>12</v>
      </c>
      <c r="B423" s="788"/>
      <c r="D423" s="69">
        <f t="shared" ref="D423:O423" si="131">D419+D420+D421</f>
        <v>0</v>
      </c>
      <c r="E423" s="69">
        <f t="shared" si="131"/>
        <v>0</v>
      </c>
      <c r="F423" s="69">
        <f t="shared" si="131"/>
        <v>0</v>
      </c>
      <c r="G423" s="69">
        <f t="shared" si="131"/>
        <v>0</v>
      </c>
      <c r="H423" s="69">
        <f t="shared" si="131"/>
        <v>0</v>
      </c>
      <c r="I423" s="69">
        <f t="shared" si="131"/>
        <v>0</v>
      </c>
      <c r="J423" s="69">
        <f t="shared" si="131"/>
        <v>0</v>
      </c>
      <c r="K423" s="69">
        <f t="shared" si="131"/>
        <v>0</v>
      </c>
      <c r="L423" s="69">
        <f t="shared" si="131"/>
        <v>0</v>
      </c>
      <c r="M423" s="69">
        <f t="shared" si="131"/>
        <v>0</v>
      </c>
      <c r="N423" s="69">
        <f t="shared" si="131"/>
        <v>0</v>
      </c>
      <c r="O423" s="69">
        <f t="shared" si="131"/>
        <v>0</v>
      </c>
      <c r="P423" s="69">
        <f>SUM(D423:O423)</f>
        <v>0</v>
      </c>
    </row>
    <row r="424" spans="1:16" ht="3.95" customHeight="1" x14ac:dyDescent="0.2"/>
    <row r="425" spans="1:16" x14ac:dyDescent="0.2">
      <c r="A425" s="351" t="s">
        <v>187</v>
      </c>
      <c r="B425" s="788"/>
      <c r="D425" s="72">
        <f t="shared" ref="D425:P425" si="132">IF(D423=0,0,ROUND(D427/D423,4))</f>
        <v>0</v>
      </c>
      <c r="E425" s="72">
        <f t="shared" si="132"/>
        <v>0</v>
      </c>
      <c r="F425" s="72">
        <f t="shared" si="132"/>
        <v>0</v>
      </c>
      <c r="G425" s="72">
        <f t="shared" si="132"/>
        <v>0</v>
      </c>
      <c r="H425" s="72">
        <f t="shared" si="132"/>
        <v>0</v>
      </c>
      <c r="I425" s="72">
        <f t="shared" si="132"/>
        <v>0</v>
      </c>
      <c r="J425" s="72">
        <f t="shared" si="132"/>
        <v>0</v>
      </c>
      <c r="K425" s="72">
        <f t="shared" si="132"/>
        <v>0</v>
      </c>
      <c r="L425" s="72">
        <f t="shared" si="132"/>
        <v>0</v>
      </c>
      <c r="M425" s="72">
        <f t="shared" si="132"/>
        <v>0</v>
      </c>
      <c r="N425" s="72">
        <f t="shared" si="132"/>
        <v>0</v>
      </c>
      <c r="O425" s="72">
        <f t="shared" si="132"/>
        <v>0</v>
      </c>
      <c r="P425" s="72">
        <f t="shared" si="132"/>
        <v>0</v>
      </c>
    </row>
    <row r="426" spans="1:16" ht="3.95" customHeight="1" x14ac:dyDescent="0.2"/>
    <row r="427" spans="1:16" x14ac:dyDescent="0.2">
      <c r="A427" s="350" t="s">
        <v>188</v>
      </c>
      <c r="B427" s="789"/>
      <c r="C427" s="58"/>
      <c r="D427" s="74">
        <f>Transport!C16</f>
        <v>0</v>
      </c>
      <c r="E427" s="74">
        <f>Transport!D16</f>
        <v>0</v>
      </c>
      <c r="F427" s="74">
        <f>Transport!E16</f>
        <v>0</v>
      </c>
      <c r="G427" s="74">
        <f>Transport!F16</f>
        <v>0</v>
      </c>
      <c r="H427" s="74">
        <f>Transport!G16</f>
        <v>0</v>
      </c>
      <c r="I427" s="74">
        <f>Transport!H16</f>
        <v>0</v>
      </c>
      <c r="J427" s="74">
        <f>Transport!I16</f>
        <v>0</v>
      </c>
      <c r="K427" s="74">
        <f>Transport!J16</f>
        <v>0</v>
      </c>
      <c r="L427" s="74">
        <f>Transport!K16</f>
        <v>0</v>
      </c>
      <c r="M427" s="74">
        <f>Transport!L16</f>
        <v>0</v>
      </c>
      <c r="N427" s="74">
        <f>Transport!M16</f>
        <v>0</v>
      </c>
      <c r="O427" s="74">
        <f>Transport!N16</f>
        <v>0</v>
      </c>
      <c r="P427" s="74">
        <f>SUM(D427:O427)</f>
        <v>0</v>
      </c>
    </row>
    <row r="428" spans="1:16" ht="8.1" customHeight="1" x14ac:dyDescent="0.2">
      <c r="A428" s="66"/>
      <c r="B428" s="788"/>
      <c r="D428" s="93"/>
      <c r="E428" s="93"/>
      <c r="F428" s="93"/>
      <c r="G428" s="93"/>
      <c r="H428" s="93"/>
      <c r="I428" s="93"/>
      <c r="J428" s="93"/>
      <c r="K428" s="93"/>
      <c r="L428" s="93"/>
      <c r="M428" s="93"/>
      <c r="N428" s="93"/>
      <c r="O428" s="93"/>
    </row>
    <row r="429" spans="1:16" x14ac:dyDescent="0.2">
      <c r="A429" s="350" t="s">
        <v>189</v>
      </c>
      <c r="B429" s="789"/>
      <c r="C429" s="58"/>
      <c r="D429" s="266">
        <v>0</v>
      </c>
      <c r="E429" s="266">
        <v>0</v>
      </c>
      <c r="F429" s="266">
        <v>0</v>
      </c>
      <c r="G429" s="266">
        <v>0</v>
      </c>
      <c r="H429" s="266">
        <v>0</v>
      </c>
      <c r="I429" s="266">
        <v>0</v>
      </c>
      <c r="J429" s="266">
        <v>0</v>
      </c>
      <c r="K429" s="266">
        <v>0</v>
      </c>
      <c r="L429" s="266">
        <v>0</v>
      </c>
      <c r="M429" s="659">
        <v>985</v>
      </c>
      <c r="N429" s="266">
        <v>0</v>
      </c>
      <c r="O429" s="266">
        <v>0</v>
      </c>
      <c r="P429" s="87">
        <f>SUM(D429:O429)</f>
        <v>985</v>
      </c>
    </row>
    <row r="430" spans="1:16" ht="6" customHeight="1" x14ac:dyDescent="0.2"/>
    <row r="431" spans="1:16" x14ac:dyDescent="0.2">
      <c r="A431" s="67" t="s">
        <v>100</v>
      </c>
      <c r="B431" s="788"/>
      <c r="D431" s="69">
        <f t="shared" ref="D431:O431" si="133">D427-D429</f>
        <v>0</v>
      </c>
      <c r="E431" s="69">
        <f t="shared" si="133"/>
        <v>0</v>
      </c>
      <c r="F431" s="69">
        <f t="shared" si="133"/>
        <v>0</v>
      </c>
      <c r="G431" s="69">
        <f t="shared" si="133"/>
        <v>0</v>
      </c>
      <c r="H431" s="69">
        <f t="shared" si="133"/>
        <v>0</v>
      </c>
      <c r="I431" s="69">
        <f t="shared" si="133"/>
        <v>0</v>
      </c>
      <c r="J431" s="69">
        <f t="shared" si="133"/>
        <v>0</v>
      </c>
      <c r="K431" s="69">
        <f t="shared" si="133"/>
        <v>0</v>
      </c>
      <c r="L431" s="69">
        <f t="shared" si="133"/>
        <v>0</v>
      </c>
      <c r="M431" s="69">
        <f t="shared" si="133"/>
        <v>-985</v>
      </c>
      <c r="N431" s="69">
        <f t="shared" si="133"/>
        <v>0</v>
      </c>
      <c r="O431" s="69">
        <f t="shared" si="133"/>
        <v>0</v>
      </c>
      <c r="P431" s="69">
        <f>SUM(D431:O431)</f>
        <v>-985</v>
      </c>
    </row>
    <row r="432" spans="1:16" x14ac:dyDescent="0.2">
      <c r="A432" s="95" t="s">
        <v>180</v>
      </c>
      <c r="D432" s="68">
        <v>0</v>
      </c>
      <c r="E432" s="68">
        <v>0</v>
      </c>
      <c r="F432" s="68">
        <v>0</v>
      </c>
      <c r="G432" s="68">
        <v>0</v>
      </c>
      <c r="H432" s="68">
        <v>0</v>
      </c>
      <c r="I432" s="68">
        <v>0</v>
      </c>
      <c r="J432" s="68">
        <v>0</v>
      </c>
      <c r="K432" s="68">
        <v>0</v>
      </c>
      <c r="L432" s="68">
        <v>0</v>
      </c>
      <c r="M432" s="68">
        <v>0</v>
      </c>
      <c r="N432" s="68">
        <v>0</v>
      </c>
      <c r="O432" s="68">
        <v>0</v>
      </c>
      <c r="P432" s="69">
        <f>SUM(D432:O432)</f>
        <v>0</v>
      </c>
    </row>
    <row r="433" spans="1:16" x14ac:dyDescent="0.2">
      <c r="A433" s="77" t="s">
        <v>1194</v>
      </c>
      <c r="D433" s="68">
        <v>0</v>
      </c>
      <c r="E433" s="68">
        <v>0</v>
      </c>
      <c r="F433" s="68">
        <v>0</v>
      </c>
      <c r="G433" s="68">
        <v>0</v>
      </c>
      <c r="H433" s="68">
        <v>0</v>
      </c>
      <c r="I433" s="68">
        <v>0</v>
      </c>
      <c r="J433" s="68">
        <v>0</v>
      </c>
      <c r="K433" s="68">
        <v>0</v>
      </c>
      <c r="L433" s="68">
        <v>0</v>
      </c>
      <c r="M433" s="68">
        <v>0</v>
      </c>
      <c r="N433" s="68">
        <v>0</v>
      </c>
      <c r="O433" s="68">
        <v>0</v>
      </c>
      <c r="P433" s="69">
        <f>SUM(D433:O433)</f>
        <v>0</v>
      </c>
    </row>
    <row r="434" spans="1:16" x14ac:dyDescent="0.2">
      <c r="A434" s="67" t="s">
        <v>55</v>
      </c>
      <c r="D434" s="267">
        <v>0</v>
      </c>
      <c r="E434" s="267">
        <v>0</v>
      </c>
      <c r="F434" s="267">
        <v>0</v>
      </c>
      <c r="G434" s="267">
        <v>0</v>
      </c>
      <c r="H434" s="267">
        <v>0</v>
      </c>
      <c r="I434" s="267">
        <v>0</v>
      </c>
      <c r="J434" s="267">
        <v>0</v>
      </c>
      <c r="K434" s="267">
        <v>0</v>
      </c>
      <c r="L434" s="267">
        <v>0</v>
      </c>
      <c r="M434" s="267">
        <v>0</v>
      </c>
      <c r="N434" s="267">
        <v>0</v>
      </c>
      <c r="O434" s="267">
        <v>0</v>
      </c>
      <c r="P434" s="71">
        <f>SUM(D434:O434)</f>
        <v>0</v>
      </c>
    </row>
    <row r="435" spans="1:16" ht="3.95" customHeight="1" x14ac:dyDescent="0.2">
      <c r="D435" s="79"/>
      <c r="E435" s="79"/>
      <c r="F435" s="79"/>
      <c r="G435" s="79"/>
      <c r="H435" s="79"/>
      <c r="I435" s="79"/>
      <c r="J435" s="79"/>
      <c r="K435" s="79"/>
      <c r="L435" s="79"/>
      <c r="M435" s="79"/>
      <c r="N435" s="79"/>
      <c r="O435" s="79"/>
    </row>
    <row r="436" spans="1:16" x14ac:dyDescent="0.2">
      <c r="A436" s="346" t="s">
        <v>56</v>
      </c>
      <c r="B436" s="790"/>
      <c r="C436" s="58"/>
      <c r="D436" s="74">
        <f t="shared" ref="D436:O436" si="134">SUM(D431:D434)</f>
        <v>0</v>
      </c>
      <c r="E436" s="74">
        <f t="shared" si="134"/>
        <v>0</v>
      </c>
      <c r="F436" s="74">
        <f t="shared" si="134"/>
        <v>0</v>
      </c>
      <c r="G436" s="74">
        <f t="shared" si="134"/>
        <v>0</v>
      </c>
      <c r="H436" s="74">
        <f t="shared" si="134"/>
        <v>0</v>
      </c>
      <c r="I436" s="74">
        <f t="shared" si="134"/>
        <v>0</v>
      </c>
      <c r="J436" s="74">
        <f t="shared" si="134"/>
        <v>0</v>
      </c>
      <c r="K436" s="74">
        <f t="shared" si="134"/>
        <v>0</v>
      </c>
      <c r="L436" s="74">
        <f t="shared" si="134"/>
        <v>0</v>
      </c>
      <c r="M436" s="74">
        <f t="shared" si="134"/>
        <v>-985</v>
      </c>
      <c r="N436" s="74">
        <f t="shared" si="134"/>
        <v>0</v>
      </c>
      <c r="O436" s="74">
        <f t="shared" si="134"/>
        <v>0</v>
      </c>
      <c r="P436" s="74">
        <f>SUM(D436:O436)</f>
        <v>-985</v>
      </c>
    </row>
    <row r="437" spans="1:16" ht="8.1" customHeight="1" x14ac:dyDescent="0.2">
      <c r="A437" s="66"/>
      <c r="B437" s="788"/>
      <c r="D437" s="69"/>
      <c r="E437" s="69"/>
      <c r="F437" s="69"/>
      <c r="G437" s="69"/>
      <c r="H437" s="69"/>
      <c r="I437" s="69"/>
      <c r="J437" s="69"/>
      <c r="K437" s="69"/>
      <c r="L437" s="69"/>
      <c r="M437" s="69"/>
      <c r="N437" s="69"/>
      <c r="O437" s="69"/>
      <c r="P437" s="69"/>
    </row>
    <row r="438" spans="1:16" x14ac:dyDescent="0.2">
      <c r="A438" s="344" t="s">
        <v>190</v>
      </c>
      <c r="B438" s="789"/>
      <c r="C438" s="58"/>
      <c r="D438" s="74">
        <f t="shared" ref="D438:O438" si="135">-1*D436</f>
        <v>0</v>
      </c>
      <c r="E438" s="74">
        <f t="shared" si="135"/>
        <v>0</v>
      </c>
      <c r="F438" s="74">
        <f t="shared" si="135"/>
        <v>0</v>
      </c>
      <c r="G438" s="74">
        <f t="shared" si="135"/>
        <v>0</v>
      </c>
      <c r="H438" s="74">
        <f t="shared" si="135"/>
        <v>0</v>
      </c>
      <c r="I438" s="74">
        <f t="shared" si="135"/>
        <v>0</v>
      </c>
      <c r="J438" s="74">
        <f t="shared" si="135"/>
        <v>0</v>
      </c>
      <c r="K438" s="74">
        <f t="shared" si="135"/>
        <v>0</v>
      </c>
      <c r="L438" s="74">
        <f t="shared" si="135"/>
        <v>0</v>
      </c>
      <c r="M438" s="74">
        <f t="shared" si="135"/>
        <v>985</v>
      </c>
      <c r="N438" s="74">
        <f t="shared" si="135"/>
        <v>0</v>
      </c>
      <c r="O438" s="74">
        <f t="shared" si="135"/>
        <v>0</v>
      </c>
      <c r="P438" s="74">
        <f>SUM(D438:O438)</f>
        <v>985</v>
      </c>
    </row>
    <row r="439" spans="1:16" x14ac:dyDescent="0.2">
      <c r="A439" s="66"/>
      <c r="B439" s="788"/>
    </row>
    <row r="440" spans="1:16" x14ac:dyDescent="0.2">
      <c r="A440" s="81"/>
      <c r="B440" s="791"/>
      <c r="C440" s="82"/>
      <c r="D440" s="82"/>
      <c r="E440" s="82"/>
      <c r="F440" s="82"/>
      <c r="G440" s="82"/>
      <c r="H440" s="82"/>
      <c r="I440" s="82"/>
      <c r="J440" s="82"/>
      <c r="K440" s="82"/>
      <c r="L440" s="82"/>
      <c r="M440" s="82"/>
      <c r="N440" s="82"/>
      <c r="O440" s="82"/>
      <c r="P440" s="82"/>
    </row>
    <row r="441" spans="1:16" x14ac:dyDescent="0.2">
      <c r="A441" s="345"/>
    </row>
    <row r="442" spans="1:16" x14ac:dyDescent="0.2">
      <c r="A442" s="356" t="s">
        <v>191</v>
      </c>
      <c r="B442" s="788"/>
      <c r="C442" s="62" t="str">
        <f>C47</f>
        <v>DEC.,2001</v>
      </c>
      <c r="D442" s="85"/>
      <c r="E442" s="85"/>
      <c r="F442" s="85"/>
      <c r="G442" s="85"/>
      <c r="H442" s="85"/>
      <c r="I442" s="85"/>
      <c r="J442" s="85"/>
      <c r="K442" s="85"/>
      <c r="L442" s="85"/>
      <c r="M442" s="85"/>
      <c r="N442" s="85"/>
      <c r="O442" s="85"/>
      <c r="P442" s="58"/>
    </row>
    <row r="443" spans="1:16" ht="3.95" customHeight="1" x14ac:dyDescent="0.2">
      <c r="A443" s="66"/>
      <c r="B443" s="788"/>
      <c r="D443" s="79"/>
      <c r="E443" s="79"/>
      <c r="F443" s="79"/>
      <c r="G443" s="79"/>
      <c r="H443" s="79"/>
      <c r="I443" s="79"/>
      <c r="J443" s="79"/>
      <c r="K443" s="79"/>
      <c r="L443" s="79"/>
      <c r="M443" s="79"/>
      <c r="N443" s="79"/>
      <c r="O443" s="79"/>
    </row>
    <row r="444" spans="1:16" x14ac:dyDescent="0.2">
      <c r="A444" s="344" t="s">
        <v>59</v>
      </c>
      <c r="B444" s="788"/>
      <c r="D444" s="69">
        <f t="shared" ref="D444:O444" si="136">C454</f>
        <v>-1755</v>
      </c>
      <c r="E444" s="69">
        <f t="shared" si="136"/>
        <v>-1767</v>
      </c>
      <c r="F444" s="69">
        <f t="shared" si="136"/>
        <v>-1777</v>
      </c>
      <c r="G444" s="69">
        <f t="shared" si="136"/>
        <v>-1789</v>
      </c>
      <c r="H444" s="69">
        <f t="shared" si="136"/>
        <v>-1800</v>
      </c>
      <c r="I444" s="69">
        <f t="shared" si="136"/>
        <v>-1812</v>
      </c>
      <c r="J444" s="69">
        <f t="shared" si="136"/>
        <v>-1824</v>
      </c>
      <c r="K444" s="69">
        <f t="shared" si="136"/>
        <v>-1836</v>
      </c>
      <c r="L444" s="69">
        <f t="shared" si="136"/>
        <v>-1848</v>
      </c>
      <c r="M444" s="69">
        <f t="shared" si="136"/>
        <v>-1860</v>
      </c>
      <c r="N444" s="69">
        <f t="shared" si="136"/>
        <v>-881</v>
      </c>
      <c r="O444" s="69">
        <f t="shared" si="136"/>
        <v>-887</v>
      </c>
      <c r="P444" s="69"/>
    </row>
    <row r="445" spans="1:16" ht="6" customHeight="1" x14ac:dyDescent="0.2">
      <c r="A445" s="345"/>
    </row>
    <row r="446" spans="1:16" x14ac:dyDescent="0.2">
      <c r="A446" s="77" t="s">
        <v>60</v>
      </c>
      <c r="B446" s="91"/>
      <c r="D446" s="68">
        <v>0</v>
      </c>
      <c r="E446" s="68">
        <v>0</v>
      </c>
      <c r="F446" s="68">
        <v>0</v>
      </c>
      <c r="G446" s="68">
        <v>0</v>
      </c>
      <c r="H446" s="68">
        <v>0</v>
      </c>
      <c r="I446" s="68">
        <v>0</v>
      </c>
      <c r="J446" s="68">
        <v>0</v>
      </c>
      <c r="K446" s="68">
        <v>0</v>
      </c>
      <c r="L446" s="68">
        <v>0</v>
      </c>
      <c r="M446" s="68">
        <v>0</v>
      </c>
      <c r="N446" s="68">
        <v>0</v>
      </c>
      <c r="O446" s="68">
        <v>0</v>
      </c>
      <c r="P446" s="69">
        <f>SUM(D446:O446)</f>
        <v>0</v>
      </c>
    </row>
    <row r="447" spans="1:16" ht="6" customHeight="1" x14ac:dyDescent="0.2">
      <c r="A447" s="66"/>
      <c r="B447" s="788"/>
      <c r="D447" s="69"/>
      <c r="E447" s="69"/>
      <c r="F447" s="69"/>
      <c r="G447" s="69"/>
      <c r="H447" s="69"/>
      <c r="I447" s="69"/>
      <c r="J447" s="69"/>
      <c r="K447" s="69"/>
      <c r="L447" s="69"/>
      <c r="M447" s="69"/>
      <c r="N447" s="69"/>
      <c r="O447" s="69"/>
    </row>
    <row r="448" spans="1:16" x14ac:dyDescent="0.2">
      <c r="A448" s="351" t="s">
        <v>132</v>
      </c>
      <c r="B448" s="788"/>
      <c r="D448" s="69">
        <f t="shared" ref="D448:O448" si="137">D438</f>
        <v>0</v>
      </c>
      <c r="E448" s="69">
        <f t="shared" si="137"/>
        <v>0</v>
      </c>
      <c r="F448" s="69">
        <f t="shared" si="137"/>
        <v>0</v>
      </c>
      <c r="G448" s="69">
        <f t="shared" si="137"/>
        <v>0</v>
      </c>
      <c r="H448" s="69">
        <f t="shared" si="137"/>
        <v>0</v>
      </c>
      <c r="I448" s="69">
        <f t="shared" si="137"/>
        <v>0</v>
      </c>
      <c r="J448" s="69">
        <f t="shared" si="137"/>
        <v>0</v>
      </c>
      <c r="K448" s="69">
        <f t="shared" si="137"/>
        <v>0</v>
      </c>
      <c r="L448" s="69">
        <f t="shared" si="137"/>
        <v>0</v>
      </c>
      <c r="M448" s="69">
        <f t="shared" si="137"/>
        <v>985</v>
      </c>
      <c r="N448" s="69">
        <f t="shared" si="137"/>
        <v>0</v>
      </c>
      <c r="O448" s="69">
        <f t="shared" si="137"/>
        <v>0</v>
      </c>
      <c r="P448" s="69">
        <f>SUM(D448:O448)</f>
        <v>985</v>
      </c>
    </row>
    <row r="449" spans="1:16" ht="6" customHeight="1" x14ac:dyDescent="0.2">
      <c r="A449" s="66"/>
      <c r="B449" s="788"/>
      <c r="D449" s="69"/>
      <c r="E449" s="69"/>
      <c r="F449" s="69"/>
      <c r="G449" s="69"/>
      <c r="H449" s="69"/>
      <c r="I449" s="69"/>
      <c r="J449" s="69"/>
      <c r="K449" s="69"/>
      <c r="L449" s="69"/>
      <c r="M449" s="69"/>
      <c r="N449" s="69"/>
      <c r="O449" s="69"/>
      <c r="P449" s="69"/>
    </row>
    <row r="450" spans="1:16" x14ac:dyDescent="0.2">
      <c r="A450" s="351" t="s">
        <v>193</v>
      </c>
      <c r="B450" s="788"/>
      <c r="D450" s="68">
        <v>0</v>
      </c>
      <c r="E450" s="68">
        <v>0</v>
      </c>
      <c r="F450" s="68">
        <v>0</v>
      </c>
      <c r="G450" s="68">
        <v>0</v>
      </c>
      <c r="H450" s="68">
        <v>0</v>
      </c>
      <c r="I450" s="68">
        <v>0</v>
      </c>
      <c r="J450" s="68">
        <v>0</v>
      </c>
      <c r="K450" s="68">
        <v>0</v>
      </c>
      <c r="L450" s="68">
        <v>0</v>
      </c>
      <c r="M450" s="68">
        <v>0</v>
      </c>
      <c r="N450" s="68">
        <v>0</v>
      </c>
      <c r="O450" s="68">
        <v>0</v>
      </c>
      <c r="P450" s="69">
        <f>SUM(D450:O450)</f>
        <v>0</v>
      </c>
    </row>
    <row r="451" spans="1:16" ht="6" customHeight="1" x14ac:dyDescent="0.2">
      <c r="A451" s="66"/>
      <c r="B451" s="788"/>
      <c r="D451" s="69"/>
      <c r="E451" s="69"/>
      <c r="F451" s="69"/>
      <c r="G451" s="69"/>
      <c r="H451" s="69"/>
      <c r="I451" s="69"/>
      <c r="J451" s="69"/>
      <c r="K451" s="69"/>
      <c r="L451" s="69"/>
      <c r="M451" s="69"/>
      <c r="N451" s="69"/>
      <c r="O451" s="69"/>
      <c r="P451" s="69"/>
    </row>
    <row r="452" spans="1:16" x14ac:dyDescent="0.2">
      <c r="A452" s="67" t="s">
        <v>63</v>
      </c>
      <c r="B452" s="788"/>
      <c r="D452" s="71">
        <f t="shared" ref="D452:O452" si="138">D461</f>
        <v>-12</v>
      </c>
      <c r="E452" s="71">
        <f t="shared" si="138"/>
        <v>-10</v>
      </c>
      <c r="F452" s="71">
        <f t="shared" si="138"/>
        <v>-12</v>
      </c>
      <c r="G452" s="71">
        <f t="shared" si="138"/>
        <v>-11</v>
      </c>
      <c r="H452" s="71">
        <f t="shared" si="138"/>
        <v>-12</v>
      </c>
      <c r="I452" s="71">
        <f t="shared" si="138"/>
        <v>-12</v>
      </c>
      <c r="J452" s="71">
        <f t="shared" si="138"/>
        <v>-12</v>
      </c>
      <c r="K452" s="71">
        <f t="shared" si="138"/>
        <v>-12</v>
      </c>
      <c r="L452" s="71">
        <f t="shared" si="138"/>
        <v>-12</v>
      </c>
      <c r="M452" s="71">
        <f t="shared" si="138"/>
        <v>-6</v>
      </c>
      <c r="N452" s="71">
        <f t="shared" si="138"/>
        <v>-6</v>
      </c>
      <c r="O452" s="71">
        <f t="shared" si="138"/>
        <v>-6</v>
      </c>
      <c r="P452" s="71">
        <f>SUM(D452:O452)</f>
        <v>-123</v>
      </c>
    </row>
    <row r="453" spans="1:16" ht="3.95" customHeight="1" x14ac:dyDescent="0.2">
      <c r="A453" s="66"/>
      <c r="B453" s="788"/>
      <c r="D453" s="79"/>
      <c r="E453" s="79"/>
      <c r="F453" s="79"/>
      <c r="G453" s="79"/>
      <c r="H453" s="79"/>
      <c r="I453" s="79"/>
      <c r="J453" s="79"/>
      <c r="K453" s="79"/>
      <c r="L453" s="79"/>
      <c r="M453" s="79"/>
      <c r="N453" s="79"/>
      <c r="O453" s="79"/>
    </row>
    <row r="454" spans="1:16" x14ac:dyDescent="0.2">
      <c r="A454" s="344" t="s">
        <v>64</v>
      </c>
      <c r="B454" s="793"/>
      <c r="C454" s="658">
        <v>-1755</v>
      </c>
      <c r="D454" s="87">
        <f t="shared" ref="D454:O454" si="139">SUM(D444:D452)</f>
        <v>-1767</v>
      </c>
      <c r="E454" s="87">
        <f t="shared" si="139"/>
        <v>-1777</v>
      </c>
      <c r="F454" s="87">
        <f t="shared" si="139"/>
        <v>-1789</v>
      </c>
      <c r="G454" s="87">
        <f t="shared" si="139"/>
        <v>-1800</v>
      </c>
      <c r="H454" s="87">
        <f t="shared" si="139"/>
        <v>-1812</v>
      </c>
      <c r="I454" s="87">
        <f t="shared" si="139"/>
        <v>-1824</v>
      </c>
      <c r="J454" s="87">
        <f t="shared" si="139"/>
        <v>-1836</v>
      </c>
      <c r="K454" s="87">
        <f t="shared" si="139"/>
        <v>-1848</v>
      </c>
      <c r="L454" s="87">
        <f t="shared" si="139"/>
        <v>-1860</v>
      </c>
      <c r="M454" s="87">
        <f t="shared" si="139"/>
        <v>-881</v>
      </c>
      <c r="N454" s="87">
        <f t="shared" si="139"/>
        <v>-887</v>
      </c>
      <c r="O454" s="87">
        <f t="shared" si="139"/>
        <v>-893</v>
      </c>
      <c r="P454" s="87">
        <f>SUM(P446:P452)+D444</f>
        <v>-893</v>
      </c>
    </row>
    <row r="455" spans="1:16" x14ac:dyDescent="0.2">
      <c r="A455" s="66"/>
      <c r="B455" s="788"/>
      <c r="D455" s="79"/>
      <c r="E455" s="79"/>
      <c r="F455" s="79"/>
      <c r="G455" s="79"/>
      <c r="H455" s="79"/>
      <c r="I455" s="79"/>
      <c r="J455" s="79"/>
      <c r="K455" s="79"/>
      <c r="L455" s="79"/>
      <c r="M455" s="79"/>
      <c r="N455" s="79"/>
      <c r="O455" s="79"/>
    </row>
    <row r="456" spans="1:16" x14ac:dyDescent="0.2">
      <c r="A456" s="626" t="str">
        <f>A61</f>
        <v xml:space="preserve">   Interest Rate </v>
      </c>
      <c r="B456" s="788"/>
      <c r="D456" s="97">
        <f t="shared" ref="D456:O456" si="140">D61</f>
        <v>7.7499999999999999E-2</v>
      </c>
      <c r="E456" s="97">
        <f t="shared" si="140"/>
        <v>7.7499999999999999E-2</v>
      </c>
      <c r="F456" s="97">
        <f t="shared" si="140"/>
        <v>7.7499999999999999E-2</v>
      </c>
      <c r="G456" s="97">
        <f t="shared" si="140"/>
        <v>7.7499999999999999E-2</v>
      </c>
      <c r="H456" s="97">
        <f t="shared" si="140"/>
        <v>7.7499999999999999E-2</v>
      </c>
      <c r="I456" s="97">
        <f t="shared" si="140"/>
        <v>7.7499999999999999E-2</v>
      </c>
      <c r="J456" s="97">
        <f t="shared" si="140"/>
        <v>7.7499999999999999E-2</v>
      </c>
      <c r="K456" s="97">
        <f t="shared" si="140"/>
        <v>7.7499999999999999E-2</v>
      </c>
      <c r="L456" s="97">
        <f t="shared" si="140"/>
        <v>7.7499999999999999E-2</v>
      </c>
      <c r="M456" s="97">
        <f t="shared" si="140"/>
        <v>7.7499999999999999E-2</v>
      </c>
      <c r="N456" s="97">
        <f t="shared" si="140"/>
        <v>7.7499999999999999E-2</v>
      </c>
      <c r="O456" s="97">
        <f t="shared" si="140"/>
        <v>7.7499999999999999E-2</v>
      </c>
    </row>
    <row r="457" spans="1:16" x14ac:dyDescent="0.2">
      <c r="A457" s="626" t="str">
        <f>A62</f>
        <v xml:space="preserve">      Monthly</v>
      </c>
      <c r="B457" s="788"/>
      <c r="D457" s="89">
        <f>D62</f>
        <v>6.6E-3</v>
      </c>
      <c r="E457" s="89">
        <f t="shared" ref="E457:O457" si="141">E62</f>
        <v>5.8999999999999999E-3</v>
      </c>
      <c r="F457" s="89">
        <f t="shared" si="141"/>
        <v>6.6E-3</v>
      </c>
      <c r="G457" s="89">
        <f t="shared" si="141"/>
        <v>6.4000000000000003E-3</v>
      </c>
      <c r="H457" s="89">
        <f t="shared" si="141"/>
        <v>6.6E-3</v>
      </c>
      <c r="I457" s="89">
        <f t="shared" si="141"/>
        <v>6.4000000000000003E-3</v>
      </c>
      <c r="J457" s="89">
        <f t="shared" si="141"/>
        <v>6.6E-3</v>
      </c>
      <c r="K457" s="89">
        <f t="shared" si="141"/>
        <v>6.6E-3</v>
      </c>
      <c r="L457" s="89">
        <f t="shared" si="141"/>
        <v>6.4000000000000003E-3</v>
      </c>
      <c r="M457" s="89">
        <f t="shared" si="141"/>
        <v>6.6E-3</v>
      </c>
      <c r="N457" s="89">
        <f t="shared" si="141"/>
        <v>6.4000000000000003E-3</v>
      </c>
      <c r="O457" s="89">
        <f t="shared" si="141"/>
        <v>6.6E-3</v>
      </c>
    </row>
    <row r="458" spans="1:16" ht="12.75" customHeight="1" x14ac:dyDescent="0.2">
      <c r="A458" s="66"/>
      <c r="B458" s="788"/>
    </row>
    <row r="459" spans="1:16" x14ac:dyDescent="0.2">
      <c r="A459" s="624" t="s">
        <v>67</v>
      </c>
      <c r="C459" s="86"/>
      <c r="D459" s="625">
        <f t="shared" ref="D459:O459" si="142">ROUND(C454*D457,0)</f>
        <v>-12</v>
      </c>
      <c r="E459" s="625">
        <f t="shared" si="142"/>
        <v>-10</v>
      </c>
      <c r="F459" s="625">
        <f t="shared" si="142"/>
        <v>-12</v>
      </c>
      <c r="G459" s="625">
        <f t="shared" si="142"/>
        <v>-11</v>
      </c>
      <c r="H459" s="625">
        <f t="shared" si="142"/>
        <v>-12</v>
      </c>
      <c r="I459" s="625">
        <f t="shared" si="142"/>
        <v>-12</v>
      </c>
      <c r="J459" s="625">
        <f t="shared" si="142"/>
        <v>-12</v>
      </c>
      <c r="K459" s="625">
        <f t="shared" si="142"/>
        <v>-12</v>
      </c>
      <c r="L459" s="625">
        <f t="shared" si="142"/>
        <v>-12</v>
      </c>
      <c r="M459" s="660">
        <f>ROUND((L454+M429)*M457,0)</f>
        <v>-6</v>
      </c>
      <c r="N459" s="625">
        <f t="shared" si="142"/>
        <v>-6</v>
      </c>
      <c r="O459" s="625">
        <f t="shared" si="142"/>
        <v>-6</v>
      </c>
      <c r="P459" s="625">
        <f>SUM(D459:O459)</f>
        <v>-123</v>
      </c>
    </row>
    <row r="460" spans="1:16" x14ac:dyDescent="0.2">
      <c r="A460" s="351" t="s">
        <v>102</v>
      </c>
      <c r="C460" s="86"/>
      <c r="D460" s="267">
        <v>0</v>
      </c>
      <c r="E460" s="267">
        <v>0</v>
      </c>
      <c r="F460" s="267">
        <v>0</v>
      </c>
      <c r="G460" s="267">
        <v>0</v>
      </c>
      <c r="H460" s="267">
        <v>0</v>
      </c>
      <c r="I460" s="267">
        <v>0</v>
      </c>
      <c r="J460" s="267">
        <v>0</v>
      </c>
      <c r="K460" s="267">
        <v>0</v>
      </c>
      <c r="L460" s="267">
        <v>0</v>
      </c>
      <c r="M460" s="267">
        <v>0</v>
      </c>
      <c r="N460" s="267">
        <v>0</v>
      </c>
      <c r="O460" s="267">
        <v>0</v>
      </c>
      <c r="P460" s="71">
        <f>SUM(D460:O460)</f>
        <v>0</v>
      </c>
    </row>
    <row r="461" spans="1:16" x14ac:dyDescent="0.2">
      <c r="A461" s="627" t="str">
        <f>A66</f>
        <v xml:space="preserve">      Total Current Month Carrying Charges</v>
      </c>
      <c r="C461" s="86"/>
      <c r="D461" s="74">
        <f>D459+D460</f>
        <v>-12</v>
      </c>
      <c r="E461" s="74">
        <f t="shared" ref="E461:P461" si="143">E459+E460</f>
        <v>-10</v>
      </c>
      <c r="F461" s="74">
        <f t="shared" si="143"/>
        <v>-12</v>
      </c>
      <c r="G461" s="74">
        <f t="shared" si="143"/>
        <v>-11</v>
      </c>
      <c r="H461" s="74">
        <f t="shared" si="143"/>
        <v>-12</v>
      </c>
      <c r="I461" s="74">
        <f t="shared" si="143"/>
        <v>-12</v>
      </c>
      <c r="J461" s="74">
        <f t="shared" si="143"/>
        <v>-12</v>
      </c>
      <c r="K461" s="74">
        <f t="shared" si="143"/>
        <v>-12</v>
      </c>
      <c r="L461" s="74">
        <f t="shared" si="143"/>
        <v>-12</v>
      </c>
      <c r="M461" s="74">
        <f t="shared" si="143"/>
        <v>-6</v>
      </c>
      <c r="N461" s="74">
        <f t="shared" si="143"/>
        <v>-6</v>
      </c>
      <c r="O461" s="74">
        <f t="shared" si="143"/>
        <v>-6</v>
      </c>
      <c r="P461" s="74">
        <f t="shared" si="143"/>
        <v>-123</v>
      </c>
    </row>
    <row r="462" spans="1:16" ht="6" customHeight="1" x14ac:dyDescent="0.2">
      <c r="A462" s="66"/>
      <c r="B462" s="788"/>
    </row>
    <row r="463" spans="1:16" x14ac:dyDescent="0.2">
      <c r="A463" s="627" t="str">
        <f>A68</f>
        <v xml:space="preserve">      Cumulative Carrying Charges</v>
      </c>
      <c r="B463" s="788"/>
      <c r="D463" s="69">
        <f>D461</f>
        <v>-12</v>
      </c>
      <c r="E463" s="69">
        <f>E461+D463</f>
        <v>-22</v>
      </c>
      <c r="F463" s="69">
        <f t="shared" ref="F463:O463" si="144">F461+E463</f>
        <v>-34</v>
      </c>
      <c r="G463" s="69">
        <f t="shared" si="144"/>
        <v>-45</v>
      </c>
      <c r="H463" s="69">
        <f t="shared" si="144"/>
        <v>-57</v>
      </c>
      <c r="I463" s="69">
        <f t="shared" si="144"/>
        <v>-69</v>
      </c>
      <c r="J463" s="69">
        <f t="shared" si="144"/>
        <v>-81</v>
      </c>
      <c r="K463" s="69">
        <f t="shared" si="144"/>
        <v>-93</v>
      </c>
      <c r="L463" s="69">
        <f t="shared" si="144"/>
        <v>-105</v>
      </c>
      <c r="M463" s="69">
        <f t="shared" si="144"/>
        <v>-111</v>
      </c>
      <c r="N463" s="69">
        <f t="shared" si="144"/>
        <v>-117</v>
      </c>
      <c r="O463" s="69">
        <f t="shared" si="144"/>
        <v>-123</v>
      </c>
    </row>
    <row r="464" spans="1:16" ht="6" customHeight="1" x14ac:dyDescent="0.2"/>
    <row r="465" spans="1:16" customFormat="1" x14ac:dyDescent="0.2">
      <c r="B465" s="691"/>
    </row>
    <row r="466" spans="1:16" x14ac:dyDescent="0.2">
      <c r="A466" s="605" t="str">
        <f ca="1">CELL("FILENAME")</f>
        <v>C:\Users\Felienne\Enron\EnronSpreadsheets\[tracy_geaccone__40367__EMNNG02PL.xls]IncomeState</v>
      </c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</row>
    <row r="467" spans="1:16" x14ac:dyDescent="0.2">
      <c r="A467" s="340" t="s">
        <v>194</v>
      </c>
      <c r="D467" s="103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</row>
    <row r="468" spans="1:16" x14ac:dyDescent="0.2">
      <c r="A468" s="355" t="str">
        <f>A3</f>
        <v>2002 OPERATING PLAN</v>
      </c>
      <c r="B468" s="786">
        <f ca="1">NOW()</f>
        <v>41887.551126967592</v>
      </c>
      <c r="C468" s="489" t="s">
        <v>195</v>
      </c>
      <c r="D468" s="60"/>
      <c r="E468" s="59"/>
      <c r="F468" s="59"/>
      <c r="G468" s="101"/>
      <c r="H468" s="101"/>
      <c r="I468" s="101"/>
      <c r="J468" s="102"/>
      <c r="K468" s="59"/>
      <c r="L468" s="59"/>
      <c r="M468" s="59"/>
      <c r="N468" s="59"/>
      <c r="O468" s="59"/>
      <c r="P468" s="90"/>
    </row>
    <row r="469" spans="1:16" ht="12.95" customHeight="1" x14ac:dyDescent="0.2">
      <c r="A469" s="61"/>
      <c r="B469" s="787">
        <f ca="1">NOW()</f>
        <v>41887.551126967592</v>
      </c>
      <c r="C469" s="338" t="str">
        <f t="shared" ref="C469:P469" si="145">C4</f>
        <v>BALANCE</v>
      </c>
      <c r="D469" s="338" t="str">
        <f t="shared" si="145"/>
        <v>JAN</v>
      </c>
      <c r="E469" s="338" t="str">
        <f t="shared" si="145"/>
        <v>FEB</v>
      </c>
      <c r="F469" s="338" t="str">
        <f t="shared" si="145"/>
        <v>MAR</v>
      </c>
      <c r="G469" s="338" t="str">
        <f t="shared" si="145"/>
        <v>APR</v>
      </c>
      <c r="H469" s="338" t="str">
        <f t="shared" si="145"/>
        <v>MAY</v>
      </c>
      <c r="I469" s="338" t="str">
        <f t="shared" si="145"/>
        <v>JUN</v>
      </c>
      <c r="J469" s="338" t="str">
        <f t="shared" si="145"/>
        <v>JUL</v>
      </c>
      <c r="K469" s="338" t="str">
        <f t="shared" si="145"/>
        <v>AUG</v>
      </c>
      <c r="L469" s="338" t="str">
        <f t="shared" si="145"/>
        <v>SEP</v>
      </c>
      <c r="M469" s="338" t="str">
        <f t="shared" si="145"/>
        <v>OCT</v>
      </c>
      <c r="N469" s="338" t="str">
        <f t="shared" si="145"/>
        <v>NOV</v>
      </c>
      <c r="O469" s="338" t="str">
        <f t="shared" si="145"/>
        <v>DEC</v>
      </c>
      <c r="P469" s="338" t="str">
        <f t="shared" si="145"/>
        <v>2002</v>
      </c>
    </row>
    <row r="470" spans="1:16" ht="3.95" customHeight="1" x14ac:dyDescent="0.2"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4"/>
    </row>
    <row r="471" spans="1:16" x14ac:dyDescent="0.2">
      <c r="A471" s="344" t="s">
        <v>196</v>
      </c>
      <c r="B471" s="788"/>
    </row>
    <row r="472" spans="1:16" x14ac:dyDescent="0.2">
      <c r="A472" s="67" t="s">
        <v>9</v>
      </c>
      <c r="B472" s="788"/>
      <c r="D472" s="69">
        <f t="shared" ref="D472:O472" si="146">D7</f>
        <v>0</v>
      </c>
      <c r="E472" s="69">
        <f t="shared" si="146"/>
        <v>0</v>
      </c>
      <c r="F472" s="69">
        <f t="shared" si="146"/>
        <v>0</v>
      </c>
      <c r="G472" s="69">
        <f t="shared" si="146"/>
        <v>0</v>
      </c>
      <c r="H472" s="69">
        <f t="shared" si="146"/>
        <v>0</v>
      </c>
      <c r="I472" s="69">
        <f t="shared" si="146"/>
        <v>0</v>
      </c>
      <c r="J472" s="69">
        <f t="shared" si="146"/>
        <v>0</v>
      </c>
      <c r="K472" s="69">
        <f t="shared" si="146"/>
        <v>0</v>
      </c>
      <c r="L472" s="69">
        <f t="shared" si="146"/>
        <v>0</v>
      </c>
      <c r="M472" s="69">
        <f t="shared" si="146"/>
        <v>0</v>
      </c>
      <c r="N472" s="69">
        <f t="shared" si="146"/>
        <v>0</v>
      </c>
      <c r="O472" s="69">
        <f t="shared" si="146"/>
        <v>0</v>
      </c>
      <c r="P472" s="69">
        <f>SUM(D472:O472)</f>
        <v>0</v>
      </c>
    </row>
    <row r="473" spans="1:16" x14ac:dyDescent="0.2">
      <c r="A473" s="351" t="s">
        <v>82</v>
      </c>
      <c r="D473" s="69">
        <f t="shared" ref="D473:O473" si="147">D8</f>
        <v>0</v>
      </c>
      <c r="E473" s="69">
        <f t="shared" si="147"/>
        <v>0</v>
      </c>
      <c r="F473" s="69">
        <f t="shared" si="147"/>
        <v>0</v>
      </c>
      <c r="G473" s="69">
        <f t="shared" si="147"/>
        <v>0</v>
      </c>
      <c r="H473" s="69">
        <f t="shared" si="147"/>
        <v>0</v>
      </c>
      <c r="I473" s="69">
        <f t="shared" si="147"/>
        <v>0</v>
      </c>
      <c r="J473" s="69">
        <f t="shared" si="147"/>
        <v>0</v>
      </c>
      <c r="K473" s="69">
        <f t="shared" si="147"/>
        <v>0</v>
      </c>
      <c r="L473" s="69">
        <f t="shared" si="147"/>
        <v>0</v>
      </c>
      <c r="M473" s="69">
        <f t="shared" si="147"/>
        <v>0</v>
      </c>
      <c r="N473" s="69">
        <f t="shared" si="147"/>
        <v>0</v>
      </c>
      <c r="O473" s="69">
        <f t="shared" si="147"/>
        <v>0</v>
      </c>
      <c r="P473" s="69">
        <f>SUM(D473:O473)</f>
        <v>0</v>
      </c>
    </row>
    <row r="474" spans="1:16" x14ac:dyDescent="0.2">
      <c r="A474" s="351" t="s">
        <v>85</v>
      </c>
      <c r="D474" s="71">
        <f t="shared" ref="D474:O474" si="148">D9</f>
        <v>0</v>
      </c>
      <c r="E474" s="71">
        <f t="shared" si="148"/>
        <v>0</v>
      </c>
      <c r="F474" s="71">
        <f t="shared" si="148"/>
        <v>0</v>
      </c>
      <c r="G474" s="71">
        <f t="shared" si="148"/>
        <v>0</v>
      </c>
      <c r="H474" s="71">
        <f t="shared" si="148"/>
        <v>0</v>
      </c>
      <c r="I474" s="71">
        <f t="shared" si="148"/>
        <v>0</v>
      </c>
      <c r="J474" s="71">
        <f t="shared" si="148"/>
        <v>0</v>
      </c>
      <c r="K474" s="71">
        <f t="shared" si="148"/>
        <v>0</v>
      </c>
      <c r="L474" s="71">
        <f t="shared" si="148"/>
        <v>0</v>
      </c>
      <c r="M474" s="71">
        <f t="shared" si="148"/>
        <v>0</v>
      </c>
      <c r="N474" s="71">
        <f t="shared" si="148"/>
        <v>0</v>
      </c>
      <c r="O474" s="71">
        <f t="shared" si="148"/>
        <v>0</v>
      </c>
      <c r="P474" s="71">
        <f>SUM(D474:O474)</f>
        <v>0</v>
      </c>
    </row>
    <row r="475" spans="1:16" ht="3.95" customHeight="1" x14ac:dyDescent="0.2"/>
    <row r="476" spans="1:16" x14ac:dyDescent="0.2">
      <c r="A476" s="67" t="s">
        <v>12</v>
      </c>
      <c r="B476" s="788"/>
      <c r="D476" s="69">
        <f t="shared" ref="D476:O476" si="149">D472+D473+D474</f>
        <v>0</v>
      </c>
      <c r="E476" s="69">
        <f t="shared" si="149"/>
        <v>0</v>
      </c>
      <c r="F476" s="69">
        <f t="shared" si="149"/>
        <v>0</v>
      </c>
      <c r="G476" s="69">
        <f t="shared" si="149"/>
        <v>0</v>
      </c>
      <c r="H476" s="69">
        <f t="shared" si="149"/>
        <v>0</v>
      </c>
      <c r="I476" s="69">
        <f t="shared" si="149"/>
        <v>0</v>
      </c>
      <c r="J476" s="69">
        <f t="shared" si="149"/>
        <v>0</v>
      </c>
      <c r="K476" s="69">
        <f t="shared" si="149"/>
        <v>0</v>
      </c>
      <c r="L476" s="69">
        <f t="shared" si="149"/>
        <v>0</v>
      </c>
      <c r="M476" s="69">
        <f t="shared" si="149"/>
        <v>0</v>
      </c>
      <c r="N476" s="69">
        <f t="shared" si="149"/>
        <v>0</v>
      </c>
      <c r="O476" s="69">
        <f t="shared" si="149"/>
        <v>0</v>
      </c>
      <c r="P476" s="69">
        <f>SUM(D476:O476)</f>
        <v>0</v>
      </c>
    </row>
    <row r="477" spans="1:16" ht="3.95" customHeight="1" x14ac:dyDescent="0.2"/>
    <row r="478" spans="1:16" x14ac:dyDescent="0.2">
      <c r="A478" s="351" t="s">
        <v>197</v>
      </c>
      <c r="B478" s="788"/>
      <c r="D478" s="72">
        <f t="shared" ref="D478:P478" si="150">IF(D476=0,0,ROUND(D480/D476,4))</f>
        <v>0</v>
      </c>
      <c r="E478" s="72">
        <f t="shared" si="150"/>
        <v>0</v>
      </c>
      <c r="F478" s="72">
        <f t="shared" si="150"/>
        <v>0</v>
      </c>
      <c r="G478" s="72">
        <f t="shared" si="150"/>
        <v>0</v>
      </c>
      <c r="H478" s="72">
        <f t="shared" si="150"/>
        <v>0</v>
      </c>
      <c r="I478" s="72">
        <f t="shared" si="150"/>
        <v>0</v>
      </c>
      <c r="J478" s="72">
        <f t="shared" si="150"/>
        <v>0</v>
      </c>
      <c r="K478" s="72">
        <f t="shared" si="150"/>
        <v>0</v>
      </c>
      <c r="L478" s="72">
        <f t="shared" si="150"/>
        <v>0</v>
      </c>
      <c r="M478" s="72">
        <f t="shared" si="150"/>
        <v>0</v>
      </c>
      <c r="N478" s="72">
        <f t="shared" si="150"/>
        <v>0</v>
      </c>
      <c r="O478" s="72">
        <f t="shared" si="150"/>
        <v>0</v>
      </c>
      <c r="P478" s="72">
        <f t="shared" si="150"/>
        <v>0</v>
      </c>
    </row>
    <row r="479" spans="1:16" ht="3.95" customHeight="1" x14ac:dyDescent="0.2"/>
    <row r="480" spans="1:16" x14ac:dyDescent="0.2">
      <c r="A480" s="350" t="s">
        <v>198</v>
      </c>
      <c r="B480" s="789"/>
      <c r="C480" s="58"/>
      <c r="D480" s="74">
        <f>Transport!C17</f>
        <v>0</v>
      </c>
      <c r="E480" s="74">
        <f>Transport!D17</f>
        <v>0</v>
      </c>
      <c r="F480" s="74">
        <f>Transport!E17</f>
        <v>0</v>
      </c>
      <c r="G480" s="74">
        <f>Transport!F17</f>
        <v>0</v>
      </c>
      <c r="H480" s="74">
        <f>Transport!G17</f>
        <v>0</v>
      </c>
      <c r="I480" s="74">
        <f>Transport!H17</f>
        <v>0</v>
      </c>
      <c r="J480" s="74">
        <f>Transport!I17</f>
        <v>0</v>
      </c>
      <c r="K480" s="74">
        <f>Transport!J17</f>
        <v>0</v>
      </c>
      <c r="L480" s="74">
        <f>Transport!K17</f>
        <v>0</v>
      </c>
      <c r="M480" s="74">
        <f>Transport!L17</f>
        <v>0</v>
      </c>
      <c r="N480" s="74">
        <f>Transport!M17</f>
        <v>0</v>
      </c>
      <c r="O480" s="74">
        <f>Transport!N17</f>
        <v>0</v>
      </c>
      <c r="P480" s="74">
        <f>SUM(D480:O480)</f>
        <v>0</v>
      </c>
    </row>
    <row r="481" spans="1:16" ht="8.1" customHeight="1" x14ac:dyDescent="0.2">
      <c r="A481" s="66"/>
      <c r="B481" s="788"/>
      <c r="D481" s="93"/>
      <c r="E481" s="93"/>
      <c r="F481" s="93"/>
      <c r="G481" s="93"/>
      <c r="H481" s="93"/>
      <c r="I481" s="93"/>
      <c r="J481" s="93"/>
      <c r="K481" s="93"/>
      <c r="L481" s="93"/>
      <c r="M481" s="93"/>
      <c r="N481" s="93"/>
      <c r="O481" s="93"/>
    </row>
    <row r="482" spans="1:16" x14ac:dyDescent="0.2">
      <c r="A482" s="350" t="s">
        <v>199</v>
      </c>
      <c r="B482" s="789"/>
      <c r="C482" s="58"/>
      <c r="D482" s="266">
        <v>0</v>
      </c>
      <c r="E482" s="266">
        <v>0</v>
      </c>
      <c r="F482" s="266">
        <v>0</v>
      </c>
      <c r="G482" s="266">
        <v>0</v>
      </c>
      <c r="H482" s="266">
        <v>0</v>
      </c>
      <c r="I482" s="266">
        <v>0</v>
      </c>
      <c r="J482" s="266">
        <v>0</v>
      </c>
      <c r="K482" s="266">
        <v>0</v>
      </c>
      <c r="L482" s="266">
        <v>0</v>
      </c>
      <c r="M482" s="266">
        <v>0</v>
      </c>
      <c r="N482" s="266">
        <v>0</v>
      </c>
      <c r="O482" s="266">
        <v>0</v>
      </c>
      <c r="P482" s="87">
        <f>SUM(D482:O482)</f>
        <v>0</v>
      </c>
    </row>
    <row r="484" spans="1:16" x14ac:dyDescent="0.2">
      <c r="A484" s="67" t="s">
        <v>100</v>
      </c>
      <c r="B484" s="788"/>
      <c r="D484" s="69">
        <f t="shared" ref="D484:O484" si="151">D480-D482</f>
        <v>0</v>
      </c>
      <c r="E484" s="69">
        <f t="shared" si="151"/>
        <v>0</v>
      </c>
      <c r="F484" s="69">
        <f t="shared" si="151"/>
        <v>0</v>
      </c>
      <c r="G484" s="69">
        <f t="shared" si="151"/>
        <v>0</v>
      </c>
      <c r="H484" s="69">
        <f t="shared" si="151"/>
        <v>0</v>
      </c>
      <c r="I484" s="69">
        <f t="shared" si="151"/>
        <v>0</v>
      </c>
      <c r="J484" s="69">
        <f t="shared" si="151"/>
        <v>0</v>
      </c>
      <c r="K484" s="69">
        <f t="shared" si="151"/>
        <v>0</v>
      </c>
      <c r="L484" s="69">
        <f t="shared" si="151"/>
        <v>0</v>
      </c>
      <c r="M484" s="69">
        <f t="shared" si="151"/>
        <v>0</v>
      </c>
      <c r="N484" s="69">
        <f t="shared" si="151"/>
        <v>0</v>
      </c>
      <c r="O484" s="69">
        <f t="shared" si="151"/>
        <v>0</v>
      </c>
      <c r="P484" s="69">
        <f>SUM(D484:O484)</f>
        <v>0</v>
      </c>
    </row>
    <row r="485" spans="1:16" x14ac:dyDescent="0.2">
      <c r="A485" s="95" t="s">
        <v>180</v>
      </c>
      <c r="D485" s="68">
        <v>0</v>
      </c>
      <c r="E485" s="68">
        <v>0</v>
      </c>
      <c r="F485" s="68">
        <v>0</v>
      </c>
      <c r="G485" s="68">
        <v>0</v>
      </c>
      <c r="H485" s="68">
        <v>0</v>
      </c>
      <c r="I485" s="68">
        <v>0</v>
      </c>
      <c r="J485" s="68">
        <v>0</v>
      </c>
      <c r="K485" s="68">
        <v>0</v>
      </c>
      <c r="L485" s="68">
        <v>0</v>
      </c>
      <c r="M485" s="68">
        <v>0</v>
      </c>
      <c r="N485" s="68">
        <v>0</v>
      </c>
      <c r="O485" s="68">
        <v>0</v>
      </c>
      <c r="P485" s="69">
        <f>SUM(D485:O485)</f>
        <v>0</v>
      </c>
    </row>
    <row r="486" spans="1:16" x14ac:dyDescent="0.2">
      <c r="A486" s="77" t="s">
        <v>1194</v>
      </c>
      <c r="D486" s="68">
        <v>0</v>
      </c>
      <c r="E486" s="68">
        <v>0</v>
      </c>
      <c r="F486" s="68">
        <v>0</v>
      </c>
      <c r="G486" s="68">
        <v>0</v>
      </c>
      <c r="H486" s="68">
        <v>0</v>
      </c>
      <c r="I486" s="68">
        <v>0</v>
      </c>
      <c r="J486" s="68">
        <v>0</v>
      </c>
      <c r="K486" s="68">
        <v>0</v>
      </c>
      <c r="L486" s="68">
        <v>0</v>
      </c>
      <c r="M486" s="68">
        <v>0</v>
      </c>
      <c r="N486" s="68">
        <v>0</v>
      </c>
      <c r="O486" s="68">
        <v>0</v>
      </c>
      <c r="P486" s="69">
        <f>SUM(D486:O486)</f>
        <v>0</v>
      </c>
    </row>
    <row r="487" spans="1:16" x14ac:dyDescent="0.2">
      <c r="A487" s="67" t="s">
        <v>55</v>
      </c>
      <c r="D487" s="267">
        <v>0</v>
      </c>
      <c r="E487" s="267">
        <v>0</v>
      </c>
      <c r="F487" s="267">
        <v>0</v>
      </c>
      <c r="G487" s="267">
        <v>0</v>
      </c>
      <c r="H487" s="267">
        <v>0</v>
      </c>
      <c r="I487" s="267">
        <v>0</v>
      </c>
      <c r="J487" s="267">
        <v>0</v>
      </c>
      <c r="K487" s="267">
        <v>0</v>
      </c>
      <c r="L487" s="267">
        <v>0</v>
      </c>
      <c r="M487" s="267">
        <v>0</v>
      </c>
      <c r="N487" s="267">
        <v>0</v>
      </c>
      <c r="O487" s="267">
        <v>0</v>
      </c>
      <c r="P487" s="71">
        <f>SUM(D487:O487)</f>
        <v>0</v>
      </c>
    </row>
    <row r="488" spans="1:16" ht="3.95" customHeight="1" x14ac:dyDescent="0.2">
      <c r="D488" s="79"/>
      <c r="E488" s="79"/>
      <c r="F488" s="79"/>
      <c r="G488" s="79"/>
      <c r="H488" s="79"/>
      <c r="I488" s="79"/>
      <c r="J488" s="79"/>
      <c r="K488" s="79"/>
      <c r="L488" s="79"/>
      <c r="M488" s="79"/>
      <c r="N488" s="79"/>
      <c r="O488" s="79"/>
    </row>
    <row r="489" spans="1:16" x14ac:dyDescent="0.2">
      <c r="A489" s="346" t="s">
        <v>56</v>
      </c>
      <c r="B489" s="790"/>
      <c r="C489" s="58"/>
      <c r="D489" s="74">
        <f t="shared" ref="D489:O489" si="152">SUM(D484:D487)</f>
        <v>0</v>
      </c>
      <c r="E489" s="74">
        <f t="shared" si="152"/>
        <v>0</v>
      </c>
      <c r="F489" s="74">
        <f t="shared" si="152"/>
        <v>0</v>
      </c>
      <c r="G489" s="74">
        <f t="shared" si="152"/>
        <v>0</v>
      </c>
      <c r="H489" s="74">
        <f t="shared" si="152"/>
        <v>0</v>
      </c>
      <c r="I489" s="74">
        <f t="shared" si="152"/>
        <v>0</v>
      </c>
      <c r="J489" s="74">
        <f t="shared" si="152"/>
        <v>0</v>
      </c>
      <c r="K489" s="74">
        <f t="shared" si="152"/>
        <v>0</v>
      </c>
      <c r="L489" s="74">
        <f t="shared" si="152"/>
        <v>0</v>
      </c>
      <c r="M489" s="74">
        <f t="shared" si="152"/>
        <v>0</v>
      </c>
      <c r="N489" s="74">
        <f t="shared" si="152"/>
        <v>0</v>
      </c>
      <c r="O489" s="74">
        <f t="shared" si="152"/>
        <v>0</v>
      </c>
      <c r="P489" s="74">
        <f>SUM(D489:O489)</f>
        <v>0</v>
      </c>
    </row>
    <row r="490" spans="1:16" ht="6" customHeight="1" x14ac:dyDescent="0.2">
      <c r="A490" s="66"/>
      <c r="B490" s="788"/>
      <c r="D490" s="69"/>
      <c r="E490" s="69"/>
      <c r="F490" s="69"/>
      <c r="G490" s="69"/>
      <c r="H490" s="69"/>
      <c r="I490" s="69"/>
      <c r="J490" s="69"/>
      <c r="K490" s="69"/>
      <c r="L490" s="69"/>
      <c r="M490" s="69"/>
      <c r="N490" s="69"/>
      <c r="O490" s="69"/>
      <c r="P490" s="69"/>
    </row>
    <row r="491" spans="1:16" x14ac:dyDescent="0.2">
      <c r="A491" s="344" t="s">
        <v>200</v>
      </c>
      <c r="B491" s="789"/>
      <c r="C491" s="58"/>
      <c r="D491" s="74">
        <f t="shared" ref="D491:O491" si="153">-1*D489</f>
        <v>0</v>
      </c>
      <c r="E491" s="74">
        <f t="shared" si="153"/>
        <v>0</v>
      </c>
      <c r="F491" s="74">
        <f t="shared" si="153"/>
        <v>0</v>
      </c>
      <c r="G491" s="74">
        <f t="shared" si="153"/>
        <v>0</v>
      </c>
      <c r="H491" s="74">
        <f t="shared" si="153"/>
        <v>0</v>
      </c>
      <c r="I491" s="74">
        <f t="shared" si="153"/>
        <v>0</v>
      </c>
      <c r="J491" s="74">
        <f t="shared" si="153"/>
        <v>0</v>
      </c>
      <c r="K491" s="74">
        <f t="shared" si="153"/>
        <v>0</v>
      </c>
      <c r="L491" s="74">
        <f t="shared" si="153"/>
        <v>0</v>
      </c>
      <c r="M491" s="74">
        <f t="shared" si="153"/>
        <v>0</v>
      </c>
      <c r="N491" s="74">
        <f t="shared" si="153"/>
        <v>0</v>
      </c>
      <c r="O491" s="74">
        <f t="shared" si="153"/>
        <v>0</v>
      </c>
      <c r="P491" s="74">
        <f>SUM(D491:O491)</f>
        <v>0</v>
      </c>
    </row>
    <row r="492" spans="1:16" x14ac:dyDescent="0.2">
      <c r="A492" s="66"/>
      <c r="B492" s="788"/>
    </row>
    <row r="493" spans="1:16" x14ac:dyDescent="0.2">
      <c r="A493" s="81"/>
      <c r="B493" s="791"/>
      <c r="C493" s="82"/>
      <c r="D493" s="82"/>
      <c r="E493" s="82"/>
      <c r="F493" s="82"/>
      <c r="G493" s="82"/>
      <c r="H493" s="82"/>
      <c r="I493" s="82"/>
      <c r="J493" s="82"/>
      <c r="K493" s="82"/>
      <c r="L493" s="82"/>
      <c r="M493" s="82"/>
      <c r="N493" s="82"/>
      <c r="O493" s="82"/>
      <c r="P493" s="82"/>
    </row>
    <row r="494" spans="1:16" x14ac:dyDescent="0.2">
      <c r="A494" s="345"/>
    </row>
    <row r="495" spans="1:16" x14ac:dyDescent="0.2">
      <c r="A495" s="356" t="s">
        <v>201</v>
      </c>
      <c r="B495" s="788"/>
      <c r="C495" s="62" t="str">
        <f>C47</f>
        <v>DEC.,2001</v>
      </c>
      <c r="D495" s="85"/>
      <c r="E495" s="85"/>
      <c r="F495" s="85"/>
      <c r="G495" s="85"/>
      <c r="H495" s="85"/>
      <c r="I495" s="85"/>
      <c r="J495" s="85"/>
      <c r="K495" s="85"/>
      <c r="L495" s="85"/>
      <c r="M495" s="85"/>
      <c r="N495" s="85"/>
      <c r="O495" s="85"/>
      <c r="P495" s="58"/>
    </row>
    <row r="496" spans="1:16" ht="3.95" customHeight="1" x14ac:dyDescent="0.2">
      <c r="A496" s="66"/>
      <c r="B496" s="788"/>
      <c r="D496" s="79"/>
      <c r="E496" s="79"/>
      <c r="F496" s="79"/>
      <c r="G496" s="79"/>
      <c r="H496" s="79"/>
      <c r="I496" s="79"/>
      <c r="J496" s="79"/>
      <c r="K496" s="79"/>
      <c r="L496" s="79"/>
      <c r="M496" s="79"/>
      <c r="N496" s="79"/>
      <c r="O496" s="79"/>
    </row>
    <row r="497" spans="1:16" x14ac:dyDescent="0.2">
      <c r="A497" s="344" t="s">
        <v>59</v>
      </c>
      <c r="B497" s="788"/>
      <c r="D497" s="69">
        <f t="shared" ref="D497:O497" si="154">C507</f>
        <v>0</v>
      </c>
      <c r="E497" s="69">
        <f t="shared" si="154"/>
        <v>0</v>
      </c>
      <c r="F497" s="69">
        <f t="shared" si="154"/>
        <v>0</v>
      </c>
      <c r="G497" s="69">
        <f t="shared" si="154"/>
        <v>0</v>
      </c>
      <c r="H497" s="69">
        <f t="shared" si="154"/>
        <v>0</v>
      </c>
      <c r="I497" s="69">
        <f t="shared" si="154"/>
        <v>0</v>
      </c>
      <c r="J497" s="69">
        <f t="shared" si="154"/>
        <v>0</v>
      </c>
      <c r="K497" s="69">
        <f t="shared" si="154"/>
        <v>0</v>
      </c>
      <c r="L497" s="69">
        <f t="shared" si="154"/>
        <v>0</v>
      </c>
      <c r="M497" s="69">
        <f t="shared" si="154"/>
        <v>0</v>
      </c>
      <c r="N497" s="69">
        <f t="shared" si="154"/>
        <v>0</v>
      </c>
      <c r="O497" s="69">
        <f t="shared" si="154"/>
        <v>0</v>
      </c>
      <c r="P497" s="69"/>
    </row>
    <row r="498" spans="1:16" ht="6" customHeight="1" x14ac:dyDescent="0.2"/>
    <row r="499" spans="1:16" x14ac:dyDescent="0.2">
      <c r="A499" s="77" t="s">
        <v>60</v>
      </c>
      <c r="B499" s="91"/>
      <c r="D499" s="68">
        <v>0</v>
      </c>
      <c r="E499" s="68">
        <v>0</v>
      </c>
      <c r="F499" s="68">
        <v>0</v>
      </c>
      <c r="G499" s="68">
        <v>0</v>
      </c>
      <c r="H499" s="68">
        <v>0</v>
      </c>
      <c r="I499" s="68">
        <v>0</v>
      </c>
      <c r="J499" s="68">
        <v>0</v>
      </c>
      <c r="K499" s="68">
        <v>0</v>
      </c>
      <c r="L499" s="68">
        <v>0</v>
      </c>
      <c r="M499" s="68">
        <v>0</v>
      </c>
      <c r="N499" s="68">
        <v>0</v>
      </c>
      <c r="O499" s="68">
        <v>0</v>
      </c>
      <c r="P499" s="69">
        <f>SUM(D499:O499)</f>
        <v>0</v>
      </c>
    </row>
    <row r="500" spans="1:16" ht="6" customHeight="1" x14ac:dyDescent="0.2">
      <c r="A500" s="66"/>
      <c r="B500" s="788"/>
      <c r="D500" s="69"/>
      <c r="E500" s="69"/>
      <c r="F500" s="69"/>
      <c r="G500" s="69"/>
      <c r="H500" s="69"/>
      <c r="I500" s="69"/>
      <c r="J500" s="69"/>
      <c r="K500" s="69"/>
      <c r="L500" s="69"/>
      <c r="M500" s="69"/>
      <c r="N500" s="69"/>
      <c r="O500" s="69"/>
    </row>
    <row r="501" spans="1:16" x14ac:dyDescent="0.2">
      <c r="A501" s="351" t="s">
        <v>132</v>
      </c>
      <c r="B501" s="788"/>
      <c r="D501" s="69">
        <f t="shared" ref="D501:O501" si="155">D491</f>
        <v>0</v>
      </c>
      <c r="E501" s="69">
        <f t="shared" si="155"/>
        <v>0</v>
      </c>
      <c r="F501" s="69">
        <f t="shared" si="155"/>
        <v>0</v>
      </c>
      <c r="G501" s="69">
        <f t="shared" si="155"/>
        <v>0</v>
      </c>
      <c r="H501" s="69">
        <f t="shared" si="155"/>
        <v>0</v>
      </c>
      <c r="I501" s="69">
        <f t="shared" si="155"/>
        <v>0</v>
      </c>
      <c r="J501" s="69">
        <f t="shared" si="155"/>
        <v>0</v>
      </c>
      <c r="K501" s="69">
        <f t="shared" si="155"/>
        <v>0</v>
      </c>
      <c r="L501" s="69">
        <f t="shared" si="155"/>
        <v>0</v>
      </c>
      <c r="M501" s="69">
        <f t="shared" si="155"/>
        <v>0</v>
      </c>
      <c r="N501" s="69">
        <f t="shared" si="155"/>
        <v>0</v>
      </c>
      <c r="O501" s="69">
        <f t="shared" si="155"/>
        <v>0</v>
      </c>
      <c r="P501" s="69">
        <f>SUM(D501:O501)</f>
        <v>0</v>
      </c>
    </row>
    <row r="502" spans="1:16" ht="6" customHeight="1" x14ac:dyDescent="0.2">
      <c r="A502" s="66"/>
      <c r="B502" s="788"/>
      <c r="D502" s="69"/>
      <c r="E502" s="69"/>
      <c r="F502" s="69"/>
      <c r="G502" s="69"/>
      <c r="H502" s="69"/>
      <c r="I502" s="69"/>
      <c r="J502" s="69"/>
      <c r="K502" s="69"/>
      <c r="L502" s="69"/>
      <c r="M502" s="69"/>
      <c r="N502" s="69"/>
      <c r="O502" s="69"/>
      <c r="P502" s="69"/>
    </row>
    <row r="503" spans="1:16" x14ac:dyDescent="0.2">
      <c r="A503" s="77" t="s">
        <v>62</v>
      </c>
      <c r="B503" s="788"/>
      <c r="D503" s="68">
        <v>0</v>
      </c>
      <c r="E503" s="68">
        <v>0</v>
      </c>
      <c r="F503" s="68">
        <v>0</v>
      </c>
      <c r="G503" s="68">
        <v>0</v>
      </c>
      <c r="H503" s="68">
        <v>0</v>
      </c>
      <c r="I503" s="68">
        <v>0</v>
      </c>
      <c r="J503" s="68">
        <v>0</v>
      </c>
      <c r="K503" s="68">
        <v>0</v>
      </c>
      <c r="L503" s="68">
        <v>0</v>
      </c>
      <c r="M503" s="68">
        <v>0</v>
      </c>
      <c r="N503" s="68">
        <v>0</v>
      </c>
      <c r="O503" s="68">
        <v>0</v>
      </c>
      <c r="P503" s="69">
        <f>SUM(D503:O503)</f>
        <v>0</v>
      </c>
    </row>
    <row r="504" spans="1:16" ht="6" customHeight="1" x14ac:dyDescent="0.2">
      <c r="A504" s="66"/>
      <c r="B504" s="788"/>
      <c r="D504" s="69"/>
      <c r="E504" s="69"/>
      <c r="F504" s="69"/>
      <c r="G504" s="69"/>
      <c r="H504" s="69"/>
      <c r="I504" s="69"/>
      <c r="J504" s="69"/>
      <c r="K504" s="69"/>
      <c r="L504" s="69"/>
      <c r="M504" s="69"/>
      <c r="N504" s="69"/>
      <c r="O504" s="69"/>
      <c r="P504" s="69"/>
    </row>
    <row r="505" spans="1:16" x14ac:dyDescent="0.2">
      <c r="A505" s="67" t="s">
        <v>63</v>
      </c>
      <c r="B505" s="788"/>
      <c r="D505" s="71">
        <f t="shared" ref="D505:O505" si="156">D514</f>
        <v>0</v>
      </c>
      <c r="E505" s="71">
        <f t="shared" si="156"/>
        <v>0</v>
      </c>
      <c r="F505" s="71">
        <f t="shared" si="156"/>
        <v>0</v>
      </c>
      <c r="G505" s="71">
        <f t="shared" si="156"/>
        <v>0</v>
      </c>
      <c r="H505" s="71">
        <f t="shared" si="156"/>
        <v>0</v>
      </c>
      <c r="I505" s="71">
        <f t="shared" si="156"/>
        <v>0</v>
      </c>
      <c r="J505" s="71">
        <f t="shared" si="156"/>
        <v>0</v>
      </c>
      <c r="K505" s="71">
        <f t="shared" si="156"/>
        <v>0</v>
      </c>
      <c r="L505" s="71">
        <f t="shared" si="156"/>
        <v>0</v>
      </c>
      <c r="M505" s="71">
        <f t="shared" si="156"/>
        <v>0</v>
      </c>
      <c r="N505" s="71">
        <f t="shared" si="156"/>
        <v>0</v>
      </c>
      <c r="O505" s="71">
        <f t="shared" si="156"/>
        <v>0</v>
      </c>
      <c r="P505" s="71">
        <f>SUM(D505:O505)</f>
        <v>0</v>
      </c>
    </row>
    <row r="506" spans="1:16" ht="3.95" customHeight="1" x14ac:dyDescent="0.2">
      <c r="A506" s="66"/>
      <c r="B506" s="788"/>
      <c r="D506" s="79"/>
      <c r="E506" s="79"/>
      <c r="F506" s="79"/>
      <c r="G506" s="79"/>
      <c r="H506" s="79"/>
      <c r="I506" s="79"/>
      <c r="J506" s="79"/>
      <c r="K506" s="79"/>
      <c r="L506" s="79"/>
      <c r="M506" s="79"/>
      <c r="N506" s="79"/>
      <c r="O506" s="79"/>
    </row>
    <row r="507" spans="1:16" x14ac:dyDescent="0.2">
      <c r="A507" s="344" t="s">
        <v>64</v>
      </c>
      <c r="B507" s="793"/>
      <c r="C507" s="264">
        <v>0</v>
      </c>
      <c r="D507" s="87">
        <f t="shared" ref="D507:O507" si="157">SUM(D497:D505)</f>
        <v>0</v>
      </c>
      <c r="E507" s="87">
        <f t="shared" si="157"/>
        <v>0</v>
      </c>
      <c r="F507" s="87">
        <f t="shared" si="157"/>
        <v>0</v>
      </c>
      <c r="G507" s="87">
        <f t="shared" si="157"/>
        <v>0</v>
      </c>
      <c r="H507" s="87">
        <f t="shared" si="157"/>
        <v>0</v>
      </c>
      <c r="I507" s="87">
        <f t="shared" si="157"/>
        <v>0</v>
      </c>
      <c r="J507" s="87">
        <f t="shared" si="157"/>
        <v>0</v>
      </c>
      <c r="K507" s="87">
        <f t="shared" si="157"/>
        <v>0</v>
      </c>
      <c r="L507" s="87">
        <f t="shared" si="157"/>
        <v>0</v>
      </c>
      <c r="M507" s="87">
        <f t="shared" si="157"/>
        <v>0</v>
      </c>
      <c r="N507" s="87">
        <f t="shared" si="157"/>
        <v>0</v>
      </c>
      <c r="O507" s="87">
        <f t="shared" si="157"/>
        <v>0</v>
      </c>
      <c r="P507" s="87">
        <f>SUM(P499:P505)+D497</f>
        <v>0</v>
      </c>
    </row>
    <row r="508" spans="1:16" x14ac:dyDescent="0.2">
      <c r="A508" s="66"/>
      <c r="C508" s="66"/>
      <c r="D508" s="79"/>
      <c r="E508" s="79"/>
      <c r="F508" s="79"/>
      <c r="G508" s="79"/>
      <c r="H508" s="79"/>
      <c r="I508" s="79"/>
      <c r="J508" s="79"/>
      <c r="K508" s="79"/>
      <c r="L508" s="79"/>
      <c r="M508" s="79"/>
      <c r="N508" s="79"/>
      <c r="O508" s="79"/>
    </row>
    <row r="509" spans="1:16" x14ac:dyDescent="0.2">
      <c r="A509" s="626" t="str">
        <f>A61</f>
        <v xml:space="preserve">   Interest Rate </v>
      </c>
      <c r="C509" s="66"/>
      <c r="D509" s="97">
        <f t="shared" ref="D509:O509" si="158">D61</f>
        <v>7.7499999999999999E-2</v>
      </c>
      <c r="E509" s="97">
        <f t="shared" si="158"/>
        <v>7.7499999999999999E-2</v>
      </c>
      <c r="F509" s="97">
        <f t="shared" si="158"/>
        <v>7.7499999999999999E-2</v>
      </c>
      <c r="G509" s="97">
        <f t="shared" si="158"/>
        <v>7.7499999999999999E-2</v>
      </c>
      <c r="H509" s="97">
        <f t="shared" si="158"/>
        <v>7.7499999999999999E-2</v>
      </c>
      <c r="I509" s="97">
        <f t="shared" si="158"/>
        <v>7.7499999999999999E-2</v>
      </c>
      <c r="J509" s="97">
        <f t="shared" si="158"/>
        <v>7.7499999999999999E-2</v>
      </c>
      <c r="K509" s="97">
        <f t="shared" si="158"/>
        <v>7.7499999999999999E-2</v>
      </c>
      <c r="L509" s="97">
        <f t="shared" si="158"/>
        <v>7.7499999999999999E-2</v>
      </c>
      <c r="M509" s="97">
        <f t="shared" si="158"/>
        <v>7.7499999999999999E-2</v>
      </c>
      <c r="N509" s="97">
        <f t="shared" si="158"/>
        <v>7.7499999999999999E-2</v>
      </c>
      <c r="O509" s="97">
        <f t="shared" si="158"/>
        <v>7.7499999999999999E-2</v>
      </c>
    </row>
    <row r="510" spans="1:16" x14ac:dyDescent="0.2">
      <c r="A510" s="626" t="str">
        <f>A62</f>
        <v xml:space="preserve">      Monthly</v>
      </c>
      <c r="C510" s="66"/>
      <c r="D510" s="89">
        <f t="shared" ref="D510:O510" si="159">D62</f>
        <v>6.6E-3</v>
      </c>
      <c r="E510" s="89">
        <f t="shared" si="159"/>
        <v>5.8999999999999999E-3</v>
      </c>
      <c r="F510" s="89">
        <f t="shared" si="159"/>
        <v>6.6E-3</v>
      </c>
      <c r="G510" s="89">
        <f t="shared" si="159"/>
        <v>6.4000000000000003E-3</v>
      </c>
      <c r="H510" s="89">
        <f t="shared" si="159"/>
        <v>6.6E-3</v>
      </c>
      <c r="I510" s="89">
        <f t="shared" si="159"/>
        <v>6.4000000000000003E-3</v>
      </c>
      <c r="J510" s="89">
        <f t="shared" si="159"/>
        <v>6.6E-3</v>
      </c>
      <c r="K510" s="89">
        <f t="shared" si="159"/>
        <v>6.6E-3</v>
      </c>
      <c r="L510" s="89">
        <f t="shared" si="159"/>
        <v>6.4000000000000003E-3</v>
      </c>
      <c r="M510" s="89">
        <f t="shared" si="159"/>
        <v>6.6E-3</v>
      </c>
      <c r="N510" s="89">
        <f t="shared" si="159"/>
        <v>6.4000000000000003E-3</v>
      </c>
      <c r="O510" s="89">
        <f t="shared" si="159"/>
        <v>6.6E-3</v>
      </c>
    </row>
    <row r="511" spans="1:16" ht="12.75" customHeight="1" x14ac:dyDescent="0.2">
      <c r="A511" s="66"/>
      <c r="C511" s="66"/>
    </row>
    <row r="512" spans="1:16" x14ac:dyDescent="0.2">
      <c r="A512" s="624" t="s">
        <v>67</v>
      </c>
      <c r="C512" s="86"/>
      <c r="D512" s="625">
        <f t="shared" ref="D512:O512" si="160">ROUND(C507*D510,0)</f>
        <v>0</v>
      </c>
      <c r="E512" s="625">
        <f t="shared" si="160"/>
        <v>0</v>
      </c>
      <c r="F512" s="625">
        <f t="shared" si="160"/>
        <v>0</v>
      </c>
      <c r="G512" s="625">
        <f t="shared" si="160"/>
        <v>0</v>
      </c>
      <c r="H512" s="625">
        <f t="shared" si="160"/>
        <v>0</v>
      </c>
      <c r="I512" s="625">
        <f t="shared" si="160"/>
        <v>0</v>
      </c>
      <c r="J512" s="625">
        <f t="shared" si="160"/>
        <v>0</v>
      </c>
      <c r="K512" s="625">
        <f t="shared" si="160"/>
        <v>0</v>
      </c>
      <c r="L512" s="625">
        <f t="shared" si="160"/>
        <v>0</v>
      </c>
      <c r="M512" s="625">
        <f t="shared" si="160"/>
        <v>0</v>
      </c>
      <c r="N512" s="625">
        <f t="shared" si="160"/>
        <v>0</v>
      </c>
      <c r="O512" s="625">
        <f t="shared" si="160"/>
        <v>0</v>
      </c>
      <c r="P512" s="625">
        <f>SUM(D512:O512)</f>
        <v>0</v>
      </c>
    </row>
    <row r="513" spans="1:16" x14ac:dyDescent="0.2">
      <c r="A513" s="351" t="s">
        <v>102</v>
      </c>
      <c r="C513" s="86"/>
      <c r="D513" s="267">
        <v>0</v>
      </c>
      <c r="E513" s="267">
        <v>0</v>
      </c>
      <c r="F513" s="267">
        <v>0</v>
      </c>
      <c r="G513" s="267">
        <v>0</v>
      </c>
      <c r="H513" s="267">
        <v>0</v>
      </c>
      <c r="I513" s="267">
        <v>0</v>
      </c>
      <c r="J513" s="267">
        <v>0</v>
      </c>
      <c r="K513" s="267">
        <v>0</v>
      </c>
      <c r="L513" s="267">
        <v>0</v>
      </c>
      <c r="M513" s="267">
        <v>0</v>
      </c>
      <c r="N513" s="267">
        <v>0</v>
      </c>
      <c r="O513" s="267">
        <v>0</v>
      </c>
      <c r="P513" s="71">
        <f>SUM(D513:O513)</f>
        <v>0</v>
      </c>
    </row>
    <row r="514" spans="1:16" x14ac:dyDescent="0.2">
      <c r="A514" s="627" t="str">
        <f>A66</f>
        <v xml:space="preserve">      Total Current Month Carrying Charges</v>
      </c>
      <c r="C514" s="86"/>
      <c r="D514" s="74">
        <f>D512+D513</f>
        <v>0</v>
      </c>
      <c r="E514" s="74">
        <f t="shared" ref="E514:P514" si="161">E512+E513</f>
        <v>0</v>
      </c>
      <c r="F514" s="74">
        <f t="shared" si="161"/>
        <v>0</v>
      </c>
      <c r="G514" s="74">
        <f t="shared" si="161"/>
        <v>0</v>
      </c>
      <c r="H514" s="74">
        <f t="shared" si="161"/>
        <v>0</v>
      </c>
      <c r="I514" s="74">
        <f t="shared" si="161"/>
        <v>0</v>
      </c>
      <c r="J514" s="74">
        <f t="shared" si="161"/>
        <v>0</v>
      </c>
      <c r="K514" s="74">
        <f t="shared" si="161"/>
        <v>0</v>
      </c>
      <c r="L514" s="74">
        <f t="shared" si="161"/>
        <v>0</v>
      </c>
      <c r="M514" s="74">
        <f t="shared" si="161"/>
        <v>0</v>
      </c>
      <c r="N514" s="74">
        <f t="shared" si="161"/>
        <v>0</v>
      </c>
      <c r="O514" s="74">
        <f t="shared" si="161"/>
        <v>0</v>
      </c>
      <c r="P514" s="74">
        <f t="shared" si="161"/>
        <v>0</v>
      </c>
    </row>
    <row r="515" spans="1:16" ht="6" customHeight="1" x14ac:dyDescent="0.2">
      <c r="A515" s="66"/>
      <c r="B515" s="788"/>
    </row>
    <row r="516" spans="1:16" ht="12.75" customHeight="1" x14ac:dyDescent="0.2">
      <c r="A516" s="627" t="str">
        <f>A68</f>
        <v xml:space="preserve">      Cumulative Carrying Charges</v>
      </c>
      <c r="B516" s="788"/>
      <c r="D516" s="69">
        <f>D514</f>
        <v>0</v>
      </c>
      <c r="E516" s="69">
        <f>E514+D516</f>
        <v>0</v>
      </c>
      <c r="F516" s="69">
        <f t="shared" ref="F516:O516" si="162">F514+E516</f>
        <v>0</v>
      </c>
      <c r="G516" s="69">
        <f t="shared" si="162"/>
        <v>0</v>
      </c>
      <c r="H516" s="69">
        <f t="shared" si="162"/>
        <v>0</v>
      </c>
      <c r="I516" s="69">
        <f t="shared" si="162"/>
        <v>0</v>
      </c>
      <c r="J516" s="69">
        <f t="shared" si="162"/>
        <v>0</v>
      </c>
      <c r="K516" s="69">
        <f t="shared" si="162"/>
        <v>0</v>
      </c>
      <c r="L516" s="69">
        <f t="shared" si="162"/>
        <v>0</v>
      </c>
      <c r="M516" s="69">
        <f t="shared" si="162"/>
        <v>0</v>
      </c>
      <c r="N516" s="69">
        <f t="shared" si="162"/>
        <v>0</v>
      </c>
      <c r="O516" s="69">
        <f t="shared" si="162"/>
        <v>0</v>
      </c>
    </row>
    <row r="517" spans="1:16" ht="6" customHeight="1" x14ac:dyDescent="0.2">
      <c r="A517"/>
      <c r="B517" s="788"/>
      <c r="D517"/>
      <c r="E517"/>
      <c r="F517"/>
      <c r="G517"/>
      <c r="H517"/>
      <c r="I517"/>
      <c r="J517"/>
      <c r="K517"/>
      <c r="L517"/>
      <c r="M517"/>
      <c r="N517"/>
      <c r="O517"/>
    </row>
    <row r="519" spans="1:16" x14ac:dyDescent="0.2">
      <c r="A519" s="605" t="str">
        <f ca="1">CELL("FILENAME")</f>
        <v>C:\Users\Felienne\Enron\EnronSpreadsheets\[tracy_geaccone__40367__EMNNG02PL.xls]IncomeState</v>
      </c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</row>
    <row r="520" spans="1:16" x14ac:dyDescent="0.2">
      <c r="A520" s="340" t="s">
        <v>1172</v>
      </c>
    </row>
    <row r="521" spans="1:16" x14ac:dyDescent="0.2">
      <c r="A521" s="552" t="str">
        <f>A3</f>
        <v>2002 OPERATING PLAN</v>
      </c>
      <c r="B521" s="786">
        <f ca="1">NOW()</f>
        <v>41887.551126967592</v>
      </c>
      <c r="C521" s="619" t="s">
        <v>202</v>
      </c>
      <c r="D521" s="337"/>
      <c r="E521" s="59"/>
      <c r="F521" s="59"/>
      <c r="G521" s="59"/>
      <c r="H521" s="60"/>
      <c r="I521" s="60"/>
      <c r="J521" s="60"/>
      <c r="K521" s="59"/>
      <c r="L521" s="59"/>
      <c r="M521" s="59"/>
      <c r="N521" s="59"/>
      <c r="O521" s="59"/>
      <c r="P521" s="59"/>
    </row>
    <row r="522" spans="1:16" ht="12.95" customHeight="1" x14ac:dyDescent="0.2">
      <c r="A522" s="61"/>
      <c r="B522" s="787">
        <f ca="1">NOW()</f>
        <v>41887.551126967592</v>
      </c>
      <c r="C522" s="622" t="str">
        <f t="shared" ref="C522:P522" si="163">C4</f>
        <v>BALANCE</v>
      </c>
      <c r="D522" s="622" t="str">
        <f t="shared" si="163"/>
        <v>JAN</v>
      </c>
      <c r="E522" s="622" t="str">
        <f t="shared" si="163"/>
        <v>FEB</v>
      </c>
      <c r="F522" s="622" t="str">
        <f t="shared" si="163"/>
        <v>MAR</v>
      </c>
      <c r="G522" s="622" t="str">
        <f t="shared" si="163"/>
        <v>APR</v>
      </c>
      <c r="H522" s="622" t="str">
        <f t="shared" si="163"/>
        <v>MAY</v>
      </c>
      <c r="I522" s="622" t="str">
        <f t="shared" si="163"/>
        <v>JUN</v>
      </c>
      <c r="J522" s="622" t="str">
        <f t="shared" si="163"/>
        <v>JUL</v>
      </c>
      <c r="K522" s="622" t="str">
        <f t="shared" si="163"/>
        <v>AUG</v>
      </c>
      <c r="L522" s="622" t="str">
        <f t="shared" si="163"/>
        <v>SEP</v>
      </c>
      <c r="M522" s="622" t="str">
        <f t="shared" si="163"/>
        <v>OCT</v>
      </c>
      <c r="N522" s="622" t="str">
        <f t="shared" si="163"/>
        <v>NOV</v>
      </c>
      <c r="O522" s="622" t="str">
        <f t="shared" si="163"/>
        <v>DEC</v>
      </c>
      <c r="P522" s="622" t="str">
        <f t="shared" si="163"/>
        <v>2002</v>
      </c>
    </row>
    <row r="523" spans="1:16" ht="3.95" customHeight="1" x14ac:dyDescent="0.2"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4"/>
    </row>
    <row r="524" spans="1:16" x14ac:dyDescent="0.2">
      <c r="A524" s="350" t="s">
        <v>203</v>
      </c>
      <c r="B524" s="788"/>
    </row>
    <row r="525" spans="1:16" x14ac:dyDescent="0.2">
      <c r="A525" s="67" t="s">
        <v>204</v>
      </c>
      <c r="B525" s="788"/>
      <c r="D525" s="68">
        <v>0</v>
      </c>
      <c r="E525" s="68">
        <v>0</v>
      </c>
      <c r="F525" s="68">
        <v>0</v>
      </c>
      <c r="G525" s="68">
        <v>0</v>
      </c>
      <c r="H525" s="68">
        <v>0</v>
      </c>
      <c r="I525" s="68">
        <v>0</v>
      </c>
      <c r="J525" s="68">
        <v>0</v>
      </c>
      <c r="K525" s="68">
        <v>0</v>
      </c>
      <c r="L525" s="68">
        <v>0</v>
      </c>
      <c r="M525" s="68">
        <v>0</v>
      </c>
      <c r="N525" s="68">
        <v>0</v>
      </c>
      <c r="O525" s="68">
        <v>0</v>
      </c>
      <c r="P525" s="69">
        <f>SUM(D525:O525)</f>
        <v>0</v>
      </c>
    </row>
    <row r="526" spans="1:16" x14ac:dyDescent="0.2">
      <c r="A526" s="351" t="s">
        <v>205</v>
      </c>
      <c r="D526" s="68">
        <v>0</v>
      </c>
      <c r="E526" s="68">
        <v>0</v>
      </c>
      <c r="F526" s="68">
        <v>0</v>
      </c>
      <c r="G526" s="68">
        <v>0</v>
      </c>
      <c r="H526" s="68">
        <v>0</v>
      </c>
      <c r="I526" s="68">
        <v>0</v>
      </c>
      <c r="J526" s="68">
        <v>0</v>
      </c>
      <c r="K526" s="68">
        <v>0</v>
      </c>
      <c r="L526" s="68">
        <v>0</v>
      </c>
      <c r="M526" s="68">
        <v>0</v>
      </c>
      <c r="N526" s="68">
        <v>0</v>
      </c>
      <c r="O526" s="68">
        <v>0</v>
      </c>
      <c r="P526" s="69">
        <f>SUM(D526:O526)</f>
        <v>0</v>
      </c>
    </row>
    <row r="527" spans="1:16" x14ac:dyDescent="0.2">
      <c r="A527" s="351" t="s">
        <v>206</v>
      </c>
      <c r="D527" s="267">
        <v>0</v>
      </c>
      <c r="E527" s="267">
        <v>0</v>
      </c>
      <c r="F527" s="267">
        <v>0</v>
      </c>
      <c r="G527" s="267">
        <v>0</v>
      </c>
      <c r="H527" s="267">
        <v>0</v>
      </c>
      <c r="I527" s="267">
        <v>0</v>
      </c>
      <c r="J527" s="267">
        <v>0</v>
      </c>
      <c r="K527" s="267">
        <v>0</v>
      </c>
      <c r="L527" s="267">
        <v>0</v>
      </c>
      <c r="M527" s="267">
        <v>0</v>
      </c>
      <c r="N527" s="267">
        <v>0</v>
      </c>
      <c r="O527" s="267">
        <v>0</v>
      </c>
      <c r="P527" s="71">
        <f>SUM(D527:O527)</f>
        <v>0</v>
      </c>
    </row>
    <row r="528" spans="1:16" ht="6" customHeight="1" x14ac:dyDescent="0.2">
      <c r="A528" s="345"/>
    </row>
    <row r="529" spans="1:17" x14ac:dyDescent="0.2">
      <c r="A529" s="67" t="s">
        <v>12</v>
      </c>
      <c r="B529" s="788"/>
      <c r="D529" s="69">
        <f t="shared" ref="D529:O529" si="164">D525+D526+D527</f>
        <v>0</v>
      </c>
      <c r="E529" s="69">
        <f t="shared" si="164"/>
        <v>0</v>
      </c>
      <c r="F529" s="69">
        <f t="shared" si="164"/>
        <v>0</v>
      </c>
      <c r="G529" s="69">
        <f t="shared" si="164"/>
        <v>0</v>
      </c>
      <c r="H529" s="69">
        <f t="shared" si="164"/>
        <v>0</v>
      </c>
      <c r="I529" s="69">
        <f t="shared" si="164"/>
        <v>0</v>
      </c>
      <c r="J529" s="69">
        <f t="shared" si="164"/>
        <v>0</v>
      </c>
      <c r="K529" s="69">
        <f t="shared" si="164"/>
        <v>0</v>
      </c>
      <c r="L529" s="69">
        <f t="shared" si="164"/>
        <v>0</v>
      </c>
      <c r="M529" s="69">
        <f t="shared" si="164"/>
        <v>0</v>
      </c>
      <c r="N529" s="69">
        <f t="shared" si="164"/>
        <v>0</v>
      </c>
      <c r="O529" s="69">
        <f t="shared" si="164"/>
        <v>0</v>
      </c>
      <c r="P529" s="69">
        <f>SUM(D529:O529)</f>
        <v>0</v>
      </c>
    </row>
    <row r="530" spans="1:17" ht="6" customHeight="1" x14ac:dyDescent="0.2">
      <c r="A530" s="345"/>
    </row>
    <row r="531" spans="1:17" x14ac:dyDescent="0.2">
      <c r="A531" s="351" t="s">
        <v>207</v>
      </c>
      <c r="B531" s="788"/>
      <c r="D531" s="72">
        <f t="shared" ref="D531:P531" si="165">IF(D529=0,0,ROUND(D533/D529,4))</f>
        <v>0</v>
      </c>
      <c r="E531" s="72">
        <f t="shared" si="165"/>
        <v>0</v>
      </c>
      <c r="F531" s="72">
        <f t="shared" si="165"/>
        <v>0</v>
      </c>
      <c r="G531" s="72">
        <f t="shared" si="165"/>
        <v>0</v>
      </c>
      <c r="H531" s="72">
        <f t="shared" si="165"/>
        <v>0</v>
      </c>
      <c r="I531" s="72">
        <f t="shared" si="165"/>
        <v>0</v>
      </c>
      <c r="J531" s="72">
        <f t="shared" si="165"/>
        <v>0</v>
      </c>
      <c r="K531" s="72">
        <f t="shared" si="165"/>
        <v>0</v>
      </c>
      <c r="L531" s="72">
        <f t="shared" si="165"/>
        <v>0</v>
      </c>
      <c r="M531" s="72">
        <f t="shared" si="165"/>
        <v>0</v>
      </c>
      <c r="N531" s="72">
        <f t="shared" si="165"/>
        <v>0</v>
      </c>
      <c r="O531" s="72">
        <f t="shared" si="165"/>
        <v>0</v>
      </c>
      <c r="P531" s="72">
        <f t="shared" si="165"/>
        <v>0</v>
      </c>
    </row>
    <row r="532" spans="1:17" ht="6" customHeight="1" x14ac:dyDescent="0.2">
      <c r="A532" s="345"/>
    </row>
    <row r="533" spans="1:17" x14ac:dyDescent="0.2">
      <c r="A533" s="350" t="s">
        <v>83</v>
      </c>
      <c r="B533" s="789"/>
      <c r="C533" s="58"/>
      <c r="D533" s="74">
        <f>Transport!C18</f>
        <v>0</v>
      </c>
      <c r="E533" s="74">
        <f>Transport!D18</f>
        <v>0</v>
      </c>
      <c r="F533" s="74">
        <f>Transport!E18</f>
        <v>0</v>
      </c>
      <c r="G533" s="74">
        <f>Transport!F18</f>
        <v>0</v>
      </c>
      <c r="H533" s="74">
        <f>Transport!G18</f>
        <v>0</v>
      </c>
      <c r="I533" s="74">
        <f>Transport!H18</f>
        <v>0</v>
      </c>
      <c r="J533" s="74">
        <f>Transport!I18</f>
        <v>0</v>
      </c>
      <c r="K533" s="74">
        <f>Transport!J18</f>
        <v>0</v>
      </c>
      <c r="L533" s="74">
        <f>Transport!K18</f>
        <v>0</v>
      </c>
      <c r="M533" s="74">
        <f>Transport!L18</f>
        <v>0</v>
      </c>
      <c r="N533" s="74">
        <f>Transport!M18</f>
        <v>0</v>
      </c>
      <c r="O533" s="74">
        <f>Transport!N18</f>
        <v>0</v>
      </c>
      <c r="P533" s="74">
        <f>SUM(D533:O533)</f>
        <v>0</v>
      </c>
      <c r="Q533" s="75"/>
    </row>
    <row r="534" spans="1:17" ht="6" customHeight="1" x14ac:dyDescent="0.2">
      <c r="A534" s="345"/>
    </row>
    <row r="535" spans="1:17" x14ac:dyDescent="0.2">
      <c r="A535" s="350" t="s">
        <v>208</v>
      </c>
      <c r="D535" s="267">
        <v>0</v>
      </c>
      <c r="E535" s="267">
        <v>0</v>
      </c>
      <c r="F535" s="267">
        <v>0</v>
      </c>
      <c r="G535" s="267">
        <v>0</v>
      </c>
      <c r="H535" s="267">
        <v>0</v>
      </c>
      <c r="I535" s="267">
        <v>0</v>
      </c>
      <c r="J535" s="267">
        <v>0</v>
      </c>
      <c r="K535" s="267">
        <v>0</v>
      </c>
      <c r="L535" s="267">
        <v>0</v>
      </c>
      <c r="M535" s="267">
        <v>0</v>
      </c>
      <c r="N535" s="267">
        <v>0</v>
      </c>
      <c r="O535" s="267">
        <v>0</v>
      </c>
      <c r="P535" s="71">
        <f>SUM(D535:O535)</f>
        <v>0</v>
      </c>
    </row>
    <row r="536" spans="1:17" ht="6" customHeight="1" x14ac:dyDescent="0.2">
      <c r="A536" s="66"/>
      <c r="B536" s="788"/>
    </row>
    <row r="537" spans="1:17" x14ac:dyDescent="0.2">
      <c r="A537" s="67" t="s">
        <v>100</v>
      </c>
      <c r="B537" s="788"/>
      <c r="D537" s="69">
        <f t="shared" ref="D537:O537" si="166">D533-D535</f>
        <v>0</v>
      </c>
      <c r="E537" s="69">
        <f t="shared" si="166"/>
        <v>0</v>
      </c>
      <c r="F537" s="69">
        <f t="shared" si="166"/>
        <v>0</v>
      </c>
      <c r="G537" s="69">
        <f t="shared" si="166"/>
        <v>0</v>
      </c>
      <c r="H537" s="69">
        <f t="shared" si="166"/>
        <v>0</v>
      </c>
      <c r="I537" s="69">
        <f t="shared" si="166"/>
        <v>0</v>
      </c>
      <c r="J537" s="69">
        <f t="shared" si="166"/>
        <v>0</v>
      </c>
      <c r="K537" s="69">
        <f t="shared" si="166"/>
        <v>0</v>
      </c>
      <c r="L537" s="69">
        <f t="shared" si="166"/>
        <v>0</v>
      </c>
      <c r="M537" s="69">
        <f t="shared" si="166"/>
        <v>0</v>
      </c>
      <c r="N537" s="69">
        <f t="shared" si="166"/>
        <v>0</v>
      </c>
      <c r="O537" s="69">
        <f t="shared" si="166"/>
        <v>0</v>
      </c>
      <c r="P537" s="69">
        <f>SUM(D537:O537)</f>
        <v>0</v>
      </c>
      <c r="Q537" s="76"/>
    </row>
    <row r="538" spans="1:17" x14ac:dyDescent="0.2">
      <c r="A538" s="95" t="s">
        <v>180</v>
      </c>
      <c r="D538" s="68">
        <v>0</v>
      </c>
      <c r="E538" s="68">
        <v>0</v>
      </c>
      <c r="F538" s="68">
        <v>0</v>
      </c>
      <c r="G538" s="68">
        <v>0</v>
      </c>
      <c r="H538" s="68">
        <v>0</v>
      </c>
      <c r="I538" s="68">
        <v>0</v>
      </c>
      <c r="J538" s="68">
        <v>0</v>
      </c>
      <c r="K538" s="68">
        <v>0</v>
      </c>
      <c r="L538" s="68">
        <v>0</v>
      </c>
      <c r="M538" s="68">
        <v>0</v>
      </c>
      <c r="N538" s="68">
        <v>0</v>
      </c>
      <c r="O538" s="68">
        <v>0</v>
      </c>
      <c r="P538" s="69">
        <f>SUM(D538:O538)</f>
        <v>0</v>
      </c>
    </row>
    <row r="539" spans="1:17" x14ac:dyDescent="0.2">
      <c r="A539" s="77" t="s">
        <v>1194</v>
      </c>
      <c r="D539" s="68">
        <v>0</v>
      </c>
      <c r="E539" s="68">
        <v>0</v>
      </c>
      <c r="F539" s="68">
        <v>0</v>
      </c>
      <c r="G539" s="68">
        <v>0</v>
      </c>
      <c r="H539" s="68">
        <v>0</v>
      </c>
      <c r="I539" s="68">
        <v>0</v>
      </c>
      <c r="J539" s="68">
        <v>0</v>
      </c>
      <c r="K539" s="68">
        <v>0</v>
      </c>
      <c r="L539" s="68">
        <v>0</v>
      </c>
      <c r="M539" s="68">
        <v>0</v>
      </c>
      <c r="N539" s="68">
        <v>0</v>
      </c>
      <c r="O539" s="68">
        <v>0</v>
      </c>
      <c r="P539" s="69">
        <f>SUM(D539:O539)</f>
        <v>0</v>
      </c>
    </row>
    <row r="540" spans="1:17" x14ac:dyDescent="0.2">
      <c r="A540" s="67" t="s">
        <v>55</v>
      </c>
      <c r="B540" s="788"/>
      <c r="D540" s="267">
        <v>0</v>
      </c>
      <c r="E540" s="267">
        <v>0</v>
      </c>
      <c r="F540" s="267">
        <v>0</v>
      </c>
      <c r="G540" s="267">
        <v>0</v>
      </c>
      <c r="H540" s="267">
        <v>0</v>
      </c>
      <c r="I540" s="267">
        <v>0</v>
      </c>
      <c r="J540" s="267">
        <v>0</v>
      </c>
      <c r="K540" s="267">
        <v>0</v>
      </c>
      <c r="L540" s="267">
        <v>0</v>
      </c>
      <c r="M540" s="267">
        <v>0</v>
      </c>
      <c r="N540" s="267">
        <v>0</v>
      </c>
      <c r="O540" s="267">
        <v>0</v>
      </c>
      <c r="P540" s="71">
        <f>SUM(D540:O540)</f>
        <v>0</v>
      </c>
      <c r="Q540" s="78"/>
    </row>
    <row r="541" spans="1:17" ht="6" customHeight="1" x14ac:dyDescent="0.2">
      <c r="A541" s="66"/>
      <c r="D541" s="79"/>
      <c r="E541" s="79"/>
      <c r="F541" s="79"/>
      <c r="G541" s="79"/>
      <c r="H541" s="79"/>
      <c r="I541" s="79"/>
      <c r="J541" s="79"/>
      <c r="K541" s="79"/>
      <c r="L541" s="79"/>
      <c r="M541" s="79"/>
      <c r="N541" s="79"/>
      <c r="O541" s="79"/>
      <c r="Q541" s="68"/>
    </row>
    <row r="542" spans="1:17" x14ac:dyDescent="0.2">
      <c r="A542" s="346" t="s">
        <v>56</v>
      </c>
      <c r="B542" s="789"/>
      <c r="C542" s="58"/>
      <c r="D542" s="74">
        <f t="shared" ref="D542:P542" si="167">SUM(D537:D540)</f>
        <v>0</v>
      </c>
      <c r="E542" s="74">
        <f t="shared" si="167"/>
        <v>0</v>
      </c>
      <c r="F542" s="74">
        <f t="shared" si="167"/>
        <v>0</v>
      </c>
      <c r="G542" s="74">
        <f t="shared" si="167"/>
        <v>0</v>
      </c>
      <c r="H542" s="74">
        <f t="shared" si="167"/>
        <v>0</v>
      </c>
      <c r="I542" s="74">
        <f t="shared" si="167"/>
        <v>0</v>
      </c>
      <c r="J542" s="74">
        <f t="shared" si="167"/>
        <v>0</v>
      </c>
      <c r="K542" s="74">
        <f t="shared" si="167"/>
        <v>0</v>
      </c>
      <c r="L542" s="74">
        <f t="shared" si="167"/>
        <v>0</v>
      </c>
      <c r="M542" s="74">
        <f t="shared" si="167"/>
        <v>0</v>
      </c>
      <c r="N542" s="74">
        <f t="shared" si="167"/>
        <v>0</v>
      </c>
      <c r="O542" s="74">
        <f t="shared" si="167"/>
        <v>0</v>
      </c>
      <c r="P542" s="74">
        <f t="shared" si="167"/>
        <v>0</v>
      </c>
      <c r="Q542" s="75"/>
    </row>
    <row r="543" spans="1:17" ht="6" customHeight="1" x14ac:dyDescent="0.2">
      <c r="A543" s="347"/>
      <c r="B543" s="789"/>
      <c r="C543" s="58"/>
      <c r="D543" s="80"/>
      <c r="E543" s="8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75"/>
    </row>
    <row r="544" spans="1:17" x14ac:dyDescent="0.2">
      <c r="A544" s="352" t="s">
        <v>209</v>
      </c>
      <c r="B544" s="789"/>
      <c r="C544" s="58"/>
      <c r="D544" s="74">
        <f t="shared" ref="D544:O544" si="168">-1*D542</f>
        <v>0</v>
      </c>
      <c r="E544" s="74">
        <f t="shared" si="168"/>
        <v>0</v>
      </c>
      <c r="F544" s="74">
        <f t="shared" si="168"/>
        <v>0</v>
      </c>
      <c r="G544" s="74">
        <f t="shared" si="168"/>
        <v>0</v>
      </c>
      <c r="H544" s="74">
        <f t="shared" si="168"/>
        <v>0</v>
      </c>
      <c r="I544" s="74">
        <f t="shared" si="168"/>
        <v>0</v>
      </c>
      <c r="J544" s="74">
        <f t="shared" si="168"/>
        <v>0</v>
      </c>
      <c r="K544" s="74">
        <f t="shared" si="168"/>
        <v>0</v>
      </c>
      <c r="L544" s="74">
        <f t="shared" si="168"/>
        <v>0</v>
      </c>
      <c r="M544" s="74">
        <f t="shared" si="168"/>
        <v>0</v>
      </c>
      <c r="N544" s="74">
        <f t="shared" si="168"/>
        <v>0</v>
      </c>
      <c r="O544" s="74">
        <f t="shared" si="168"/>
        <v>0</v>
      </c>
      <c r="P544" s="74">
        <f>SUM(D544:O544)</f>
        <v>0</v>
      </c>
      <c r="Q544" s="75"/>
    </row>
    <row r="545" spans="1:16" x14ac:dyDescent="0.2">
      <c r="A545" s="345"/>
    </row>
    <row r="546" spans="1:16" x14ac:dyDescent="0.2">
      <c r="A546" s="348"/>
      <c r="B546" s="791"/>
      <c r="C546" s="82"/>
      <c r="D546" s="83"/>
      <c r="E546" s="83"/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4"/>
    </row>
    <row r="547" spans="1:16" x14ac:dyDescent="0.2">
      <c r="A547" s="349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</row>
    <row r="548" spans="1:16" x14ac:dyDescent="0.2">
      <c r="A548" s="353" t="s">
        <v>210</v>
      </c>
      <c r="B548" s="788"/>
      <c r="C548" s="622" t="str">
        <f>C47</f>
        <v>DEC.,2001</v>
      </c>
      <c r="D548" s="85"/>
      <c r="E548" s="85"/>
      <c r="F548" s="85"/>
      <c r="G548" s="85"/>
      <c r="H548" s="85"/>
      <c r="I548" s="85"/>
      <c r="J548" s="85"/>
      <c r="K548" s="85"/>
      <c r="L548" s="85"/>
      <c r="M548" s="85"/>
      <c r="N548" s="85"/>
      <c r="O548" s="85"/>
      <c r="P548" s="58"/>
    </row>
    <row r="549" spans="1:16" ht="3.95" customHeight="1" x14ac:dyDescent="0.2">
      <c r="A549" s="66"/>
      <c r="B549" s="788"/>
      <c r="D549" s="79"/>
      <c r="E549" s="79"/>
      <c r="F549" s="79"/>
      <c r="G549" s="79"/>
      <c r="H549" s="79"/>
      <c r="I549" s="79"/>
      <c r="J549" s="79"/>
      <c r="K549" s="79"/>
      <c r="L549" s="79"/>
      <c r="M549" s="79"/>
      <c r="N549" s="79"/>
      <c r="O549" s="79"/>
    </row>
    <row r="550" spans="1:16" x14ac:dyDescent="0.2">
      <c r="A550" s="344" t="s">
        <v>59</v>
      </c>
      <c r="B550" s="788"/>
      <c r="D550" s="69">
        <f t="shared" ref="D550:O550" si="169">C560</f>
        <v>0</v>
      </c>
      <c r="E550" s="69">
        <f t="shared" si="169"/>
        <v>0</v>
      </c>
      <c r="F550" s="69">
        <f t="shared" si="169"/>
        <v>0</v>
      </c>
      <c r="G550" s="69">
        <f t="shared" si="169"/>
        <v>0</v>
      </c>
      <c r="H550" s="69">
        <f t="shared" si="169"/>
        <v>0</v>
      </c>
      <c r="I550" s="69">
        <f t="shared" si="169"/>
        <v>0</v>
      </c>
      <c r="J550" s="69">
        <f t="shared" si="169"/>
        <v>0</v>
      </c>
      <c r="K550" s="69">
        <f t="shared" si="169"/>
        <v>0</v>
      </c>
      <c r="L550" s="69">
        <f t="shared" si="169"/>
        <v>0</v>
      </c>
      <c r="M550" s="69">
        <f t="shared" si="169"/>
        <v>0</v>
      </c>
      <c r="N550" s="69">
        <f t="shared" si="169"/>
        <v>0</v>
      </c>
      <c r="O550" s="69">
        <f t="shared" si="169"/>
        <v>0</v>
      </c>
      <c r="P550" s="69"/>
    </row>
    <row r="551" spans="1:16" ht="3.95" customHeight="1" x14ac:dyDescent="0.2">
      <c r="A551" s="345"/>
    </row>
    <row r="552" spans="1:16" x14ac:dyDescent="0.2">
      <c r="A552" s="95" t="s">
        <v>211</v>
      </c>
      <c r="B552" s="91"/>
      <c r="D552" s="68">
        <v>0</v>
      </c>
      <c r="E552" s="68">
        <v>0</v>
      </c>
      <c r="F552" s="68">
        <v>0</v>
      </c>
      <c r="G552" s="68">
        <v>0</v>
      </c>
      <c r="H552" s="68">
        <v>0</v>
      </c>
      <c r="I552" s="68">
        <v>0</v>
      </c>
      <c r="J552" s="68">
        <v>0</v>
      </c>
      <c r="K552" s="68">
        <v>0</v>
      </c>
      <c r="L552" s="68">
        <v>0</v>
      </c>
      <c r="M552" s="68">
        <v>0</v>
      </c>
      <c r="N552" s="68">
        <v>0</v>
      </c>
      <c r="O552" s="68">
        <v>0</v>
      </c>
      <c r="P552" s="69">
        <f>SUM(D552:O552)</f>
        <v>0</v>
      </c>
    </row>
    <row r="553" spans="1:16" ht="3.95" customHeight="1" x14ac:dyDescent="0.2">
      <c r="A553" s="79"/>
      <c r="B553" s="788"/>
      <c r="D553" s="69"/>
      <c r="E553" s="69"/>
      <c r="F553" s="69"/>
      <c r="G553" s="69"/>
      <c r="H553" s="69"/>
      <c r="I553" s="69"/>
      <c r="J553" s="69"/>
      <c r="K553" s="69"/>
      <c r="L553" s="69"/>
      <c r="M553" s="69"/>
      <c r="N553" s="69"/>
      <c r="O553" s="69"/>
    </row>
    <row r="554" spans="1:16" x14ac:dyDescent="0.2">
      <c r="A554" s="95" t="s">
        <v>212</v>
      </c>
      <c r="B554" s="788"/>
      <c r="D554" s="68">
        <v>0</v>
      </c>
      <c r="E554" s="68">
        <v>0</v>
      </c>
      <c r="F554" s="68">
        <v>0</v>
      </c>
      <c r="G554" s="68">
        <v>0</v>
      </c>
      <c r="H554" s="68">
        <v>0</v>
      </c>
      <c r="I554" s="68">
        <v>0</v>
      </c>
      <c r="J554" s="68">
        <v>0</v>
      </c>
      <c r="K554" s="68">
        <v>0</v>
      </c>
      <c r="L554" s="68">
        <v>0</v>
      </c>
      <c r="M554" s="68">
        <v>0</v>
      </c>
      <c r="N554" s="68">
        <v>0</v>
      </c>
      <c r="O554" s="68">
        <v>0</v>
      </c>
      <c r="P554" s="69">
        <f>SUM(D554:O554)</f>
        <v>0</v>
      </c>
    </row>
    <row r="555" spans="1:16" ht="3.95" customHeight="1" x14ac:dyDescent="0.2">
      <c r="A555" s="66"/>
      <c r="B555" s="788"/>
      <c r="D555" s="69"/>
      <c r="E555" s="69"/>
      <c r="F555" s="69"/>
      <c r="G555" s="69"/>
      <c r="H555" s="69"/>
      <c r="I555" s="69"/>
      <c r="J555" s="69"/>
      <c r="K555" s="69"/>
      <c r="L555" s="69"/>
      <c r="M555" s="69"/>
      <c r="N555" s="69"/>
      <c r="O555" s="69"/>
      <c r="P555" s="69"/>
    </row>
    <row r="556" spans="1:16" x14ac:dyDescent="0.2">
      <c r="A556" s="67" t="s">
        <v>236</v>
      </c>
      <c r="B556" s="788"/>
      <c r="D556" s="69">
        <f t="shared" ref="D556:O556" si="170">D544</f>
        <v>0</v>
      </c>
      <c r="E556" s="69">
        <f t="shared" si="170"/>
        <v>0</v>
      </c>
      <c r="F556" s="69">
        <f t="shared" si="170"/>
        <v>0</v>
      </c>
      <c r="G556" s="69">
        <f t="shared" si="170"/>
        <v>0</v>
      </c>
      <c r="H556" s="69">
        <f t="shared" si="170"/>
        <v>0</v>
      </c>
      <c r="I556" s="69">
        <f t="shared" si="170"/>
        <v>0</v>
      </c>
      <c r="J556" s="69">
        <f t="shared" si="170"/>
        <v>0</v>
      </c>
      <c r="K556" s="69">
        <f t="shared" si="170"/>
        <v>0</v>
      </c>
      <c r="L556" s="69">
        <f t="shared" si="170"/>
        <v>0</v>
      </c>
      <c r="M556" s="69">
        <f t="shared" si="170"/>
        <v>0</v>
      </c>
      <c r="N556" s="69">
        <f t="shared" si="170"/>
        <v>0</v>
      </c>
      <c r="O556" s="69">
        <f t="shared" si="170"/>
        <v>0</v>
      </c>
      <c r="P556" s="69">
        <f>SUM(D556:O556)</f>
        <v>0</v>
      </c>
    </row>
    <row r="557" spans="1:16" ht="3.95" customHeight="1" x14ac:dyDescent="0.2">
      <c r="A557" s="66"/>
      <c r="B557" s="788"/>
      <c r="D557" s="69"/>
      <c r="E557" s="69"/>
      <c r="F557" s="69"/>
      <c r="G557" s="69"/>
      <c r="H557" s="69"/>
      <c r="I557" s="69"/>
      <c r="J557" s="69"/>
      <c r="K557" s="69"/>
      <c r="L557" s="69"/>
      <c r="M557" s="69"/>
      <c r="N557" s="69"/>
      <c r="O557" s="69"/>
      <c r="P557" s="69"/>
    </row>
    <row r="558" spans="1:16" x14ac:dyDescent="0.2">
      <c r="A558" s="67" t="s">
        <v>111</v>
      </c>
      <c r="B558" s="788"/>
      <c r="D558" s="631">
        <f t="shared" ref="D558:O558" si="171">D567</f>
        <v>0</v>
      </c>
      <c r="E558" s="631">
        <f t="shared" si="171"/>
        <v>0</v>
      </c>
      <c r="F558" s="631">
        <f t="shared" si="171"/>
        <v>0</v>
      </c>
      <c r="G558" s="631">
        <f t="shared" si="171"/>
        <v>0</v>
      </c>
      <c r="H558" s="631">
        <f t="shared" si="171"/>
        <v>0</v>
      </c>
      <c r="I558" s="631">
        <f t="shared" si="171"/>
        <v>0</v>
      </c>
      <c r="J558" s="631">
        <f t="shared" si="171"/>
        <v>0</v>
      </c>
      <c r="K558" s="631">
        <f t="shared" si="171"/>
        <v>0</v>
      </c>
      <c r="L558" s="631">
        <f t="shared" si="171"/>
        <v>0</v>
      </c>
      <c r="M558" s="631">
        <f t="shared" si="171"/>
        <v>0</v>
      </c>
      <c r="N558" s="631">
        <f t="shared" si="171"/>
        <v>0</v>
      </c>
      <c r="O558" s="631">
        <f t="shared" si="171"/>
        <v>0</v>
      </c>
      <c r="P558" s="71">
        <f>SUM(D558:O558)</f>
        <v>0</v>
      </c>
    </row>
    <row r="559" spans="1:16" ht="3.95" customHeight="1" x14ac:dyDescent="0.2">
      <c r="A559" s="66"/>
      <c r="B559" s="788"/>
      <c r="D559" s="79"/>
      <c r="E559" s="79"/>
      <c r="F559" s="79"/>
      <c r="G559" s="79"/>
      <c r="H559" s="79"/>
      <c r="I559" s="79"/>
      <c r="J559" s="79"/>
      <c r="K559" s="79"/>
      <c r="L559" s="79"/>
      <c r="M559" s="79"/>
      <c r="N559" s="79"/>
      <c r="O559" s="79"/>
    </row>
    <row r="560" spans="1:16" x14ac:dyDescent="0.2">
      <c r="A560" s="344" t="s">
        <v>64</v>
      </c>
      <c r="C560" s="264">
        <v>0</v>
      </c>
      <c r="D560" s="87">
        <f t="shared" ref="D560:O560" si="172">SUM(D550:D558)</f>
        <v>0</v>
      </c>
      <c r="E560" s="87">
        <f t="shared" si="172"/>
        <v>0</v>
      </c>
      <c r="F560" s="87">
        <f t="shared" si="172"/>
        <v>0</v>
      </c>
      <c r="G560" s="87">
        <f t="shared" si="172"/>
        <v>0</v>
      </c>
      <c r="H560" s="87">
        <f t="shared" si="172"/>
        <v>0</v>
      </c>
      <c r="I560" s="87">
        <f t="shared" si="172"/>
        <v>0</v>
      </c>
      <c r="J560" s="87">
        <f t="shared" si="172"/>
        <v>0</v>
      </c>
      <c r="K560" s="87">
        <f t="shared" si="172"/>
        <v>0</v>
      </c>
      <c r="L560" s="87">
        <f t="shared" si="172"/>
        <v>0</v>
      </c>
      <c r="M560" s="87">
        <f t="shared" si="172"/>
        <v>0</v>
      </c>
      <c r="N560" s="87">
        <f t="shared" si="172"/>
        <v>0</v>
      </c>
      <c r="O560" s="87">
        <f t="shared" si="172"/>
        <v>0</v>
      </c>
      <c r="P560" s="87">
        <f>SUM(P552:P558)+D550</f>
        <v>0</v>
      </c>
    </row>
    <row r="561" spans="1:16" x14ac:dyDescent="0.2">
      <c r="A561" s="66"/>
      <c r="B561" s="788"/>
      <c r="D561" s="79"/>
      <c r="E561" s="79"/>
      <c r="F561" s="79"/>
      <c r="G561" s="79"/>
      <c r="H561" s="79"/>
      <c r="I561" s="79"/>
      <c r="J561" s="79"/>
      <c r="K561" s="79"/>
      <c r="L561" s="79"/>
      <c r="M561" s="79"/>
      <c r="N561" s="79"/>
      <c r="O561" s="79"/>
    </row>
    <row r="562" spans="1:16" x14ac:dyDescent="0.2">
      <c r="A562" s="632" t="str">
        <f>A61</f>
        <v xml:space="preserve">   Interest Rate </v>
      </c>
      <c r="B562" s="788"/>
      <c r="D562" s="97">
        <f t="shared" ref="D562:O562" si="173">D61</f>
        <v>7.7499999999999999E-2</v>
      </c>
      <c r="E562" s="97">
        <f t="shared" si="173"/>
        <v>7.7499999999999999E-2</v>
      </c>
      <c r="F562" s="97">
        <f t="shared" si="173"/>
        <v>7.7499999999999999E-2</v>
      </c>
      <c r="G562" s="97">
        <f t="shared" si="173"/>
        <v>7.7499999999999999E-2</v>
      </c>
      <c r="H562" s="97">
        <f t="shared" si="173"/>
        <v>7.7499999999999999E-2</v>
      </c>
      <c r="I562" s="97">
        <f t="shared" si="173"/>
        <v>7.7499999999999999E-2</v>
      </c>
      <c r="J562" s="97">
        <f t="shared" si="173"/>
        <v>7.7499999999999999E-2</v>
      </c>
      <c r="K562" s="97">
        <f t="shared" si="173"/>
        <v>7.7499999999999999E-2</v>
      </c>
      <c r="L562" s="97">
        <f t="shared" si="173"/>
        <v>7.7499999999999999E-2</v>
      </c>
      <c r="M562" s="97">
        <f t="shared" si="173"/>
        <v>7.7499999999999999E-2</v>
      </c>
      <c r="N562" s="97">
        <f t="shared" si="173"/>
        <v>7.7499999999999999E-2</v>
      </c>
      <c r="O562" s="97">
        <f t="shared" si="173"/>
        <v>7.7499999999999999E-2</v>
      </c>
    </row>
    <row r="563" spans="1:16" x14ac:dyDescent="0.2">
      <c r="A563" s="632" t="str">
        <f>A62</f>
        <v xml:space="preserve">      Monthly</v>
      </c>
      <c r="B563" s="788"/>
      <c r="D563" s="89">
        <f t="shared" ref="D563:O563" si="174">D62</f>
        <v>6.6E-3</v>
      </c>
      <c r="E563" s="89">
        <f t="shared" si="174"/>
        <v>5.8999999999999999E-3</v>
      </c>
      <c r="F563" s="89">
        <f t="shared" si="174"/>
        <v>6.6E-3</v>
      </c>
      <c r="G563" s="89">
        <f t="shared" si="174"/>
        <v>6.4000000000000003E-3</v>
      </c>
      <c r="H563" s="89">
        <f t="shared" si="174"/>
        <v>6.6E-3</v>
      </c>
      <c r="I563" s="89">
        <f t="shared" si="174"/>
        <v>6.4000000000000003E-3</v>
      </c>
      <c r="J563" s="89">
        <f t="shared" si="174"/>
        <v>6.6E-3</v>
      </c>
      <c r="K563" s="89">
        <f t="shared" si="174"/>
        <v>6.6E-3</v>
      </c>
      <c r="L563" s="89">
        <f t="shared" si="174"/>
        <v>6.4000000000000003E-3</v>
      </c>
      <c r="M563" s="89">
        <f t="shared" si="174"/>
        <v>6.6E-3</v>
      </c>
      <c r="N563" s="89">
        <f t="shared" si="174"/>
        <v>6.4000000000000003E-3</v>
      </c>
      <c r="O563" s="89">
        <f t="shared" si="174"/>
        <v>6.6E-3</v>
      </c>
    </row>
    <row r="564" spans="1:16" x14ac:dyDescent="0.2">
      <c r="A564" s="66"/>
      <c r="B564" s="788"/>
    </row>
    <row r="565" spans="1:16" x14ac:dyDescent="0.2">
      <c r="A565" s="624" t="s">
        <v>67</v>
      </c>
      <c r="C565" s="86"/>
      <c r="D565" s="625">
        <f t="shared" ref="D565:O565" si="175">ROUND(C560*D563,0)</f>
        <v>0</v>
      </c>
      <c r="E565" s="625">
        <f t="shared" si="175"/>
        <v>0</v>
      </c>
      <c r="F565" s="625">
        <f t="shared" si="175"/>
        <v>0</v>
      </c>
      <c r="G565" s="625">
        <f t="shared" si="175"/>
        <v>0</v>
      </c>
      <c r="H565" s="625">
        <f t="shared" si="175"/>
        <v>0</v>
      </c>
      <c r="I565" s="625">
        <f t="shared" si="175"/>
        <v>0</v>
      </c>
      <c r="J565" s="625">
        <f t="shared" si="175"/>
        <v>0</v>
      </c>
      <c r="K565" s="625">
        <f t="shared" si="175"/>
        <v>0</v>
      </c>
      <c r="L565" s="625">
        <f t="shared" si="175"/>
        <v>0</v>
      </c>
      <c r="M565" s="625">
        <f t="shared" si="175"/>
        <v>0</v>
      </c>
      <c r="N565" s="625">
        <f t="shared" si="175"/>
        <v>0</v>
      </c>
      <c r="O565" s="625">
        <f t="shared" si="175"/>
        <v>0</v>
      </c>
      <c r="P565" s="625">
        <f>SUM(D565:O565)</f>
        <v>0</v>
      </c>
    </row>
    <row r="566" spans="1:16" x14ac:dyDescent="0.2">
      <c r="A566" s="351" t="s">
        <v>102</v>
      </c>
      <c r="C566" s="86"/>
      <c r="D566" s="267">
        <v>0</v>
      </c>
      <c r="E566" s="267">
        <v>0</v>
      </c>
      <c r="F566" s="267">
        <v>0</v>
      </c>
      <c r="G566" s="267">
        <v>0</v>
      </c>
      <c r="H566" s="267">
        <v>0</v>
      </c>
      <c r="I566" s="267">
        <v>0</v>
      </c>
      <c r="J566" s="267">
        <v>0</v>
      </c>
      <c r="K566" s="267">
        <v>0</v>
      </c>
      <c r="L566" s="267">
        <v>0</v>
      </c>
      <c r="M566" s="267">
        <v>0</v>
      </c>
      <c r="N566" s="267">
        <v>0</v>
      </c>
      <c r="O566" s="267">
        <v>0</v>
      </c>
      <c r="P566" s="71">
        <f>SUM(D566:O566)</f>
        <v>0</v>
      </c>
    </row>
    <row r="567" spans="1:16" x14ac:dyDescent="0.2">
      <c r="A567" s="627" t="str">
        <f>A66</f>
        <v xml:space="preserve">      Total Current Month Carrying Charges</v>
      </c>
      <c r="C567" s="86"/>
      <c r="D567" s="74">
        <f>D565+D566</f>
        <v>0</v>
      </c>
      <c r="E567" s="74">
        <f t="shared" ref="E567:P567" si="176">E565+E566</f>
        <v>0</v>
      </c>
      <c r="F567" s="74">
        <f t="shared" si="176"/>
        <v>0</v>
      </c>
      <c r="G567" s="74">
        <f t="shared" si="176"/>
        <v>0</v>
      </c>
      <c r="H567" s="74">
        <f t="shared" si="176"/>
        <v>0</v>
      </c>
      <c r="I567" s="74">
        <f t="shared" si="176"/>
        <v>0</v>
      </c>
      <c r="J567" s="74">
        <f t="shared" si="176"/>
        <v>0</v>
      </c>
      <c r="K567" s="74">
        <f t="shared" si="176"/>
        <v>0</v>
      </c>
      <c r="L567" s="74">
        <f t="shared" si="176"/>
        <v>0</v>
      </c>
      <c r="M567" s="74">
        <f t="shared" si="176"/>
        <v>0</v>
      </c>
      <c r="N567" s="74">
        <f t="shared" si="176"/>
        <v>0</v>
      </c>
      <c r="O567" s="74">
        <f t="shared" si="176"/>
        <v>0</v>
      </c>
      <c r="P567" s="74">
        <f t="shared" si="176"/>
        <v>0</v>
      </c>
    </row>
    <row r="568" spans="1:16" ht="6" customHeight="1" x14ac:dyDescent="0.2">
      <c r="A568" s="66"/>
      <c r="B568" s="788"/>
    </row>
    <row r="569" spans="1:16" x14ac:dyDescent="0.2">
      <c r="A569" s="627" t="str">
        <f>A68</f>
        <v xml:space="preserve">      Cumulative Carrying Charges</v>
      </c>
      <c r="B569" s="788"/>
      <c r="D569" s="69">
        <f>D567</f>
        <v>0</v>
      </c>
      <c r="E569" s="69">
        <f>E567+D569</f>
        <v>0</v>
      </c>
      <c r="F569" s="69">
        <f t="shared" ref="F569:O569" si="177">F567+E569</f>
        <v>0</v>
      </c>
      <c r="G569" s="69">
        <f t="shared" si="177"/>
        <v>0</v>
      </c>
      <c r="H569" s="69">
        <f t="shared" si="177"/>
        <v>0</v>
      </c>
      <c r="I569" s="69">
        <f t="shared" si="177"/>
        <v>0</v>
      </c>
      <c r="J569" s="69">
        <f t="shared" si="177"/>
        <v>0</v>
      </c>
      <c r="K569" s="69">
        <f t="shared" si="177"/>
        <v>0</v>
      </c>
      <c r="L569" s="69">
        <f t="shared" si="177"/>
        <v>0</v>
      </c>
      <c r="M569" s="69">
        <f t="shared" si="177"/>
        <v>0</v>
      </c>
      <c r="N569" s="69">
        <f t="shared" si="177"/>
        <v>0</v>
      </c>
      <c r="O569" s="69">
        <f t="shared" si="177"/>
        <v>0</v>
      </c>
    </row>
    <row r="570" spans="1:16" ht="6" customHeight="1" x14ac:dyDescent="0.2"/>
    <row r="572" spans="1:16" x14ac:dyDescent="0.2">
      <c r="A572" s="605" t="str">
        <f ca="1">CELL("FILENAME")</f>
        <v>C:\Users\Felienne\Enron\EnronSpreadsheets\[tracy_geaccone__40367__EMNNG02PL.xls]IncomeState</v>
      </c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</row>
    <row r="573" spans="1:16" x14ac:dyDescent="0.2">
      <c r="A573" s="340" t="s">
        <v>237</v>
      </c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</row>
    <row r="574" spans="1:16" x14ac:dyDescent="0.2">
      <c r="A574" s="355" t="str">
        <f>A3</f>
        <v>2002 OPERATING PLAN</v>
      </c>
      <c r="B574" s="786">
        <f ca="1">NOW()</f>
        <v>41887.551126967592</v>
      </c>
      <c r="C574" s="489" t="s">
        <v>238</v>
      </c>
      <c r="D574" s="60"/>
      <c r="E574" s="59"/>
      <c r="F574" s="59"/>
      <c r="G574" s="60"/>
      <c r="H574" s="60"/>
      <c r="I574" s="60"/>
      <c r="J574" s="59"/>
      <c r="K574" s="59"/>
      <c r="L574" s="59"/>
      <c r="M574" s="59"/>
      <c r="N574" s="59"/>
      <c r="O574" s="59"/>
      <c r="P574" s="90"/>
    </row>
    <row r="575" spans="1:16" ht="12.95" customHeight="1" x14ac:dyDescent="0.2">
      <c r="A575" s="61"/>
      <c r="B575" s="787">
        <f ca="1">NOW()</f>
        <v>41887.551126967592</v>
      </c>
      <c r="C575" s="338" t="str">
        <f t="shared" ref="C575:P575" si="178">C4</f>
        <v>BALANCE</v>
      </c>
      <c r="D575" s="338" t="str">
        <f t="shared" si="178"/>
        <v>JAN</v>
      </c>
      <c r="E575" s="338" t="str">
        <f t="shared" si="178"/>
        <v>FEB</v>
      </c>
      <c r="F575" s="338" t="str">
        <f t="shared" si="178"/>
        <v>MAR</v>
      </c>
      <c r="G575" s="338" t="str">
        <f t="shared" si="178"/>
        <v>APR</v>
      </c>
      <c r="H575" s="338" t="str">
        <f t="shared" si="178"/>
        <v>MAY</v>
      </c>
      <c r="I575" s="338" t="str">
        <f t="shared" si="178"/>
        <v>JUN</v>
      </c>
      <c r="J575" s="338" t="str">
        <f t="shared" si="178"/>
        <v>JUL</v>
      </c>
      <c r="K575" s="338" t="str">
        <f t="shared" si="178"/>
        <v>AUG</v>
      </c>
      <c r="L575" s="338" t="str">
        <f t="shared" si="178"/>
        <v>SEP</v>
      </c>
      <c r="M575" s="338" t="str">
        <f t="shared" si="178"/>
        <v>OCT</v>
      </c>
      <c r="N575" s="338" t="str">
        <f t="shared" si="178"/>
        <v>NOV</v>
      </c>
      <c r="O575" s="338" t="str">
        <f t="shared" si="178"/>
        <v>DEC</v>
      </c>
      <c r="P575" s="338" t="str">
        <f t="shared" si="178"/>
        <v>2002</v>
      </c>
    </row>
    <row r="576" spans="1:16" ht="3.95" customHeight="1" x14ac:dyDescent="0.2">
      <c r="D576" s="85"/>
      <c r="E576" s="85"/>
      <c r="F576" s="85"/>
      <c r="G576" s="85"/>
      <c r="H576" s="85"/>
      <c r="I576" s="85"/>
      <c r="J576" s="85"/>
      <c r="K576" s="85"/>
      <c r="L576" s="85"/>
      <c r="M576" s="85"/>
      <c r="N576" s="85"/>
      <c r="O576" s="85"/>
      <c r="P576" s="58"/>
    </row>
    <row r="577" spans="1:17" x14ac:dyDescent="0.2">
      <c r="A577" s="350" t="s">
        <v>239</v>
      </c>
      <c r="B577" s="788"/>
    </row>
    <row r="578" spans="1:17" x14ac:dyDescent="0.2">
      <c r="A578" s="67" t="s">
        <v>9</v>
      </c>
      <c r="B578" s="788"/>
      <c r="D578" s="69">
        <f t="shared" ref="D578:O578" si="179">D7</f>
        <v>0</v>
      </c>
      <c r="E578" s="69">
        <f t="shared" si="179"/>
        <v>0</v>
      </c>
      <c r="F578" s="69">
        <f t="shared" si="179"/>
        <v>0</v>
      </c>
      <c r="G578" s="69">
        <f t="shared" si="179"/>
        <v>0</v>
      </c>
      <c r="H578" s="69">
        <f t="shared" si="179"/>
        <v>0</v>
      </c>
      <c r="I578" s="69">
        <f t="shared" si="179"/>
        <v>0</v>
      </c>
      <c r="J578" s="69">
        <f t="shared" si="179"/>
        <v>0</v>
      </c>
      <c r="K578" s="69">
        <f t="shared" si="179"/>
        <v>0</v>
      </c>
      <c r="L578" s="69">
        <f t="shared" si="179"/>
        <v>0</v>
      </c>
      <c r="M578" s="69">
        <f t="shared" si="179"/>
        <v>0</v>
      </c>
      <c r="N578" s="69">
        <f t="shared" si="179"/>
        <v>0</v>
      </c>
      <c r="O578" s="69">
        <f t="shared" si="179"/>
        <v>0</v>
      </c>
      <c r="P578" s="69">
        <f>SUM(D578:O578)</f>
        <v>0</v>
      </c>
    </row>
    <row r="579" spans="1:17" x14ac:dyDescent="0.2">
      <c r="A579" s="351" t="s">
        <v>82</v>
      </c>
      <c r="D579" s="69">
        <f t="shared" ref="D579:O579" si="180">D8</f>
        <v>0</v>
      </c>
      <c r="E579" s="69">
        <f t="shared" si="180"/>
        <v>0</v>
      </c>
      <c r="F579" s="69">
        <f t="shared" si="180"/>
        <v>0</v>
      </c>
      <c r="G579" s="69">
        <f t="shared" si="180"/>
        <v>0</v>
      </c>
      <c r="H579" s="69">
        <f t="shared" si="180"/>
        <v>0</v>
      </c>
      <c r="I579" s="69">
        <f t="shared" si="180"/>
        <v>0</v>
      </c>
      <c r="J579" s="69">
        <f t="shared" si="180"/>
        <v>0</v>
      </c>
      <c r="K579" s="69">
        <f t="shared" si="180"/>
        <v>0</v>
      </c>
      <c r="L579" s="69">
        <f t="shared" si="180"/>
        <v>0</v>
      </c>
      <c r="M579" s="69">
        <f t="shared" si="180"/>
        <v>0</v>
      </c>
      <c r="N579" s="69">
        <f t="shared" si="180"/>
        <v>0</v>
      </c>
      <c r="O579" s="69">
        <f t="shared" si="180"/>
        <v>0</v>
      </c>
      <c r="P579" s="69">
        <f>SUM(D579:O579)</f>
        <v>0</v>
      </c>
    </row>
    <row r="580" spans="1:17" x14ac:dyDescent="0.2">
      <c r="A580" s="351" t="s">
        <v>85</v>
      </c>
      <c r="D580" s="71">
        <f t="shared" ref="D580:O580" si="181">D9</f>
        <v>0</v>
      </c>
      <c r="E580" s="71">
        <f t="shared" si="181"/>
        <v>0</v>
      </c>
      <c r="F580" s="71">
        <f t="shared" si="181"/>
        <v>0</v>
      </c>
      <c r="G580" s="71">
        <f t="shared" si="181"/>
        <v>0</v>
      </c>
      <c r="H580" s="71">
        <f t="shared" si="181"/>
        <v>0</v>
      </c>
      <c r="I580" s="71">
        <f t="shared" si="181"/>
        <v>0</v>
      </c>
      <c r="J580" s="71">
        <f t="shared" si="181"/>
        <v>0</v>
      </c>
      <c r="K580" s="71">
        <f t="shared" si="181"/>
        <v>0</v>
      </c>
      <c r="L580" s="71">
        <f t="shared" si="181"/>
        <v>0</v>
      </c>
      <c r="M580" s="71">
        <f t="shared" si="181"/>
        <v>0</v>
      </c>
      <c r="N580" s="71">
        <f t="shared" si="181"/>
        <v>0</v>
      </c>
      <c r="O580" s="71">
        <f t="shared" si="181"/>
        <v>0</v>
      </c>
      <c r="P580" s="71">
        <f>SUM(D580:O580)</f>
        <v>0</v>
      </c>
    </row>
    <row r="581" spans="1:17" ht="3.95" customHeight="1" x14ac:dyDescent="0.2">
      <c r="A581" s="79"/>
    </row>
    <row r="582" spans="1:17" x14ac:dyDescent="0.2">
      <c r="A582" s="67" t="s">
        <v>12</v>
      </c>
      <c r="B582" s="788"/>
      <c r="D582" s="69">
        <f t="shared" ref="D582:O582" si="182">D578+D579+D580</f>
        <v>0</v>
      </c>
      <c r="E582" s="69">
        <f t="shared" si="182"/>
        <v>0</v>
      </c>
      <c r="F582" s="69">
        <f t="shared" si="182"/>
        <v>0</v>
      </c>
      <c r="G582" s="69">
        <f t="shared" si="182"/>
        <v>0</v>
      </c>
      <c r="H582" s="69">
        <f t="shared" si="182"/>
        <v>0</v>
      </c>
      <c r="I582" s="69">
        <f t="shared" si="182"/>
        <v>0</v>
      </c>
      <c r="J582" s="69">
        <f t="shared" si="182"/>
        <v>0</v>
      </c>
      <c r="K582" s="69">
        <f t="shared" si="182"/>
        <v>0</v>
      </c>
      <c r="L582" s="69">
        <f t="shared" si="182"/>
        <v>0</v>
      </c>
      <c r="M582" s="69">
        <f t="shared" si="182"/>
        <v>0</v>
      </c>
      <c r="N582" s="69">
        <f t="shared" si="182"/>
        <v>0</v>
      </c>
      <c r="O582" s="69">
        <f t="shared" si="182"/>
        <v>0</v>
      </c>
      <c r="P582" s="69">
        <f>SUM(D582:O582)</f>
        <v>0</v>
      </c>
    </row>
    <row r="583" spans="1:17" ht="3.95" customHeight="1" x14ac:dyDescent="0.2">
      <c r="A583" s="345"/>
    </row>
    <row r="584" spans="1:17" x14ac:dyDescent="0.2">
      <c r="A584" s="351" t="s">
        <v>240</v>
      </c>
      <c r="B584" s="788"/>
      <c r="D584" s="72">
        <f t="shared" ref="D584:P584" si="183">IF(D582=0,0,ROUND(D586/D582,4))</f>
        <v>0</v>
      </c>
      <c r="E584" s="72">
        <f t="shared" si="183"/>
        <v>0</v>
      </c>
      <c r="F584" s="72">
        <f t="shared" si="183"/>
        <v>0</v>
      </c>
      <c r="G584" s="72">
        <f t="shared" si="183"/>
        <v>0</v>
      </c>
      <c r="H584" s="72">
        <f t="shared" si="183"/>
        <v>0</v>
      </c>
      <c r="I584" s="72">
        <f t="shared" si="183"/>
        <v>0</v>
      </c>
      <c r="J584" s="72">
        <f t="shared" si="183"/>
        <v>0</v>
      </c>
      <c r="K584" s="72">
        <f t="shared" si="183"/>
        <v>0</v>
      </c>
      <c r="L584" s="72">
        <f t="shared" si="183"/>
        <v>0</v>
      </c>
      <c r="M584" s="72">
        <f t="shared" si="183"/>
        <v>0</v>
      </c>
      <c r="N584" s="72">
        <f t="shared" si="183"/>
        <v>0</v>
      </c>
      <c r="O584" s="72">
        <f t="shared" si="183"/>
        <v>0</v>
      </c>
      <c r="P584" s="72">
        <f t="shared" si="183"/>
        <v>0</v>
      </c>
    </row>
    <row r="585" spans="1:17" ht="3.95" customHeight="1" x14ac:dyDescent="0.2">
      <c r="A585" s="345"/>
    </row>
    <row r="586" spans="1:17" x14ac:dyDescent="0.2">
      <c r="A586" s="350" t="s">
        <v>733</v>
      </c>
      <c r="B586" s="789"/>
      <c r="C586" s="790" t="s">
        <v>734</v>
      </c>
      <c r="D586" s="507">
        <f>Transport!C20+Transport!C32</f>
        <v>253</v>
      </c>
      <c r="E586" s="507">
        <f>Transport!D20+Transport!D32</f>
        <v>209</v>
      </c>
      <c r="F586" s="507">
        <f>Transport!E20+Transport!E32</f>
        <v>166</v>
      </c>
      <c r="G586" s="507">
        <f>Transport!F20+Transport!F32</f>
        <v>0</v>
      </c>
      <c r="H586" s="507">
        <f>Transport!G20+Transport!G32</f>
        <v>0</v>
      </c>
      <c r="I586" s="507">
        <f>Transport!H20+Transport!H32</f>
        <v>0</v>
      </c>
      <c r="J586" s="507">
        <f>Transport!I20+Transport!I32</f>
        <v>0</v>
      </c>
      <c r="K586" s="507">
        <f>Transport!J20+Transport!J32</f>
        <v>0</v>
      </c>
      <c r="L586" s="507">
        <f>Transport!K20+Transport!K32</f>
        <v>0</v>
      </c>
      <c r="M586" s="507">
        <f>Transport!L20+Transport!L32</f>
        <v>0</v>
      </c>
      <c r="N586" s="507">
        <f>Transport!M20+Transport!M32</f>
        <v>166</v>
      </c>
      <c r="O586" s="507">
        <f>Transport!N20+Transport!N32</f>
        <v>253</v>
      </c>
      <c r="P586" s="74">
        <f>SUM(D586:O586)</f>
        <v>1047</v>
      </c>
      <c r="Q586" s="76"/>
    </row>
    <row r="587" spans="1:17" ht="3.95" customHeight="1" x14ac:dyDescent="0.2">
      <c r="A587" s="66"/>
      <c r="B587" s="788"/>
      <c r="C587" s="790"/>
      <c r="D587" s="265"/>
      <c r="E587" s="265"/>
      <c r="F587" s="265"/>
      <c r="G587" s="265"/>
      <c r="H587" s="265"/>
      <c r="I587" s="265"/>
      <c r="J587" s="265"/>
      <c r="K587" s="265"/>
      <c r="L587" s="265"/>
      <c r="M587" s="265"/>
      <c r="N587" s="265"/>
      <c r="O587" s="265"/>
    </row>
    <row r="588" spans="1:17" x14ac:dyDescent="0.2">
      <c r="A588" s="350" t="s">
        <v>31</v>
      </c>
      <c r="B588" s="789"/>
      <c r="C588" s="790" t="s">
        <v>734</v>
      </c>
      <c r="D588" s="981">
        <f>-DataBase!C51</f>
        <v>0</v>
      </c>
      <c r="E588" s="981">
        <f>-DataBase!D51</f>
        <v>0</v>
      </c>
      <c r="F588" s="981">
        <f>-DataBase!E51</f>
        <v>0</v>
      </c>
      <c r="G588" s="981">
        <f>-DataBase!F51</f>
        <v>0</v>
      </c>
      <c r="H588" s="981">
        <f>-DataBase!G51</f>
        <v>1826</v>
      </c>
      <c r="I588" s="981">
        <f>-DataBase!H51</f>
        <v>0</v>
      </c>
      <c r="J588" s="981">
        <f>-DataBase!I51</f>
        <v>0</v>
      </c>
      <c r="K588" s="981">
        <f>-DataBase!J51</f>
        <v>0</v>
      </c>
      <c r="L588" s="981">
        <f>-DataBase!K51</f>
        <v>0</v>
      </c>
      <c r="M588" s="981">
        <f>-DataBase!L51</f>
        <v>0</v>
      </c>
      <c r="N588" s="981">
        <f>-DataBase!M51</f>
        <v>0</v>
      </c>
      <c r="O588" s="981">
        <f>-DataBase!N51</f>
        <v>0</v>
      </c>
      <c r="P588" s="87">
        <f>SUM(D588:O588)</f>
        <v>1826</v>
      </c>
      <c r="Q588" s="80"/>
    </row>
    <row r="589" spans="1:17" ht="6" customHeight="1" x14ac:dyDescent="0.2">
      <c r="Q589" s="76"/>
    </row>
    <row r="590" spans="1:17" x14ac:dyDescent="0.2">
      <c r="A590" s="67" t="s">
        <v>100</v>
      </c>
      <c r="B590" s="788"/>
      <c r="D590" s="69">
        <f t="shared" ref="D590:O590" si="184">D586-D588</f>
        <v>253</v>
      </c>
      <c r="E590" s="69">
        <f t="shared" si="184"/>
        <v>209</v>
      </c>
      <c r="F590" s="69">
        <f t="shared" si="184"/>
        <v>166</v>
      </c>
      <c r="G590" s="69">
        <f t="shared" si="184"/>
        <v>0</v>
      </c>
      <c r="H590" s="69">
        <f t="shared" si="184"/>
        <v>-1826</v>
      </c>
      <c r="I590" s="69">
        <f t="shared" si="184"/>
        <v>0</v>
      </c>
      <c r="J590" s="69">
        <f t="shared" si="184"/>
        <v>0</v>
      </c>
      <c r="K590" s="69">
        <f t="shared" si="184"/>
        <v>0</v>
      </c>
      <c r="L590" s="69">
        <f t="shared" si="184"/>
        <v>0</v>
      </c>
      <c r="M590" s="69">
        <f t="shared" si="184"/>
        <v>0</v>
      </c>
      <c r="N590" s="69">
        <f t="shared" si="184"/>
        <v>166</v>
      </c>
      <c r="O590" s="69">
        <f t="shared" si="184"/>
        <v>253</v>
      </c>
      <c r="P590" s="69">
        <f>SUM(D590:O590)</f>
        <v>-779</v>
      </c>
    </row>
    <row r="591" spans="1:17" x14ac:dyDescent="0.2">
      <c r="A591" s="95" t="s">
        <v>180</v>
      </c>
      <c r="D591" s="68">
        <v>0</v>
      </c>
      <c r="E591" s="68">
        <v>0</v>
      </c>
      <c r="F591" s="68">
        <v>0</v>
      </c>
      <c r="G591" s="68">
        <v>0</v>
      </c>
      <c r="H591" s="68">
        <v>0</v>
      </c>
      <c r="I591" s="68">
        <v>0</v>
      </c>
      <c r="J591" s="68">
        <v>0</v>
      </c>
      <c r="K591" s="68">
        <v>0</v>
      </c>
      <c r="L591" s="68">
        <v>0</v>
      </c>
      <c r="M591" s="68">
        <v>0</v>
      </c>
      <c r="N591" s="68">
        <v>0</v>
      </c>
      <c r="O591" s="68">
        <v>0</v>
      </c>
      <c r="P591" s="69">
        <f>SUM(D591:O591)</f>
        <v>0</v>
      </c>
    </row>
    <row r="592" spans="1:17" x14ac:dyDescent="0.2">
      <c r="A592" s="77" t="s">
        <v>1194</v>
      </c>
      <c r="D592" s="68">
        <v>0</v>
      </c>
      <c r="E592" s="68">
        <v>0</v>
      </c>
      <c r="F592" s="68">
        <v>0</v>
      </c>
      <c r="G592" s="68">
        <v>0</v>
      </c>
      <c r="H592" s="68">
        <v>0</v>
      </c>
      <c r="I592" s="68">
        <v>0</v>
      </c>
      <c r="J592" s="68">
        <v>0</v>
      </c>
      <c r="K592" s="68">
        <v>0</v>
      </c>
      <c r="L592" s="68">
        <v>0</v>
      </c>
      <c r="M592" s="68">
        <v>0</v>
      </c>
      <c r="N592" s="68">
        <v>0</v>
      </c>
      <c r="O592" s="68">
        <v>0</v>
      </c>
      <c r="P592" s="69">
        <f>SUM(D592:O592)</f>
        <v>0</v>
      </c>
    </row>
    <row r="593" spans="1:17" x14ac:dyDescent="0.2">
      <c r="A593" s="67" t="s">
        <v>55</v>
      </c>
      <c r="D593" s="267">
        <v>0</v>
      </c>
      <c r="E593" s="267">
        <v>0</v>
      </c>
      <c r="F593" s="267">
        <v>0</v>
      </c>
      <c r="G593" s="267">
        <v>0</v>
      </c>
      <c r="H593" s="267">
        <v>0</v>
      </c>
      <c r="I593" s="267">
        <v>0</v>
      </c>
      <c r="J593" s="267">
        <v>0</v>
      </c>
      <c r="K593" s="267">
        <v>0</v>
      </c>
      <c r="L593" s="267">
        <v>0</v>
      </c>
      <c r="M593" s="267">
        <v>0</v>
      </c>
      <c r="N593" s="267">
        <v>0</v>
      </c>
      <c r="O593" s="267">
        <v>0</v>
      </c>
      <c r="P593" s="71">
        <f>SUM(D593:O593)</f>
        <v>0</v>
      </c>
    </row>
    <row r="594" spans="1:17" ht="6" customHeight="1" x14ac:dyDescent="0.2">
      <c r="D594" s="79"/>
      <c r="E594" s="79"/>
      <c r="F594" s="79"/>
      <c r="G594" s="79"/>
      <c r="H594" s="79"/>
      <c r="I594" s="79"/>
      <c r="J594" s="79"/>
      <c r="K594" s="79"/>
      <c r="L594" s="79"/>
      <c r="M594" s="79"/>
      <c r="N594" s="79"/>
      <c r="O594" s="79"/>
    </row>
    <row r="595" spans="1:17" x14ac:dyDescent="0.2">
      <c r="A595" s="346" t="s">
        <v>56</v>
      </c>
      <c r="B595" s="790"/>
      <c r="C595" s="58"/>
      <c r="D595" s="74">
        <f t="shared" ref="D595:O595" si="185">SUM(D590:D593)</f>
        <v>253</v>
      </c>
      <c r="E595" s="74">
        <f t="shared" si="185"/>
        <v>209</v>
      </c>
      <c r="F595" s="74">
        <f t="shared" si="185"/>
        <v>166</v>
      </c>
      <c r="G595" s="74">
        <f t="shared" si="185"/>
        <v>0</v>
      </c>
      <c r="H595" s="74">
        <f t="shared" si="185"/>
        <v>-1826</v>
      </c>
      <c r="I595" s="74">
        <f t="shared" si="185"/>
        <v>0</v>
      </c>
      <c r="J595" s="74">
        <f t="shared" si="185"/>
        <v>0</v>
      </c>
      <c r="K595" s="74">
        <f t="shared" si="185"/>
        <v>0</v>
      </c>
      <c r="L595" s="74">
        <f t="shared" si="185"/>
        <v>0</v>
      </c>
      <c r="M595" s="74">
        <f t="shared" si="185"/>
        <v>0</v>
      </c>
      <c r="N595" s="74">
        <f t="shared" si="185"/>
        <v>166</v>
      </c>
      <c r="O595" s="74">
        <f t="shared" si="185"/>
        <v>253</v>
      </c>
      <c r="P595" s="74">
        <f>SUM(D595:O595)</f>
        <v>-779</v>
      </c>
      <c r="Q595" s="58"/>
    </row>
    <row r="596" spans="1:17" ht="6" customHeight="1" x14ac:dyDescent="0.2">
      <c r="A596" s="66"/>
      <c r="B596" s="788"/>
      <c r="D596" s="69"/>
      <c r="E596" s="69"/>
      <c r="F596" s="69"/>
      <c r="G596" s="69"/>
      <c r="H596" s="69"/>
      <c r="I596" s="69"/>
      <c r="J596" s="69"/>
      <c r="K596" s="69"/>
      <c r="L596" s="69"/>
      <c r="M596" s="69"/>
      <c r="N596" s="69"/>
      <c r="O596" s="69"/>
      <c r="P596" s="69"/>
      <c r="Q596" s="76"/>
    </row>
    <row r="597" spans="1:17" x14ac:dyDescent="0.2">
      <c r="A597" s="350" t="s">
        <v>241</v>
      </c>
      <c r="B597" s="789"/>
      <c r="C597" s="58"/>
      <c r="D597" s="74">
        <f t="shared" ref="D597:O597" si="186">-1*D595</f>
        <v>-253</v>
      </c>
      <c r="E597" s="74">
        <f t="shared" si="186"/>
        <v>-209</v>
      </c>
      <c r="F597" s="74">
        <f t="shared" si="186"/>
        <v>-166</v>
      </c>
      <c r="G597" s="74">
        <f t="shared" si="186"/>
        <v>0</v>
      </c>
      <c r="H597" s="74">
        <f t="shared" si="186"/>
        <v>1826</v>
      </c>
      <c r="I597" s="74">
        <f t="shared" si="186"/>
        <v>0</v>
      </c>
      <c r="J597" s="74">
        <f t="shared" si="186"/>
        <v>0</v>
      </c>
      <c r="K597" s="74">
        <f t="shared" si="186"/>
        <v>0</v>
      </c>
      <c r="L597" s="74">
        <f t="shared" si="186"/>
        <v>0</v>
      </c>
      <c r="M597" s="74">
        <f t="shared" si="186"/>
        <v>0</v>
      </c>
      <c r="N597" s="74">
        <f t="shared" si="186"/>
        <v>-166</v>
      </c>
      <c r="O597" s="74">
        <f t="shared" si="186"/>
        <v>-253</v>
      </c>
      <c r="P597" s="74">
        <f>SUM(D597:O597)</f>
        <v>779</v>
      </c>
    </row>
    <row r="598" spans="1:17" x14ac:dyDescent="0.2">
      <c r="A598" s="66"/>
      <c r="B598" s="788"/>
    </row>
    <row r="599" spans="1:17" x14ac:dyDescent="0.2">
      <c r="A599" s="81"/>
      <c r="B599" s="791"/>
      <c r="C599" s="82"/>
      <c r="D599" s="82"/>
      <c r="E599" s="82"/>
      <c r="F599" s="82"/>
      <c r="G599" s="82"/>
      <c r="H599" s="82"/>
      <c r="I599" s="82"/>
      <c r="J599" s="82"/>
      <c r="K599" s="82"/>
      <c r="L599" s="82"/>
      <c r="M599" s="82"/>
      <c r="N599" s="82"/>
      <c r="O599" s="82"/>
      <c r="P599" s="82"/>
    </row>
    <row r="601" spans="1:17" x14ac:dyDescent="0.2">
      <c r="A601" s="359" t="s">
        <v>242</v>
      </c>
      <c r="B601" s="788"/>
      <c r="C601" s="360" t="str">
        <f>C47</f>
        <v>DEC.,2001</v>
      </c>
      <c r="D601" s="85"/>
      <c r="E601" s="85"/>
      <c r="F601" s="85"/>
      <c r="G601" s="85"/>
      <c r="H601" s="85"/>
      <c r="I601" s="85"/>
      <c r="J601" s="85"/>
      <c r="K601" s="85"/>
      <c r="L601" s="85"/>
      <c r="M601" s="85"/>
      <c r="N601" s="85"/>
      <c r="O601" s="85"/>
      <c r="P601" s="58"/>
    </row>
    <row r="602" spans="1:17" ht="3.95" customHeight="1" x14ac:dyDescent="0.2">
      <c r="A602" s="66"/>
      <c r="B602" s="788"/>
      <c r="C602" s="345"/>
      <c r="D602" s="79"/>
      <c r="E602" s="79"/>
      <c r="F602" s="79"/>
      <c r="G602" s="79"/>
      <c r="H602" s="79"/>
      <c r="I602" s="79"/>
      <c r="J602" s="79"/>
      <c r="K602" s="79"/>
      <c r="L602" s="79"/>
      <c r="M602" s="79"/>
      <c r="N602" s="79"/>
      <c r="O602" s="79"/>
    </row>
    <row r="603" spans="1:17" x14ac:dyDescent="0.2">
      <c r="A603" s="344" t="s">
        <v>59</v>
      </c>
      <c r="B603" s="788"/>
      <c r="C603" s="345"/>
      <c r="D603" s="481">
        <f t="shared" ref="D603:O603" si="187">C613</f>
        <v>-1147</v>
      </c>
      <c r="E603" s="481">
        <f t="shared" si="187"/>
        <v>-1408</v>
      </c>
      <c r="F603" s="481">
        <f t="shared" si="187"/>
        <v>-1625</v>
      </c>
      <c r="G603" s="481">
        <f t="shared" si="187"/>
        <v>-1802</v>
      </c>
      <c r="H603" s="481">
        <f t="shared" si="187"/>
        <v>-1814</v>
      </c>
      <c r="I603" s="481">
        <f t="shared" si="187"/>
        <v>0</v>
      </c>
      <c r="J603" s="481">
        <f t="shared" si="187"/>
        <v>0</v>
      </c>
      <c r="K603" s="481">
        <f t="shared" si="187"/>
        <v>0</v>
      </c>
      <c r="L603" s="481">
        <f t="shared" si="187"/>
        <v>0</v>
      </c>
      <c r="M603" s="481">
        <f t="shared" si="187"/>
        <v>0</v>
      </c>
      <c r="N603" s="481">
        <f t="shared" si="187"/>
        <v>0</v>
      </c>
      <c r="O603" s="481">
        <f t="shared" si="187"/>
        <v>-166</v>
      </c>
      <c r="P603" s="69">
        <f>SUM(D603:O603)</f>
        <v>-7962</v>
      </c>
      <c r="Q603" s="76"/>
    </row>
    <row r="604" spans="1:17" ht="3.95" customHeight="1" x14ac:dyDescent="0.2">
      <c r="A604" s="345"/>
      <c r="B604" s="793"/>
      <c r="C604" s="345"/>
      <c r="P604" s="69"/>
    </row>
    <row r="605" spans="1:17" x14ac:dyDescent="0.2">
      <c r="A605" s="77" t="s">
        <v>108</v>
      </c>
      <c r="B605" s="91"/>
      <c r="C605" s="345"/>
      <c r="D605" s="68">
        <v>0</v>
      </c>
      <c r="E605" s="68">
        <v>0</v>
      </c>
      <c r="F605" s="68">
        <v>0</v>
      </c>
      <c r="G605" s="68">
        <v>0</v>
      </c>
      <c r="H605" s="68">
        <v>0</v>
      </c>
      <c r="I605" s="68">
        <v>0</v>
      </c>
      <c r="J605" s="68">
        <v>0</v>
      </c>
      <c r="K605" s="68">
        <v>0</v>
      </c>
      <c r="L605" s="68">
        <v>0</v>
      </c>
      <c r="M605" s="68">
        <v>0</v>
      </c>
      <c r="N605" s="68">
        <v>0</v>
      </c>
      <c r="O605" s="68">
        <v>0</v>
      </c>
      <c r="P605" s="69">
        <f>SUM(D605:O605)</f>
        <v>0</v>
      </c>
    </row>
    <row r="606" spans="1:17" ht="3.95" customHeight="1" x14ac:dyDescent="0.2">
      <c r="A606" s="66"/>
      <c r="B606" s="788"/>
      <c r="C606" s="345"/>
      <c r="D606" s="69"/>
      <c r="E606" s="69"/>
      <c r="F606" s="69"/>
      <c r="G606" s="69"/>
      <c r="H606" s="69"/>
      <c r="I606" s="69"/>
      <c r="J606" s="69"/>
      <c r="K606" s="69"/>
      <c r="L606" s="69"/>
      <c r="M606" s="69"/>
      <c r="N606" s="69"/>
      <c r="O606" s="69"/>
    </row>
    <row r="607" spans="1:17" x14ac:dyDescent="0.2">
      <c r="A607" s="67" t="s">
        <v>61</v>
      </c>
      <c r="B607" s="788"/>
      <c r="C607" s="345"/>
      <c r="D607" s="69">
        <f t="shared" ref="D607:O607" si="188">D597</f>
        <v>-253</v>
      </c>
      <c r="E607" s="69">
        <f t="shared" si="188"/>
        <v>-209</v>
      </c>
      <c r="F607" s="69">
        <f t="shared" si="188"/>
        <v>-166</v>
      </c>
      <c r="G607" s="69">
        <f t="shared" si="188"/>
        <v>0</v>
      </c>
      <c r="H607" s="69">
        <f t="shared" si="188"/>
        <v>1826</v>
      </c>
      <c r="I607" s="69">
        <f t="shared" si="188"/>
        <v>0</v>
      </c>
      <c r="J607" s="69">
        <f t="shared" si="188"/>
        <v>0</v>
      </c>
      <c r="K607" s="69">
        <f t="shared" si="188"/>
        <v>0</v>
      </c>
      <c r="L607" s="69">
        <f t="shared" si="188"/>
        <v>0</v>
      </c>
      <c r="M607" s="69">
        <f t="shared" si="188"/>
        <v>0</v>
      </c>
      <c r="N607" s="69">
        <f t="shared" si="188"/>
        <v>-166</v>
      </c>
      <c r="O607" s="69">
        <f t="shared" si="188"/>
        <v>-253</v>
      </c>
      <c r="P607" s="69">
        <f>SUM(D607:O607)</f>
        <v>779</v>
      </c>
      <c r="Q607" s="76"/>
    </row>
    <row r="608" spans="1:17" ht="3.95" customHeight="1" x14ac:dyDescent="0.2">
      <c r="A608" s="66"/>
      <c r="B608" s="788"/>
      <c r="C608" s="345"/>
      <c r="D608" s="69"/>
      <c r="E608" s="69"/>
      <c r="F608" s="69"/>
      <c r="G608" s="69"/>
      <c r="H608" s="69"/>
      <c r="I608" s="69"/>
      <c r="J608" s="69"/>
      <c r="K608" s="69"/>
      <c r="L608" s="69"/>
      <c r="M608" s="69"/>
      <c r="N608" s="69"/>
      <c r="O608" s="69"/>
      <c r="P608" s="69"/>
    </row>
    <row r="609" spans="1:17" x14ac:dyDescent="0.2">
      <c r="A609" s="351" t="s">
        <v>133</v>
      </c>
      <c r="B609" s="788"/>
      <c r="C609" s="345"/>
      <c r="D609" s="68">
        <v>0</v>
      </c>
      <c r="E609" s="68">
        <v>0</v>
      </c>
      <c r="F609" s="68">
        <v>0</v>
      </c>
      <c r="G609" s="68">
        <v>0</v>
      </c>
      <c r="H609" s="68">
        <v>0</v>
      </c>
      <c r="I609" s="68">
        <v>0</v>
      </c>
      <c r="J609" s="68">
        <v>0</v>
      </c>
      <c r="K609" s="68">
        <v>0</v>
      </c>
      <c r="L609" s="68">
        <v>0</v>
      </c>
      <c r="M609" s="68">
        <v>0</v>
      </c>
      <c r="N609" s="68">
        <v>0</v>
      </c>
      <c r="O609" s="68">
        <v>0</v>
      </c>
      <c r="P609" s="69">
        <f>SUM(D609:O609)</f>
        <v>0</v>
      </c>
      <c r="Q609" s="76"/>
    </row>
    <row r="610" spans="1:17" ht="3.95" customHeight="1" x14ac:dyDescent="0.2">
      <c r="A610" s="66"/>
      <c r="B610" s="788"/>
      <c r="C610" s="345"/>
      <c r="D610" s="69"/>
      <c r="E610" s="69"/>
      <c r="F610" s="69"/>
      <c r="G610" s="69"/>
      <c r="H610" s="69"/>
      <c r="I610" s="69"/>
      <c r="J610" s="69"/>
      <c r="K610" s="69"/>
      <c r="L610" s="69"/>
      <c r="M610" s="69"/>
      <c r="N610" s="69"/>
      <c r="O610" s="69"/>
      <c r="P610" s="69"/>
    </row>
    <row r="611" spans="1:17" x14ac:dyDescent="0.2">
      <c r="A611" s="67" t="s">
        <v>111</v>
      </c>
      <c r="B611" s="788"/>
      <c r="C611" s="345"/>
      <c r="D611" s="70">
        <f t="shared" ref="D611:O611" si="189">D620</f>
        <v>-8</v>
      </c>
      <c r="E611" s="70">
        <f t="shared" si="189"/>
        <v>-8</v>
      </c>
      <c r="F611" s="70">
        <f t="shared" si="189"/>
        <v>-11</v>
      </c>
      <c r="G611" s="70">
        <f t="shared" si="189"/>
        <v>-12</v>
      </c>
      <c r="H611" s="70">
        <f t="shared" si="189"/>
        <v>-12</v>
      </c>
      <c r="I611" s="70">
        <f t="shared" si="189"/>
        <v>0</v>
      </c>
      <c r="J611" s="70">
        <f t="shared" si="189"/>
        <v>0</v>
      </c>
      <c r="K611" s="70">
        <f t="shared" si="189"/>
        <v>0</v>
      </c>
      <c r="L611" s="70">
        <f t="shared" si="189"/>
        <v>0</v>
      </c>
      <c r="M611" s="70">
        <f t="shared" si="189"/>
        <v>0</v>
      </c>
      <c r="N611" s="70">
        <f t="shared" si="189"/>
        <v>0</v>
      </c>
      <c r="O611" s="70">
        <f t="shared" si="189"/>
        <v>-1</v>
      </c>
      <c r="P611" s="71">
        <f>SUM(D611:O611)</f>
        <v>-52</v>
      </c>
      <c r="Q611" s="96"/>
    </row>
    <row r="612" spans="1:17" ht="3.95" customHeight="1" x14ac:dyDescent="0.2">
      <c r="A612" s="66"/>
      <c r="B612" s="788"/>
      <c r="C612" s="345"/>
      <c r="D612" s="79"/>
      <c r="E612" s="79"/>
      <c r="F612" s="79"/>
      <c r="G612" s="79"/>
      <c r="H612" s="79"/>
      <c r="I612" s="79"/>
      <c r="J612" s="79"/>
      <c r="K612" s="79"/>
      <c r="L612" s="79"/>
      <c r="M612" s="79"/>
      <c r="N612" s="79"/>
      <c r="O612" s="79"/>
    </row>
    <row r="613" spans="1:17" x14ac:dyDescent="0.2">
      <c r="A613" s="344" t="s">
        <v>64</v>
      </c>
      <c r="B613" s="793"/>
      <c r="C613" s="658">
        <v>-1147</v>
      </c>
      <c r="D613" s="87">
        <f t="shared" ref="D613:O613" si="190">SUM(D603:D611)</f>
        <v>-1408</v>
      </c>
      <c r="E613" s="87">
        <f t="shared" si="190"/>
        <v>-1625</v>
      </c>
      <c r="F613" s="87">
        <f t="shared" si="190"/>
        <v>-1802</v>
      </c>
      <c r="G613" s="87">
        <f t="shared" si="190"/>
        <v>-1814</v>
      </c>
      <c r="H613" s="87">
        <f t="shared" si="190"/>
        <v>0</v>
      </c>
      <c r="I613" s="87">
        <f t="shared" si="190"/>
        <v>0</v>
      </c>
      <c r="J613" s="87">
        <f t="shared" si="190"/>
        <v>0</v>
      </c>
      <c r="K613" s="87">
        <f t="shared" si="190"/>
        <v>0</v>
      </c>
      <c r="L613" s="87">
        <f t="shared" si="190"/>
        <v>0</v>
      </c>
      <c r="M613" s="87">
        <f t="shared" si="190"/>
        <v>0</v>
      </c>
      <c r="N613" s="87">
        <f t="shared" si="190"/>
        <v>-166</v>
      </c>
      <c r="O613" s="87">
        <f t="shared" si="190"/>
        <v>-420</v>
      </c>
      <c r="P613" s="87">
        <f>SUM(P605:P611)+D603</f>
        <v>-420</v>
      </c>
      <c r="Q613" s="76"/>
    </row>
    <row r="614" spans="1:17" x14ac:dyDescent="0.2">
      <c r="A614" s="66"/>
      <c r="B614" s="788"/>
      <c r="D614" s="79"/>
      <c r="E614" s="79"/>
      <c r="F614" s="79"/>
      <c r="G614" s="79"/>
      <c r="H614" s="79"/>
      <c r="I614" s="79"/>
      <c r="J614" s="79"/>
      <c r="K614" s="79"/>
      <c r="L614" s="79"/>
      <c r="M614" s="79"/>
      <c r="N614" s="79"/>
      <c r="O614" s="79"/>
    </row>
    <row r="615" spans="1:17" x14ac:dyDescent="0.2">
      <c r="A615" s="626" t="str">
        <f>A61</f>
        <v xml:space="preserve">   Interest Rate </v>
      </c>
      <c r="B615" s="788"/>
      <c r="D615" s="97">
        <f t="shared" ref="D615:O615" si="191">D61</f>
        <v>7.7499999999999999E-2</v>
      </c>
      <c r="E615" s="97">
        <f t="shared" si="191"/>
        <v>7.7499999999999999E-2</v>
      </c>
      <c r="F615" s="97">
        <f t="shared" si="191"/>
        <v>7.7499999999999999E-2</v>
      </c>
      <c r="G615" s="97">
        <f t="shared" si="191"/>
        <v>7.7499999999999999E-2</v>
      </c>
      <c r="H615" s="97">
        <f t="shared" si="191"/>
        <v>7.7499999999999999E-2</v>
      </c>
      <c r="I615" s="97">
        <f t="shared" si="191"/>
        <v>7.7499999999999999E-2</v>
      </c>
      <c r="J615" s="97">
        <f t="shared" si="191"/>
        <v>7.7499999999999999E-2</v>
      </c>
      <c r="K615" s="97">
        <f t="shared" si="191"/>
        <v>7.7499999999999999E-2</v>
      </c>
      <c r="L615" s="97">
        <f t="shared" si="191"/>
        <v>7.7499999999999999E-2</v>
      </c>
      <c r="M615" s="97">
        <f t="shared" si="191"/>
        <v>7.7499999999999999E-2</v>
      </c>
      <c r="N615" s="97">
        <f t="shared" si="191"/>
        <v>7.7499999999999999E-2</v>
      </c>
      <c r="O615" s="97">
        <f t="shared" si="191"/>
        <v>7.7499999999999999E-2</v>
      </c>
    </row>
    <row r="616" spans="1:17" x14ac:dyDescent="0.2">
      <c r="A616" s="626" t="str">
        <f>A62</f>
        <v xml:space="preserve">      Monthly</v>
      </c>
      <c r="B616" s="788"/>
      <c r="D616" s="89">
        <f t="shared" ref="D616:O616" si="192">D62</f>
        <v>6.6E-3</v>
      </c>
      <c r="E616" s="89">
        <f t="shared" si="192"/>
        <v>5.8999999999999999E-3</v>
      </c>
      <c r="F616" s="89">
        <f t="shared" si="192"/>
        <v>6.6E-3</v>
      </c>
      <c r="G616" s="89">
        <f t="shared" si="192"/>
        <v>6.4000000000000003E-3</v>
      </c>
      <c r="H616" s="89">
        <f t="shared" si="192"/>
        <v>6.6E-3</v>
      </c>
      <c r="I616" s="89">
        <f t="shared" si="192"/>
        <v>6.4000000000000003E-3</v>
      </c>
      <c r="J616" s="89">
        <f t="shared" si="192"/>
        <v>6.6E-3</v>
      </c>
      <c r="K616" s="89">
        <f t="shared" si="192"/>
        <v>6.6E-3</v>
      </c>
      <c r="L616" s="89">
        <f t="shared" si="192"/>
        <v>6.4000000000000003E-3</v>
      </c>
      <c r="M616" s="89">
        <f t="shared" si="192"/>
        <v>6.6E-3</v>
      </c>
      <c r="N616" s="89">
        <f t="shared" si="192"/>
        <v>6.4000000000000003E-3</v>
      </c>
      <c r="O616" s="89">
        <f t="shared" si="192"/>
        <v>6.6E-3</v>
      </c>
      <c r="Q616" s="99"/>
    </row>
    <row r="617" spans="1:17" x14ac:dyDescent="0.2">
      <c r="A617" s="66"/>
      <c r="B617" s="788"/>
    </row>
    <row r="618" spans="1:17" x14ac:dyDescent="0.2">
      <c r="A618" s="624" t="s">
        <v>67</v>
      </c>
      <c r="C618" s="86"/>
      <c r="D618" s="625">
        <f t="shared" ref="D618:O618" si="193">ROUND(C613*D616,0)</f>
        <v>-8</v>
      </c>
      <c r="E618" s="625">
        <f t="shared" si="193"/>
        <v>-8</v>
      </c>
      <c r="F618" s="625">
        <f t="shared" si="193"/>
        <v>-11</v>
      </c>
      <c r="G618" s="625">
        <f t="shared" si="193"/>
        <v>-12</v>
      </c>
      <c r="H618" s="625">
        <f t="shared" si="193"/>
        <v>-12</v>
      </c>
      <c r="I618" s="625">
        <f t="shared" si="193"/>
        <v>0</v>
      </c>
      <c r="J618" s="625">
        <f t="shared" si="193"/>
        <v>0</v>
      </c>
      <c r="K618" s="625">
        <f t="shared" si="193"/>
        <v>0</v>
      </c>
      <c r="L618" s="625">
        <f t="shared" si="193"/>
        <v>0</v>
      </c>
      <c r="M618" s="625">
        <f t="shared" si="193"/>
        <v>0</v>
      </c>
      <c r="N618" s="625">
        <f t="shared" si="193"/>
        <v>0</v>
      </c>
      <c r="O618" s="625">
        <f t="shared" si="193"/>
        <v>-1</v>
      </c>
      <c r="P618" s="625">
        <f>SUM(D618:O618)</f>
        <v>-52</v>
      </c>
      <c r="Q618" s="58"/>
    </row>
    <row r="619" spans="1:17" x14ac:dyDescent="0.2">
      <c r="A619" s="351" t="s">
        <v>102</v>
      </c>
      <c r="C619" s="86"/>
      <c r="D619" s="267">
        <v>0</v>
      </c>
      <c r="E619" s="267">
        <v>0</v>
      </c>
      <c r="F619" s="267">
        <v>0</v>
      </c>
      <c r="G619" s="267">
        <v>0</v>
      </c>
      <c r="H619" s="267">
        <v>0</v>
      </c>
      <c r="I619" s="267">
        <v>0</v>
      </c>
      <c r="J619" s="267">
        <v>0</v>
      </c>
      <c r="K619" s="267">
        <v>0</v>
      </c>
      <c r="L619" s="267">
        <v>0</v>
      </c>
      <c r="M619" s="267">
        <v>0</v>
      </c>
      <c r="N619" s="267">
        <v>0</v>
      </c>
      <c r="O619" s="267">
        <v>0</v>
      </c>
      <c r="P619" s="71">
        <f>SUM(D619:O619)</f>
        <v>0</v>
      </c>
      <c r="Q619" s="58"/>
    </row>
    <row r="620" spans="1:17" x14ac:dyDescent="0.2">
      <c r="A620" s="627" t="str">
        <f>A66</f>
        <v xml:space="preserve">      Total Current Month Carrying Charges</v>
      </c>
      <c r="C620" s="86"/>
      <c r="D620" s="74">
        <f>D618+D619</f>
        <v>-8</v>
      </c>
      <c r="E620" s="74">
        <f t="shared" ref="E620:P620" si="194">E618+E619</f>
        <v>-8</v>
      </c>
      <c r="F620" s="74">
        <f t="shared" si="194"/>
        <v>-11</v>
      </c>
      <c r="G620" s="74">
        <f t="shared" si="194"/>
        <v>-12</v>
      </c>
      <c r="H620" s="74">
        <f t="shared" si="194"/>
        <v>-12</v>
      </c>
      <c r="I620" s="74">
        <f t="shared" si="194"/>
        <v>0</v>
      </c>
      <c r="J620" s="74">
        <f t="shared" si="194"/>
        <v>0</v>
      </c>
      <c r="K620" s="74">
        <f t="shared" si="194"/>
        <v>0</v>
      </c>
      <c r="L620" s="74">
        <f t="shared" si="194"/>
        <v>0</v>
      </c>
      <c r="M620" s="74">
        <f t="shared" si="194"/>
        <v>0</v>
      </c>
      <c r="N620" s="74">
        <f t="shared" si="194"/>
        <v>0</v>
      </c>
      <c r="O620" s="74">
        <f t="shared" si="194"/>
        <v>-1</v>
      </c>
      <c r="P620" s="74">
        <f t="shared" si="194"/>
        <v>-52</v>
      </c>
      <c r="Q620" s="58"/>
    </row>
    <row r="621" spans="1:17" ht="6" customHeight="1" x14ac:dyDescent="0.2">
      <c r="A621" s="66"/>
      <c r="B621" s="788"/>
    </row>
    <row r="622" spans="1:17" x14ac:dyDescent="0.2">
      <c r="A622" s="627" t="str">
        <f>A68</f>
        <v xml:space="preserve">      Cumulative Carrying Charges</v>
      </c>
      <c r="B622" s="788"/>
      <c r="D622" s="69">
        <f>D620</f>
        <v>-8</v>
      </c>
      <c r="E622" s="69">
        <f>E620+D622</f>
        <v>-16</v>
      </c>
      <c r="F622" s="69">
        <f t="shared" ref="F622:O622" si="195">F620+E622</f>
        <v>-27</v>
      </c>
      <c r="G622" s="69">
        <f t="shared" si="195"/>
        <v>-39</v>
      </c>
      <c r="H622" s="69">
        <f t="shared" si="195"/>
        <v>-51</v>
      </c>
      <c r="I622" s="69">
        <f t="shared" si="195"/>
        <v>-51</v>
      </c>
      <c r="J622" s="69">
        <f t="shared" si="195"/>
        <v>-51</v>
      </c>
      <c r="K622" s="69">
        <f t="shared" si="195"/>
        <v>-51</v>
      </c>
      <c r="L622" s="69">
        <f t="shared" si="195"/>
        <v>-51</v>
      </c>
      <c r="M622" s="69">
        <f t="shared" si="195"/>
        <v>-51</v>
      </c>
      <c r="N622" s="69">
        <f t="shared" si="195"/>
        <v>-51</v>
      </c>
      <c r="O622" s="69">
        <f t="shared" si="195"/>
        <v>-52</v>
      </c>
    </row>
    <row r="623" spans="1:17" ht="6" customHeight="1" x14ac:dyDescent="0.2">
      <c r="A623"/>
      <c r="B623" s="691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</row>
    <row r="624" spans="1:17" x14ac:dyDescent="0.2">
      <c r="A624"/>
      <c r="B624" s="691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</row>
    <row r="625" spans="1:16" x14ac:dyDescent="0.2">
      <c r="A625" s="605" t="str">
        <f ca="1">CELL("FILENAME")</f>
        <v>C:\Users\Felienne\Enron\EnronSpreadsheets\[tracy_geaccone__40367__EMNNG02PL.xls]IncomeState</v>
      </c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</row>
    <row r="626" spans="1:16" x14ac:dyDescent="0.2">
      <c r="A626" s="339" t="s">
        <v>243</v>
      </c>
      <c r="D626" s="103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</row>
    <row r="627" spans="1:16" x14ac:dyDescent="0.2">
      <c r="A627" s="355" t="str">
        <f>A3</f>
        <v>2002 OPERATING PLAN</v>
      </c>
      <c r="B627" s="786">
        <f ca="1">NOW()</f>
        <v>41887.551126967592</v>
      </c>
      <c r="C627" s="489" t="s">
        <v>244</v>
      </c>
      <c r="D627" s="60"/>
      <c r="E627" s="59"/>
      <c r="F627" s="59"/>
      <c r="G627" s="101"/>
      <c r="H627" s="101"/>
      <c r="I627" s="101"/>
      <c r="J627" s="102"/>
      <c r="K627" s="59"/>
      <c r="L627" s="59"/>
      <c r="M627" s="59"/>
      <c r="N627" s="59"/>
      <c r="O627" s="59"/>
      <c r="P627" s="90"/>
    </row>
    <row r="628" spans="1:16" x14ac:dyDescent="0.2">
      <c r="A628" s="61"/>
      <c r="B628" s="787">
        <f ca="1">NOW()</f>
        <v>41887.551126967592</v>
      </c>
      <c r="C628" s="338" t="str">
        <f t="shared" ref="C628:P628" si="196">C4</f>
        <v>BALANCE</v>
      </c>
      <c r="D628" s="338" t="str">
        <f t="shared" si="196"/>
        <v>JAN</v>
      </c>
      <c r="E628" s="338" t="str">
        <f t="shared" si="196"/>
        <v>FEB</v>
      </c>
      <c r="F628" s="338" t="str">
        <f t="shared" si="196"/>
        <v>MAR</v>
      </c>
      <c r="G628" s="338" t="str">
        <f t="shared" si="196"/>
        <v>APR</v>
      </c>
      <c r="H628" s="338" t="str">
        <f t="shared" si="196"/>
        <v>MAY</v>
      </c>
      <c r="I628" s="338" t="str">
        <f t="shared" si="196"/>
        <v>JUN</v>
      </c>
      <c r="J628" s="338" t="str">
        <f t="shared" si="196"/>
        <v>JUL</v>
      </c>
      <c r="K628" s="338" t="str">
        <f t="shared" si="196"/>
        <v>AUG</v>
      </c>
      <c r="L628" s="338" t="str">
        <f t="shared" si="196"/>
        <v>SEP</v>
      </c>
      <c r="M628" s="338" t="str">
        <f t="shared" si="196"/>
        <v>OCT</v>
      </c>
      <c r="N628" s="338" t="str">
        <f t="shared" si="196"/>
        <v>NOV</v>
      </c>
      <c r="O628" s="338" t="str">
        <f t="shared" si="196"/>
        <v>DEC</v>
      </c>
      <c r="P628" s="338" t="str">
        <f t="shared" si="196"/>
        <v>2002</v>
      </c>
    </row>
    <row r="629" spans="1:16" ht="3.95" customHeight="1" x14ac:dyDescent="0.2"/>
    <row r="630" spans="1:16" x14ac:dyDescent="0.2">
      <c r="A630" s="356" t="s">
        <v>245</v>
      </c>
      <c r="B630" s="788"/>
      <c r="C630" s="62" t="str">
        <f>C47</f>
        <v>DEC.,2001</v>
      </c>
      <c r="D630" s="85"/>
      <c r="E630" s="85"/>
      <c r="F630" s="85"/>
      <c r="G630" s="85"/>
      <c r="H630" s="85"/>
      <c r="I630" s="85"/>
      <c r="J630" s="85"/>
      <c r="K630" s="85"/>
      <c r="L630" s="85"/>
      <c r="M630" s="85"/>
      <c r="N630" s="85"/>
      <c r="O630" s="85"/>
      <c r="P630" s="58"/>
    </row>
    <row r="631" spans="1:16" ht="3.95" customHeight="1" x14ac:dyDescent="0.2">
      <c r="A631" s="66"/>
      <c r="B631" s="788"/>
      <c r="D631" s="79"/>
      <c r="E631" s="79"/>
      <c r="F631" s="79"/>
      <c r="G631" s="79"/>
      <c r="H631" s="79"/>
      <c r="I631" s="79"/>
      <c r="J631" s="79"/>
      <c r="K631" s="79"/>
      <c r="L631" s="79"/>
      <c r="M631" s="79"/>
      <c r="N631" s="79"/>
      <c r="O631" s="79"/>
    </row>
    <row r="632" spans="1:16" x14ac:dyDescent="0.2">
      <c r="A632" s="344" t="s">
        <v>59</v>
      </c>
      <c r="B632" s="788"/>
      <c r="D632" s="69">
        <f t="shared" ref="D632:O632" si="197">C642</f>
        <v>0</v>
      </c>
      <c r="E632" s="69">
        <f t="shared" si="197"/>
        <v>0</v>
      </c>
      <c r="F632" s="69">
        <f t="shared" si="197"/>
        <v>0</v>
      </c>
      <c r="G632" s="69">
        <f t="shared" si="197"/>
        <v>0</v>
      </c>
      <c r="H632" s="69">
        <f t="shared" si="197"/>
        <v>0</v>
      </c>
      <c r="I632" s="69">
        <f t="shared" si="197"/>
        <v>0</v>
      </c>
      <c r="J632" s="69">
        <f t="shared" si="197"/>
        <v>0</v>
      </c>
      <c r="K632" s="69">
        <f t="shared" si="197"/>
        <v>0</v>
      </c>
      <c r="L632" s="69">
        <f t="shared" si="197"/>
        <v>0</v>
      </c>
      <c r="M632" s="69">
        <f t="shared" si="197"/>
        <v>0</v>
      </c>
      <c r="N632" s="69">
        <f t="shared" si="197"/>
        <v>0</v>
      </c>
      <c r="O632" s="69">
        <f t="shared" si="197"/>
        <v>0</v>
      </c>
      <c r="P632" s="69"/>
    </row>
    <row r="633" spans="1:16" ht="6" customHeight="1" x14ac:dyDescent="0.2"/>
    <row r="634" spans="1:16" x14ac:dyDescent="0.2">
      <c r="A634" s="77" t="s">
        <v>60</v>
      </c>
      <c r="B634" s="91"/>
      <c r="D634" s="68">
        <v>0</v>
      </c>
      <c r="E634" s="68">
        <v>0</v>
      </c>
      <c r="F634" s="68">
        <v>0</v>
      </c>
      <c r="G634" s="68">
        <v>0</v>
      </c>
      <c r="H634" s="68">
        <v>0</v>
      </c>
      <c r="I634" s="68">
        <v>0</v>
      </c>
      <c r="J634" s="68">
        <v>0</v>
      </c>
      <c r="K634" s="661">
        <f>-SUM(A649:K649)</f>
        <v>0</v>
      </c>
      <c r="L634" s="68">
        <v>0</v>
      </c>
      <c r="M634" s="68">
        <f>0</f>
        <v>0</v>
      </c>
      <c r="N634" s="68">
        <f>0</f>
        <v>0</v>
      </c>
      <c r="O634" s="68">
        <v>0</v>
      </c>
      <c r="P634" s="69">
        <f>SUM(D634:O634)</f>
        <v>0</v>
      </c>
    </row>
    <row r="635" spans="1:16" ht="6" customHeight="1" x14ac:dyDescent="0.2">
      <c r="A635" s="66"/>
      <c r="B635" s="788"/>
      <c r="D635" s="69"/>
      <c r="E635" s="69"/>
      <c r="F635" s="69"/>
      <c r="G635" s="69"/>
      <c r="H635" s="69"/>
      <c r="I635" s="69"/>
      <c r="J635" s="69"/>
      <c r="K635" s="69"/>
      <c r="L635" s="69"/>
      <c r="M635" s="69"/>
      <c r="N635" s="69"/>
      <c r="O635" s="69"/>
    </row>
    <row r="636" spans="1:16" x14ac:dyDescent="0.2">
      <c r="A636" s="351" t="s">
        <v>246</v>
      </c>
      <c r="B636" s="788"/>
      <c r="D636" s="535">
        <f>+Transport!C45+Transport!C46+Transport!C47</f>
        <v>0</v>
      </c>
      <c r="E636" s="535">
        <f>+Transport!D45+Transport!D46+Transport!D47</f>
        <v>0</v>
      </c>
      <c r="F636" s="535">
        <f>+Transport!E45+Transport!E46+Transport!E47</f>
        <v>0</v>
      </c>
      <c r="G636" s="535">
        <f>+Transport!F45+Transport!F46+Transport!F47</f>
        <v>0</v>
      </c>
      <c r="H636" s="535">
        <f>+Transport!G45+Transport!G46+Transport!G47</f>
        <v>0</v>
      </c>
      <c r="I636" s="535">
        <f>+Transport!H45+Transport!H46+Transport!H47</f>
        <v>0</v>
      </c>
      <c r="J636" s="535">
        <f>+Transport!I45+Transport!I46+Transport!I47</f>
        <v>0</v>
      </c>
      <c r="K636" s="535">
        <f>+Transport!J45+Transport!J46+Transport!J47</f>
        <v>0</v>
      </c>
      <c r="L636" s="535">
        <f>+Transport!K45+Transport!K46+Transport!K47</f>
        <v>0</v>
      </c>
      <c r="M636" s="535">
        <f>+Transport!L45+Transport!L46+Transport!L47</f>
        <v>0</v>
      </c>
      <c r="N636" s="535">
        <f>+Transport!M45+Transport!M46+Transport!M47</f>
        <v>0</v>
      </c>
      <c r="O636" s="535">
        <f>+Transport!N45+Transport!N46+Transport!N47</f>
        <v>0</v>
      </c>
      <c r="P636" s="69">
        <f>SUM(D636:O636)</f>
        <v>0</v>
      </c>
    </row>
    <row r="637" spans="1:16" ht="6" customHeight="1" x14ac:dyDescent="0.2">
      <c r="A637" s="66"/>
      <c r="B637" s="788"/>
      <c r="D637" s="69"/>
      <c r="E637" s="69"/>
      <c r="F637" s="69"/>
      <c r="G637" s="69"/>
      <c r="H637" s="69"/>
      <c r="I637" s="69"/>
      <c r="J637" s="69"/>
      <c r="K637" s="69"/>
      <c r="L637" s="69"/>
      <c r="M637" s="69"/>
      <c r="N637" s="69"/>
      <c r="O637" s="69"/>
      <c r="P637" s="69"/>
    </row>
    <row r="638" spans="1:16" x14ac:dyDescent="0.2">
      <c r="A638" s="77" t="s">
        <v>62</v>
      </c>
      <c r="B638" s="788"/>
      <c r="D638" s="68">
        <v>0</v>
      </c>
      <c r="E638" s="68">
        <v>0</v>
      </c>
      <c r="F638" s="68">
        <v>0</v>
      </c>
      <c r="G638" s="68">
        <v>0</v>
      </c>
      <c r="H638" s="68">
        <v>0</v>
      </c>
      <c r="I638" s="68">
        <v>0</v>
      </c>
      <c r="J638" s="68">
        <v>0</v>
      </c>
      <c r="K638" s="68">
        <v>0</v>
      </c>
      <c r="L638" s="68">
        <v>0</v>
      </c>
      <c r="M638" s="68">
        <v>0</v>
      </c>
      <c r="N638" s="68">
        <v>0</v>
      </c>
      <c r="O638" s="68">
        <v>0</v>
      </c>
      <c r="P638" s="69">
        <f>SUM(D638:O638)</f>
        <v>0</v>
      </c>
    </row>
    <row r="639" spans="1:16" ht="6" customHeight="1" x14ac:dyDescent="0.2">
      <c r="A639" s="66"/>
      <c r="B639" s="788"/>
      <c r="D639" s="69"/>
      <c r="E639" s="69"/>
      <c r="F639" s="69"/>
      <c r="G639" s="69"/>
      <c r="H639" s="69"/>
      <c r="I639" s="69"/>
      <c r="J639" s="69"/>
      <c r="K639" s="69"/>
      <c r="L639" s="69"/>
      <c r="M639" s="69"/>
      <c r="N639" s="69"/>
      <c r="O639" s="69"/>
      <c r="P639" s="69"/>
    </row>
    <row r="640" spans="1:16" x14ac:dyDescent="0.2">
      <c r="A640" s="67" t="s">
        <v>111</v>
      </c>
      <c r="B640" s="788"/>
      <c r="D640" s="71">
        <f t="shared" ref="D640:O640" si="198">D649</f>
        <v>0</v>
      </c>
      <c r="E640" s="71">
        <f t="shared" si="198"/>
        <v>0</v>
      </c>
      <c r="F640" s="71">
        <f t="shared" si="198"/>
        <v>0</v>
      </c>
      <c r="G640" s="71">
        <f t="shared" si="198"/>
        <v>0</v>
      </c>
      <c r="H640" s="71">
        <f t="shared" si="198"/>
        <v>0</v>
      </c>
      <c r="I640" s="71">
        <f t="shared" si="198"/>
        <v>0</v>
      </c>
      <c r="J640" s="71">
        <f t="shared" si="198"/>
        <v>0</v>
      </c>
      <c r="K640" s="71">
        <f t="shared" si="198"/>
        <v>0</v>
      </c>
      <c r="L640" s="71">
        <f t="shared" si="198"/>
        <v>0</v>
      </c>
      <c r="M640" s="71">
        <f t="shared" si="198"/>
        <v>0</v>
      </c>
      <c r="N640" s="71">
        <f t="shared" si="198"/>
        <v>0</v>
      </c>
      <c r="O640" s="71">
        <f t="shared" si="198"/>
        <v>0</v>
      </c>
      <c r="P640" s="71">
        <f>SUM(D640:O640)</f>
        <v>0</v>
      </c>
    </row>
    <row r="641" spans="1:16" ht="3.95" customHeight="1" x14ac:dyDescent="0.2">
      <c r="A641" s="66"/>
      <c r="B641" s="788"/>
      <c r="D641" s="79"/>
      <c r="E641" s="79"/>
      <c r="F641" s="79"/>
      <c r="G641" s="79"/>
      <c r="H641" s="79"/>
      <c r="I641" s="79"/>
      <c r="J641" s="79"/>
      <c r="K641" s="79"/>
      <c r="L641" s="79"/>
      <c r="M641" s="79"/>
      <c r="N641" s="79"/>
      <c r="O641" s="79"/>
    </row>
    <row r="642" spans="1:16" x14ac:dyDescent="0.2">
      <c r="A642" s="344" t="s">
        <v>64</v>
      </c>
      <c r="B642" s="793"/>
      <c r="C642" s="658">
        <v>0</v>
      </c>
      <c r="D642" s="87">
        <f t="shared" ref="D642:O642" si="199">SUM(D632:D640)</f>
        <v>0</v>
      </c>
      <c r="E642" s="87">
        <f t="shared" si="199"/>
        <v>0</v>
      </c>
      <c r="F642" s="87">
        <f t="shared" si="199"/>
        <v>0</v>
      </c>
      <c r="G642" s="87">
        <f t="shared" si="199"/>
        <v>0</v>
      </c>
      <c r="H642" s="87">
        <f t="shared" si="199"/>
        <v>0</v>
      </c>
      <c r="I642" s="87">
        <f t="shared" si="199"/>
        <v>0</v>
      </c>
      <c r="J642" s="87">
        <f t="shared" si="199"/>
        <v>0</v>
      </c>
      <c r="K642" s="87">
        <f t="shared" si="199"/>
        <v>0</v>
      </c>
      <c r="L642" s="87">
        <f t="shared" si="199"/>
        <v>0</v>
      </c>
      <c r="M642" s="87">
        <f t="shared" si="199"/>
        <v>0</v>
      </c>
      <c r="N642" s="87">
        <f t="shared" si="199"/>
        <v>0</v>
      </c>
      <c r="O642" s="87">
        <f t="shared" si="199"/>
        <v>0</v>
      </c>
      <c r="P642" s="87">
        <f>SUM(P634:P640)+D632</f>
        <v>0</v>
      </c>
    </row>
    <row r="643" spans="1:16" x14ac:dyDescent="0.2">
      <c r="A643" s="66"/>
      <c r="C643" s="66"/>
      <c r="D643" s="79"/>
      <c r="E643" s="79"/>
      <c r="F643" s="79"/>
      <c r="G643" s="79"/>
      <c r="H643" s="79"/>
      <c r="I643" s="79"/>
      <c r="J643" s="79"/>
      <c r="K643" s="79"/>
      <c r="L643" s="79"/>
      <c r="M643" s="79"/>
      <c r="N643" s="79"/>
      <c r="O643" s="79"/>
    </row>
    <row r="644" spans="1:16" x14ac:dyDescent="0.2">
      <c r="A644" s="626" t="str">
        <f>A61</f>
        <v xml:space="preserve">   Interest Rate </v>
      </c>
      <c r="C644" s="66"/>
      <c r="D644" s="97">
        <f t="shared" ref="D644:O644" si="200">D61</f>
        <v>7.7499999999999999E-2</v>
      </c>
      <c r="E644" s="97">
        <f t="shared" si="200"/>
        <v>7.7499999999999999E-2</v>
      </c>
      <c r="F644" s="97">
        <f t="shared" si="200"/>
        <v>7.7499999999999999E-2</v>
      </c>
      <c r="G644" s="97">
        <f t="shared" si="200"/>
        <v>7.7499999999999999E-2</v>
      </c>
      <c r="H644" s="97">
        <f t="shared" si="200"/>
        <v>7.7499999999999999E-2</v>
      </c>
      <c r="I644" s="97">
        <f t="shared" si="200"/>
        <v>7.7499999999999999E-2</v>
      </c>
      <c r="J644" s="97">
        <f t="shared" si="200"/>
        <v>7.7499999999999999E-2</v>
      </c>
      <c r="K644" s="97">
        <f t="shared" si="200"/>
        <v>7.7499999999999999E-2</v>
      </c>
      <c r="L644" s="97">
        <f t="shared" si="200"/>
        <v>7.7499999999999999E-2</v>
      </c>
      <c r="M644" s="97">
        <f t="shared" si="200"/>
        <v>7.7499999999999999E-2</v>
      </c>
      <c r="N644" s="97">
        <f t="shared" si="200"/>
        <v>7.7499999999999999E-2</v>
      </c>
      <c r="O644" s="97">
        <f t="shared" si="200"/>
        <v>7.7499999999999999E-2</v>
      </c>
    </row>
    <row r="645" spans="1:16" x14ac:dyDescent="0.2">
      <c r="A645" s="626" t="str">
        <f>A62</f>
        <v xml:space="preserve">      Monthly</v>
      </c>
      <c r="C645" s="66"/>
      <c r="D645" s="89">
        <f t="shared" ref="D645:O645" si="201">D62</f>
        <v>6.6E-3</v>
      </c>
      <c r="E645" s="89">
        <f t="shared" si="201"/>
        <v>5.8999999999999999E-3</v>
      </c>
      <c r="F645" s="89">
        <f t="shared" si="201"/>
        <v>6.6E-3</v>
      </c>
      <c r="G645" s="89">
        <f t="shared" si="201"/>
        <v>6.4000000000000003E-3</v>
      </c>
      <c r="H645" s="89">
        <f t="shared" si="201"/>
        <v>6.6E-3</v>
      </c>
      <c r="I645" s="89">
        <f t="shared" si="201"/>
        <v>6.4000000000000003E-3</v>
      </c>
      <c r="J645" s="89">
        <f t="shared" si="201"/>
        <v>6.6E-3</v>
      </c>
      <c r="K645" s="89">
        <f t="shared" si="201"/>
        <v>6.6E-3</v>
      </c>
      <c r="L645" s="89">
        <f t="shared" si="201"/>
        <v>6.4000000000000003E-3</v>
      </c>
      <c r="M645" s="89">
        <f t="shared" si="201"/>
        <v>6.6E-3</v>
      </c>
      <c r="N645" s="89">
        <f t="shared" si="201"/>
        <v>6.4000000000000003E-3</v>
      </c>
      <c r="O645" s="89">
        <f t="shared" si="201"/>
        <v>6.6E-3</v>
      </c>
    </row>
    <row r="646" spans="1:16" ht="12.75" customHeight="1" x14ac:dyDescent="0.2">
      <c r="A646" s="66"/>
      <c r="C646" s="66"/>
    </row>
    <row r="647" spans="1:16" x14ac:dyDescent="0.2">
      <c r="A647" s="624" t="s">
        <v>67</v>
      </c>
      <c r="C647" s="86"/>
      <c r="D647" s="625">
        <f t="shared" ref="D647:O647" si="202">ROUND(C642*D645,0)</f>
        <v>0</v>
      </c>
      <c r="E647" s="625">
        <f t="shared" si="202"/>
        <v>0</v>
      </c>
      <c r="F647" s="625">
        <f t="shared" si="202"/>
        <v>0</v>
      </c>
      <c r="G647" s="625">
        <f t="shared" si="202"/>
        <v>0</v>
      </c>
      <c r="H647" s="625">
        <f t="shared" si="202"/>
        <v>0</v>
      </c>
      <c r="I647" s="625">
        <f t="shared" si="202"/>
        <v>0</v>
      </c>
      <c r="J647" s="625">
        <f t="shared" si="202"/>
        <v>0</v>
      </c>
      <c r="K647" s="625">
        <f t="shared" si="202"/>
        <v>0</v>
      </c>
      <c r="L647" s="625">
        <f t="shared" si="202"/>
        <v>0</v>
      </c>
      <c r="M647" s="625">
        <f t="shared" si="202"/>
        <v>0</v>
      </c>
      <c r="N647" s="625">
        <f t="shared" si="202"/>
        <v>0</v>
      </c>
      <c r="O647" s="625">
        <f t="shared" si="202"/>
        <v>0</v>
      </c>
      <c r="P647" s="625">
        <f>SUM(D647:O647)</f>
        <v>0</v>
      </c>
    </row>
    <row r="648" spans="1:16" x14ac:dyDescent="0.2">
      <c r="A648" s="351" t="s">
        <v>102</v>
      </c>
      <c r="C648" s="86"/>
      <c r="D648" s="267">
        <v>0</v>
      </c>
      <c r="E648" s="267">
        <v>0</v>
      </c>
      <c r="F648" s="267">
        <v>0</v>
      </c>
      <c r="G648" s="267">
        <v>0</v>
      </c>
      <c r="H648" s="267">
        <v>0</v>
      </c>
      <c r="I648" s="267">
        <v>0</v>
      </c>
      <c r="J648" s="267">
        <v>0</v>
      </c>
      <c r="K648" s="267">
        <v>0</v>
      </c>
      <c r="L648" s="267">
        <v>0</v>
      </c>
      <c r="M648" s="267">
        <v>0</v>
      </c>
      <c r="N648" s="267">
        <v>0</v>
      </c>
      <c r="O648" s="267">
        <v>0</v>
      </c>
      <c r="P648" s="71">
        <f>SUM(D648:O648)</f>
        <v>0</v>
      </c>
    </row>
    <row r="649" spans="1:16" x14ac:dyDescent="0.2">
      <c r="A649" s="627" t="str">
        <f>A66</f>
        <v xml:space="preserve">      Total Current Month Carrying Charges</v>
      </c>
      <c r="C649" s="658"/>
      <c r="D649" s="74">
        <f>D647+D648</f>
        <v>0</v>
      </c>
      <c r="E649" s="74">
        <f t="shared" ref="E649:P649" si="203">E647+E648</f>
        <v>0</v>
      </c>
      <c r="F649" s="74">
        <f t="shared" si="203"/>
        <v>0</v>
      </c>
      <c r="G649" s="74">
        <f t="shared" si="203"/>
        <v>0</v>
      </c>
      <c r="H649" s="74">
        <f t="shared" si="203"/>
        <v>0</v>
      </c>
      <c r="I649" s="74">
        <f t="shared" si="203"/>
        <v>0</v>
      </c>
      <c r="J649" s="74">
        <f t="shared" si="203"/>
        <v>0</v>
      </c>
      <c r="K649" s="74">
        <f t="shared" si="203"/>
        <v>0</v>
      </c>
      <c r="L649" s="74">
        <f t="shared" si="203"/>
        <v>0</v>
      </c>
      <c r="M649" s="74">
        <f t="shared" si="203"/>
        <v>0</v>
      </c>
      <c r="N649" s="74">
        <f t="shared" si="203"/>
        <v>0</v>
      </c>
      <c r="O649" s="74">
        <f t="shared" si="203"/>
        <v>0</v>
      </c>
      <c r="P649" s="74">
        <f t="shared" si="203"/>
        <v>0</v>
      </c>
    </row>
    <row r="650" spans="1:16" ht="6" customHeight="1" x14ac:dyDescent="0.2">
      <c r="A650" s="66"/>
      <c r="B650" s="788"/>
    </row>
    <row r="651" spans="1:16" x14ac:dyDescent="0.2">
      <c r="A651" s="627" t="str">
        <f>A68</f>
        <v xml:space="preserve">      Cumulative Carrying Charges</v>
      </c>
      <c r="B651" s="788"/>
      <c r="D651" s="69">
        <f>D649</f>
        <v>0</v>
      </c>
      <c r="E651" s="69">
        <f>E649+D651</f>
        <v>0</v>
      </c>
      <c r="F651" s="69">
        <f t="shared" ref="F651:O651" si="204">F649+E651</f>
        <v>0</v>
      </c>
      <c r="G651" s="69">
        <f t="shared" si="204"/>
        <v>0</v>
      </c>
      <c r="H651" s="69">
        <f t="shared" si="204"/>
        <v>0</v>
      </c>
      <c r="I651" s="69">
        <f t="shared" si="204"/>
        <v>0</v>
      </c>
      <c r="J651" s="69">
        <f t="shared" si="204"/>
        <v>0</v>
      </c>
      <c r="K651" s="69">
        <f t="shared" si="204"/>
        <v>0</v>
      </c>
      <c r="L651" s="69">
        <f t="shared" si="204"/>
        <v>0</v>
      </c>
      <c r="M651" s="69">
        <f t="shared" si="204"/>
        <v>0</v>
      </c>
      <c r="N651" s="69">
        <f t="shared" si="204"/>
        <v>0</v>
      </c>
      <c r="O651" s="69">
        <f t="shared" si="204"/>
        <v>0</v>
      </c>
    </row>
    <row r="652" spans="1:16" ht="6" customHeight="1" x14ac:dyDescent="0.2"/>
    <row r="654" spans="1:16" x14ac:dyDescent="0.2">
      <c r="A654" s="605" t="str">
        <f ca="1">CELL("FILENAME")</f>
        <v>C:\Users\Felienne\Enron\EnronSpreadsheets\[tracy_geaccone__40367__EMNNG02PL.xls]IncomeState</v>
      </c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</row>
    <row r="655" spans="1:16" x14ac:dyDescent="0.2">
      <c r="A655" s="339" t="s">
        <v>345</v>
      </c>
      <c r="D655" s="103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</row>
    <row r="656" spans="1:16" x14ac:dyDescent="0.2">
      <c r="A656" s="355" t="str">
        <f>A3</f>
        <v>2002 OPERATING PLAN</v>
      </c>
      <c r="B656" s="786">
        <f ca="1">NOW()</f>
        <v>41887.551126967592</v>
      </c>
      <c r="C656" s="489" t="s">
        <v>346</v>
      </c>
      <c r="D656" s="60"/>
      <c r="E656" s="59"/>
      <c r="F656" s="59"/>
      <c r="G656" s="101"/>
      <c r="H656" s="101"/>
      <c r="I656" s="101"/>
      <c r="J656" s="102"/>
      <c r="K656" s="59"/>
      <c r="L656" s="59"/>
      <c r="M656" s="59"/>
      <c r="N656" s="59"/>
      <c r="O656" s="59"/>
      <c r="P656" s="90"/>
    </row>
    <row r="657" spans="1:16" x14ac:dyDescent="0.2">
      <c r="A657" s="61"/>
      <c r="B657" s="787">
        <f ca="1">NOW()</f>
        <v>41887.55112708333</v>
      </c>
      <c r="C657" s="338" t="str">
        <f>C4</f>
        <v>BALANCE</v>
      </c>
      <c r="D657" s="338" t="str">
        <f t="shared" ref="D657:P657" si="205">D4</f>
        <v>JAN</v>
      </c>
      <c r="E657" s="338" t="str">
        <f t="shared" si="205"/>
        <v>FEB</v>
      </c>
      <c r="F657" s="338" t="str">
        <f t="shared" si="205"/>
        <v>MAR</v>
      </c>
      <c r="G657" s="338" t="str">
        <f t="shared" si="205"/>
        <v>APR</v>
      </c>
      <c r="H657" s="338" t="str">
        <f t="shared" si="205"/>
        <v>MAY</v>
      </c>
      <c r="I657" s="338" t="str">
        <f t="shared" si="205"/>
        <v>JUN</v>
      </c>
      <c r="J657" s="338" t="str">
        <f t="shared" si="205"/>
        <v>JUL</v>
      </c>
      <c r="K657" s="338" t="str">
        <f t="shared" si="205"/>
        <v>AUG</v>
      </c>
      <c r="L657" s="338" t="str">
        <f t="shared" si="205"/>
        <v>SEP</v>
      </c>
      <c r="M657" s="338" t="str">
        <f t="shared" si="205"/>
        <v>OCT</v>
      </c>
      <c r="N657" s="338" t="str">
        <f t="shared" si="205"/>
        <v>NOV</v>
      </c>
      <c r="O657" s="338" t="str">
        <f t="shared" si="205"/>
        <v>DEC</v>
      </c>
      <c r="P657" s="338" t="str">
        <f t="shared" si="205"/>
        <v>2002</v>
      </c>
    </row>
    <row r="658" spans="1:16" ht="3.95" customHeight="1" x14ac:dyDescent="0.2"/>
    <row r="659" spans="1:16" x14ac:dyDescent="0.2">
      <c r="A659" s="356" t="s">
        <v>347</v>
      </c>
      <c r="B659" s="788"/>
      <c r="C659" s="62" t="str">
        <f>C76</f>
        <v>DEC.,2001</v>
      </c>
      <c r="D659" s="85"/>
      <c r="E659" s="85"/>
      <c r="F659" s="85"/>
      <c r="G659" s="85"/>
      <c r="H659" s="85"/>
      <c r="I659" s="85"/>
      <c r="J659" s="85"/>
      <c r="K659" s="85"/>
      <c r="L659" s="85"/>
      <c r="M659" s="85"/>
      <c r="N659" s="85"/>
      <c r="O659" s="85"/>
      <c r="P659" s="58"/>
    </row>
    <row r="660" spans="1:16" ht="3.95" customHeight="1" x14ac:dyDescent="0.2">
      <c r="A660" s="66"/>
      <c r="B660" s="788"/>
      <c r="D660" s="79"/>
      <c r="E660" s="79"/>
      <c r="F660" s="79"/>
      <c r="G660" s="79"/>
      <c r="H660" s="79"/>
      <c r="I660" s="79"/>
      <c r="J660" s="79"/>
      <c r="K660" s="79"/>
      <c r="L660" s="79"/>
      <c r="M660" s="79"/>
      <c r="N660" s="79"/>
      <c r="O660" s="79"/>
    </row>
    <row r="661" spans="1:16" x14ac:dyDescent="0.2">
      <c r="A661" s="344" t="s">
        <v>59</v>
      </c>
      <c r="B661" s="788"/>
      <c r="D661" s="69">
        <f t="shared" ref="D661:O661" si="206">C671</f>
        <v>3166</v>
      </c>
      <c r="E661" s="69">
        <f t="shared" si="206"/>
        <v>3187</v>
      </c>
      <c r="F661" s="69">
        <f t="shared" si="206"/>
        <v>3206</v>
      </c>
      <c r="G661" s="69">
        <f t="shared" si="206"/>
        <v>3227</v>
      </c>
      <c r="H661" s="69">
        <f t="shared" si="206"/>
        <v>3248</v>
      </c>
      <c r="I661" s="69">
        <f t="shared" si="206"/>
        <v>3269</v>
      </c>
      <c r="J661" s="69">
        <f t="shared" si="206"/>
        <v>3290</v>
      </c>
      <c r="K661" s="69">
        <f t="shared" si="206"/>
        <v>3312</v>
      </c>
      <c r="L661" s="69">
        <f t="shared" si="206"/>
        <v>3334</v>
      </c>
      <c r="M661" s="69">
        <f t="shared" si="206"/>
        <v>3355</v>
      </c>
      <c r="N661" s="69">
        <f t="shared" si="206"/>
        <v>3377</v>
      </c>
      <c r="O661" s="69">
        <f t="shared" si="206"/>
        <v>3399</v>
      </c>
      <c r="P661" s="69"/>
    </row>
    <row r="662" spans="1:16" ht="6" customHeight="1" x14ac:dyDescent="0.2"/>
    <row r="663" spans="1:16" x14ac:dyDescent="0.2">
      <c r="A663" s="77" t="s">
        <v>60</v>
      </c>
      <c r="B663" s="91"/>
      <c r="D663" s="68">
        <v>0</v>
      </c>
      <c r="E663" s="68">
        <v>0</v>
      </c>
      <c r="F663" s="68">
        <v>0</v>
      </c>
      <c r="G663" s="68">
        <v>0</v>
      </c>
      <c r="H663" s="68">
        <v>0</v>
      </c>
      <c r="I663" s="68">
        <v>0</v>
      </c>
      <c r="J663" s="68">
        <v>0</v>
      </c>
      <c r="K663" s="68">
        <v>0</v>
      </c>
      <c r="L663" s="68">
        <v>0</v>
      </c>
      <c r="M663" s="68">
        <f>0</f>
        <v>0</v>
      </c>
      <c r="N663" s="68">
        <f>0</f>
        <v>0</v>
      </c>
      <c r="O663" s="68">
        <v>0</v>
      </c>
      <c r="P663" s="69">
        <f>SUM(D663:O663)</f>
        <v>0</v>
      </c>
    </row>
    <row r="664" spans="1:16" ht="6" customHeight="1" x14ac:dyDescent="0.2">
      <c r="A664" s="66"/>
      <c r="B664" s="788"/>
      <c r="D664" s="69"/>
      <c r="E664" s="69"/>
      <c r="F664" s="69"/>
      <c r="G664" s="69"/>
      <c r="H664" s="69"/>
      <c r="I664" s="69"/>
      <c r="J664" s="69"/>
      <c r="K664" s="69"/>
      <c r="L664" s="69"/>
      <c r="M664" s="69"/>
      <c r="N664" s="69"/>
      <c r="O664" s="69"/>
    </row>
    <row r="665" spans="1:16" x14ac:dyDescent="0.2">
      <c r="A665" s="351" t="s">
        <v>246</v>
      </c>
      <c r="B665" s="788"/>
      <c r="D665" s="535">
        <f>+Transport!C74+Transport!C75+Transport!C76</f>
        <v>0</v>
      </c>
      <c r="E665" s="535">
        <f>+Transport!D74+Transport!D75+Transport!D76</f>
        <v>0</v>
      </c>
      <c r="F665" s="535">
        <f>+Transport!E74+Transport!E75+Transport!E76</f>
        <v>0</v>
      </c>
      <c r="G665" s="535">
        <f>+Transport!F74+Transport!F75+Transport!F76</f>
        <v>0</v>
      </c>
      <c r="H665" s="535">
        <f>+Transport!G74+Transport!G75+Transport!G76</f>
        <v>0</v>
      </c>
      <c r="I665" s="535">
        <f>+Transport!H74+Transport!H75+Transport!H76</f>
        <v>0</v>
      </c>
      <c r="J665" s="535">
        <f>+Transport!I74+Transport!I75+Transport!I76</f>
        <v>0</v>
      </c>
      <c r="K665" s="535">
        <f>+Transport!J74+Transport!J75+Transport!J76</f>
        <v>0</v>
      </c>
      <c r="L665" s="535">
        <f>+Transport!K74+Transport!K75+Transport!K76</f>
        <v>0</v>
      </c>
      <c r="M665" s="535">
        <f>+Transport!L74+Transport!L75+Transport!L76</f>
        <v>0</v>
      </c>
      <c r="N665" s="535">
        <f>+Transport!M74+Transport!M75+Transport!M76</f>
        <v>0</v>
      </c>
      <c r="O665" s="535">
        <f>+Transport!N74+Transport!N75+Transport!N76</f>
        <v>0</v>
      </c>
      <c r="P665" s="69">
        <f>SUM(D665:O665)</f>
        <v>0</v>
      </c>
    </row>
    <row r="666" spans="1:16" ht="6" customHeight="1" x14ac:dyDescent="0.2">
      <c r="A666" s="66"/>
      <c r="B666" s="788"/>
      <c r="D666" s="69"/>
      <c r="E666" s="69"/>
      <c r="F666" s="69"/>
      <c r="G666" s="69"/>
      <c r="H666" s="69"/>
      <c r="I666" s="69"/>
      <c r="J666" s="69"/>
      <c r="K666" s="69"/>
      <c r="L666" s="69"/>
      <c r="M666" s="69"/>
      <c r="N666" s="69"/>
      <c r="O666" s="69"/>
      <c r="P666" s="69"/>
    </row>
    <row r="667" spans="1:16" x14ac:dyDescent="0.2">
      <c r="A667" s="77" t="s">
        <v>62</v>
      </c>
      <c r="B667" s="788"/>
      <c r="D667" s="68">
        <v>0</v>
      </c>
      <c r="E667" s="68">
        <v>0</v>
      </c>
      <c r="F667" s="68">
        <v>0</v>
      </c>
      <c r="G667" s="68">
        <v>0</v>
      </c>
      <c r="H667" s="68">
        <v>0</v>
      </c>
      <c r="I667" s="68">
        <v>0</v>
      </c>
      <c r="J667" s="68">
        <v>0</v>
      </c>
      <c r="K667" s="68">
        <v>0</v>
      </c>
      <c r="L667" s="68">
        <v>0</v>
      </c>
      <c r="M667" s="68">
        <v>0</v>
      </c>
      <c r="N667" s="68">
        <v>0</v>
      </c>
      <c r="O667" s="68">
        <v>0</v>
      </c>
      <c r="P667" s="69">
        <f>SUM(D667:O667)</f>
        <v>0</v>
      </c>
    </row>
    <row r="668" spans="1:16" ht="6" customHeight="1" x14ac:dyDescent="0.2">
      <c r="A668" s="66"/>
      <c r="B668" s="788"/>
      <c r="D668" s="69"/>
      <c r="E668" s="69"/>
      <c r="F668" s="69"/>
      <c r="G668" s="69"/>
      <c r="H668" s="69"/>
      <c r="I668" s="69"/>
      <c r="J668" s="69"/>
      <c r="K668" s="69"/>
      <c r="L668" s="69"/>
      <c r="M668" s="69"/>
      <c r="N668" s="69"/>
      <c r="O668" s="69"/>
      <c r="P668" s="69"/>
    </row>
    <row r="669" spans="1:16" x14ac:dyDescent="0.2">
      <c r="A669" s="67" t="s">
        <v>111</v>
      </c>
      <c r="B669" s="788"/>
      <c r="D669" s="71">
        <f t="shared" ref="D669:O669" si="207">D678</f>
        <v>21</v>
      </c>
      <c r="E669" s="71">
        <f t="shared" si="207"/>
        <v>19</v>
      </c>
      <c r="F669" s="71">
        <f t="shared" si="207"/>
        <v>21</v>
      </c>
      <c r="G669" s="71">
        <f t="shared" si="207"/>
        <v>21</v>
      </c>
      <c r="H669" s="71">
        <f t="shared" si="207"/>
        <v>21</v>
      </c>
      <c r="I669" s="71">
        <f t="shared" si="207"/>
        <v>21</v>
      </c>
      <c r="J669" s="71">
        <f t="shared" si="207"/>
        <v>22</v>
      </c>
      <c r="K669" s="71">
        <f t="shared" si="207"/>
        <v>22</v>
      </c>
      <c r="L669" s="71">
        <f t="shared" si="207"/>
        <v>21</v>
      </c>
      <c r="M669" s="71">
        <f t="shared" si="207"/>
        <v>22</v>
      </c>
      <c r="N669" s="71">
        <f t="shared" si="207"/>
        <v>22</v>
      </c>
      <c r="O669" s="71">
        <f t="shared" si="207"/>
        <v>22</v>
      </c>
      <c r="P669" s="71">
        <f>SUM(D669:O669)</f>
        <v>255</v>
      </c>
    </row>
    <row r="670" spans="1:16" ht="3.95" customHeight="1" x14ac:dyDescent="0.2">
      <c r="A670" s="66"/>
      <c r="B670" s="788"/>
      <c r="D670" s="79"/>
      <c r="E670" s="79"/>
      <c r="F670" s="79"/>
      <c r="G670" s="79"/>
      <c r="H670" s="79"/>
      <c r="I670" s="79"/>
      <c r="J670" s="79"/>
      <c r="K670" s="79"/>
      <c r="L670" s="79"/>
      <c r="M670" s="79"/>
      <c r="N670" s="79"/>
      <c r="O670" s="79"/>
    </row>
    <row r="671" spans="1:16" x14ac:dyDescent="0.2">
      <c r="A671" s="344" t="s">
        <v>64</v>
      </c>
      <c r="B671" s="793"/>
      <c r="C671" s="658">
        <v>3166</v>
      </c>
      <c r="D671" s="87">
        <f t="shared" ref="D671:O671" si="208">SUM(D661:D669)</f>
        <v>3187</v>
      </c>
      <c r="E671" s="87">
        <f t="shared" si="208"/>
        <v>3206</v>
      </c>
      <c r="F671" s="87">
        <f t="shared" si="208"/>
        <v>3227</v>
      </c>
      <c r="G671" s="87">
        <f t="shared" si="208"/>
        <v>3248</v>
      </c>
      <c r="H671" s="87">
        <f t="shared" si="208"/>
        <v>3269</v>
      </c>
      <c r="I671" s="87">
        <f t="shared" si="208"/>
        <v>3290</v>
      </c>
      <c r="J671" s="87">
        <f t="shared" si="208"/>
        <v>3312</v>
      </c>
      <c r="K671" s="87">
        <f t="shared" si="208"/>
        <v>3334</v>
      </c>
      <c r="L671" s="87">
        <f t="shared" si="208"/>
        <v>3355</v>
      </c>
      <c r="M671" s="87">
        <f t="shared" si="208"/>
        <v>3377</v>
      </c>
      <c r="N671" s="87">
        <f t="shared" si="208"/>
        <v>3399</v>
      </c>
      <c r="O671" s="87">
        <f t="shared" si="208"/>
        <v>3421</v>
      </c>
      <c r="P671" s="87">
        <f>SUM(P663:P669)+D661</f>
        <v>3421</v>
      </c>
    </row>
    <row r="672" spans="1:16" x14ac:dyDescent="0.2">
      <c r="A672" s="66"/>
      <c r="C672" s="66"/>
      <c r="D672" s="79"/>
      <c r="E672" s="79"/>
      <c r="F672" s="79"/>
      <c r="G672" s="79"/>
      <c r="H672" s="79"/>
      <c r="I672" s="79"/>
      <c r="J672" s="79"/>
      <c r="K672" s="79"/>
      <c r="L672" s="79"/>
      <c r="M672" s="79"/>
      <c r="N672" s="79"/>
      <c r="O672" s="79"/>
    </row>
    <row r="673" spans="1:16" x14ac:dyDescent="0.2">
      <c r="A673" s="626" t="str">
        <f>A90</f>
        <v xml:space="preserve">   Interest Rate </v>
      </c>
      <c r="C673" s="66"/>
      <c r="D673" s="97">
        <f t="shared" ref="D673:O673" si="209">D90</f>
        <v>7.7499999999999999E-2</v>
      </c>
      <c r="E673" s="97">
        <f t="shared" si="209"/>
        <v>7.7499999999999999E-2</v>
      </c>
      <c r="F673" s="97">
        <f t="shared" si="209"/>
        <v>7.7499999999999999E-2</v>
      </c>
      <c r="G673" s="97">
        <f t="shared" si="209"/>
        <v>7.7499999999999999E-2</v>
      </c>
      <c r="H673" s="97">
        <f t="shared" si="209"/>
        <v>7.7499999999999999E-2</v>
      </c>
      <c r="I673" s="97">
        <f t="shared" si="209"/>
        <v>7.7499999999999999E-2</v>
      </c>
      <c r="J673" s="97">
        <f t="shared" si="209"/>
        <v>7.7499999999999999E-2</v>
      </c>
      <c r="K673" s="97">
        <f t="shared" si="209"/>
        <v>7.7499999999999999E-2</v>
      </c>
      <c r="L673" s="97">
        <f t="shared" si="209"/>
        <v>7.7499999999999999E-2</v>
      </c>
      <c r="M673" s="97">
        <f t="shared" si="209"/>
        <v>7.7499999999999999E-2</v>
      </c>
      <c r="N673" s="97">
        <f t="shared" si="209"/>
        <v>7.7499999999999999E-2</v>
      </c>
      <c r="O673" s="97">
        <f t="shared" si="209"/>
        <v>7.7499999999999999E-2</v>
      </c>
    </row>
    <row r="674" spans="1:16" x14ac:dyDescent="0.2">
      <c r="A674" s="626" t="str">
        <f>A91</f>
        <v xml:space="preserve">      Monthly</v>
      </c>
      <c r="C674" s="66"/>
      <c r="D674" s="89">
        <f t="shared" ref="D674:O674" si="210">D91</f>
        <v>6.6E-3</v>
      </c>
      <c r="E674" s="89">
        <f t="shared" si="210"/>
        <v>5.8999999999999999E-3</v>
      </c>
      <c r="F674" s="89">
        <f t="shared" si="210"/>
        <v>6.6E-3</v>
      </c>
      <c r="G674" s="89">
        <f t="shared" si="210"/>
        <v>6.4000000000000003E-3</v>
      </c>
      <c r="H674" s="89">
        <f t="shared" si="210"/>
        <v>6.6E-3</v>
      </c>
      <c r="I674" s="89">
        <f t="shared" si="210"/>
        <v>6.4000000000000003E-3</v>
      </c>
      <c r="J674" s="89">
        <f t="shared" si="210"/>
        <v>6.6E-3</v>
      </c>
      <c r="K674" s="89">
        <f t="shared" si="210"/>
        <v>6.6E-3</v>
      </c>
      <c r="L674" s="89">
        <f t="shared" si="210"/>
        <v>6.4000000000000003E-3</v>
      </c>
      <c r="M674" s="89">
        <f t="shared" si="210"/>
        <v>6.6E-3</v>
      </c>
      <c r="N674" s="89">
        <f t="shared" si="210"/>
        <v>6.4000000000000003E-3</v>
      </c>
      <c r="O674" s="89">
        <f t="shared" si="210"/>
        <v>6.6E-3</v>
      </c>
    </row>
    <row r="675" spans="1:16" x14ac:dyDescent="0.2">
      <c r="A675" s="66"/>
      <c r="C675" s="66"/>
    </row>
    <row r="676" spans="1:16" x14ac:dyDescent="0.2">
      <c r="A676" s="624" t="s">
        <v>67</v>
      </c>
      <c r="C676" s="86"/>
      <c r="D676" s="625">
        <f t="shared" ref="D676:O676" si="211">ROUND(C671*D674,0)</f>
        <v>21</v>
      </c>
      <c r="E676" s="625">
        <f t="shared" si="211"/>
        <v>19</v>
      </c>
      <c r="F676" s="625">
        <f t="shared" si="211"/>
        <v>21</v>
      </c>
      <c r="G676" s="625">
        <f t="shared" si="211"/>
        <v>21</v>
      </c>
      <c r="H676" s="625">
        <f t="shared" si="211"/>
        <v>21</v>
      </c>
      <c r="I676" s="625">
        <f t="shared" si="211"/>
        <v>21</v>
      </c>
      <c r="J676" s="625">
        <f t="shared" si="211"/>
        <v>22</v>
      </c>
      <c r="K676" s="625">
        <f t="shared" si="211"/>
        <v>22</v>
      </c>
      <c r="L676" s="625">
        <f t="shared" si="211"/>
        <v>21</v>
      </c>
      <c r="M676" s="625">
        <f t="shared" si="211"/>
        <v>22</v>
      </c>
      <c r="N676" s="625">
        <f t="shared" si="211"/>
        <v>22</v>
      </c>
      <c r="O676" s="625">
        <f t="shared" si="211"/>
        <v>22</v>
      </c>
      <c r="P676" s="625">
        <f>SUM(D676:O676)</f>
        <v>255</v>
      </c>
    </row>
    <row r="677" spans="1:16" x14ac:dyDescent="0.2">
      <c r="A677" s="351" t="s">
        <v>102</v>
      </c>
      <c r="C677" s="86"/>
      <c r="D677" s="267">
        <v>0</v>
      </c>
      <c r="E677" s="267">
        <v>0</v>
      </c>
      <c r="F677" s="267">
        <v>0</v>
      </c>
      <c r="G677" s="267">
        <v>0</v>
      </c>
      <c r="H677" s="267">
        <v>0</v>
      </c>
      <c r="I677" s="267">
        <v>0</v>
      </c>
      <c r="J677" s="267">
        <v>0</v>
      </c>
      <c r="K677" s="267">
        <v>0</v>
      </c>
      <c r="L677" s="267">
        <v>0</v>
      </c>
      <c r="M677" s="267">
        <v>0</v>
      </c>
      <c r="N677" s="267">
        <v>0</v>
      </c>
      <c r="O677" s="267">
        <v>0</v>
      </c>
      <c r="P677" s="71">
        <f>SUM(D677:O677)</f>
        <v>0</v>
      </c>
    </row>
    <row r="678" spans="1:16" x14ac:dyDescent="0.2">
      <c r="A678" s="627" t="str">
        <f>A95</f>
        <v xml:space="preserve">      Total Current Month Carrying Charges</v>
      </c>
      <c r="C678" s="658"/>
      <c r="D678" s="74">
        <f t="shared" ref="D678:P678" si="212">D676+D677</f>
        <v>21</v>
      </c>
      <c r="E678" s="74">
        <f t="shared" si="212"/>
        <v>19</v>
      </c>
      <c r="F678" s="74">
        <f t="shared" si="212"/>
        <v>21</v>
      </c>
      <c r="G678" s="74">
        <f t="shared" si="212"/>
        <v>21</v>
      </c>
      <c r="H678" s="74">
        <f t="shared" si="212"/>
        <v>21</v>
      </c>
      <c r="I678" s="74">
        <f t="shared" si="212"/>
        <v>21</v>
      </c>
      <c r="J678" s="74">
        <f t="shared" si="212"/>
        <v>22</v>
      </c>
      <c r="K678" s="74">
        <f t="shared" si="212"/>
        <v>22</v>
      </c>
      <c r="L678" s="74">
        <f t="shared" si="212"/>
        <v>21</v>
      </c>
      <c r="M678" s="74">
        <f t="shared" si="212"/>
        <v>22</v>
      </c>
      <c r="N678" s="74">
        <f t="shared" si="212"/>
        <v>22</v>
      </c>
      <c r="O678" s="74">
        <f t="shared" si="212"/>
        <v>22</v>
      </c>
      <c r="P678" s="74">
        <f t="shared" si="212"/>
        <v>255</v>
      </c>
    </row>
    <row r="679" spans="1:16" ht="6" customHeight="1" x14ac:dyDescent="0.2">
      <c r="A679" s="66"/>
      <c r="B679" s="788"/>
    </row>
    <row r="680" spans="1:16" x14ac:dyDescent="0.2">
      <c r="A680" s="627" t="str">
        <f>A97</f>
        <v xml:space="preserve">      Cumulative Carrying Charges</v>
      </c>
      <c r="B680" s="788"/>
      <c r="D680" s="69">
        <f>D678</f>
        <v>21</v>
      </c>
      <c r="E680" s="69">
        <f>E678+D680</f>
        <v>40</v>
      </c>
      <c r="F680" s="69">
        <f t="shared" ref="F680:O680" si="213">F678+E680</f>
        <v>61</v>
      </c>
      <c r="G680" s="69">
        <f t="shared" si="213"/>
        <v>82</v>
      </c>
      <c r="H680" s="69">
        <f t="shared" si="213"/>
        <v>103</v>
      </c>
      <c r="I680" s="69">
        <f t="shared" si="213"/>
        <v>124</v>
      </c>
      <c r="J680" s="69">
        <f t="shared" si="213"/>
        <v>146</v>
      </c>
      <c r="K680" s="69">
        <f t="shared" si="213"/>
        <v>168</v>
      </c>
      <c r="L680" s="69">
        <f t="shared" si="213"/>
        <v>189</v>
      </c>
      <c r="M680" s="69">
        <f t="shared" si="213"/>
        <v>211</v>
      </c>
      <c r="N680" s="69">
        <f t="shared" si="213"/>
        <v>233</v>
      </c>
      <c r="O680" s="69">
        <f t="shared" si="213"/>
        <v>255</v>
      </c>
    </row>
    <row r="681" spans="1:16" ht="6" customHeight="1" x14ac:dyDescent="0.2"/>
  </sheetData>
  <phoneticPr fontId="0" type="noConversion"/>
  <printOptions horizontalCentered="1" gridLinesSet="0"/>
  <pageMargins left="0.5" right="0.5" top="0.5" bottom="0.25" header="0" footer="0"/>
  <pageSetup paperSize="5" scale="94" orientation="landscape" horizontalDpi="1200" verticalDpi="1200" r:id="rId1"/>
  <headerFooter alignWithMargins="0"/>
  <rowBreaks count="6" manualBreakCount="6">
    <brk id="69" max="65535" man="1"/>
    <brk id="158" max="65535" man="1"/>
    <brk id="220" max="65535" man="1"/>
    <brk id="295" max="65535" man="1"/>
    <brk id="358" max="65535" man="1"/>
    <brk id="464" max="65535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9">
    <pageSetUpPr fitToPage="1"/>
  </sheetPr>
  <dimension ref="A1:U73"/>
  <sheetViews>
    <sheetView showGridLines="0" topLeftCell="A29" workbookViewId="0">
      <pane xSplit="2" ySplit="2" topLeftCell="C31" activePane="bottomRight" state="frozen"/>
      <selection activeCell="A29" sqref="A29"/>
      <selection pane="topRight" activeCell="C29" sqref="C29"/>
      <selection pane="bottomLeft" activeCell="A31" sqref="A31"/>
      <selection pane="bottomRight" activeCell="C31" sqref="C31"/>
    </sheetView>
  </sheetViews>
  <sheetFormatPr defaultRowHeight="12.75" x14ac:dyDescent="0.2"/>
  <cols>
    <col min="1" max="1" width="45.7109375" style="105" customWidth="1"/>
    <col min="2" max="2" width="8.7109375" style="813" customWidth="1"/>
    <col min="3" max="14" width="8.7109375" style="105" customWidth="1"/>
    <col min="15" max="17" width="9.7109375" style="105" customWidth="1"/>
    <col min="18" max="16384" width="9.140625" style="105"/>
  </cols>
  <sheetData>
    <row r="1" spans="1:18" x14ac:dyDescent="0.2">
      <c r="A1" s="605" t="str">
        <f ca="1">CELL("FILENAME")</f>
        <v>C:\Users\Felienne\Enron\EnronSpreadsheets\[tracy_geaccone__40367__EMNNG02PL.xls]IncomeState</v>
      </c>
    </row>
    <row r="2" spans="1:18" x14ac:dyDescent="0.2">
      <c r="A2" s="385" t="s">
        <v>1214</v>
      </c>
      <c r="C2" s="106" t="s">
        <v>1173</v>
      </c>
      <c r="D2" s="106" t="s">
        <v>1173</v>
      </c>
      <c r="E2" s="558"/>
      <c r="F2" s="106" t="s">
        <v>1173</v>
      </c>
      <c r="G2" s="497"/>
      <c r="H2" s="106" t="s">
        <v>1173</v>
      </c>
      <c r="I2" s="107"/>
      <c r="J2" s="107"/>
      <c r="K2" s="107"/>
      <c r="L2" s="107"/>
      <c r="M2" s="107"/>
      <c r="N2" s="107"/>
      <c r="O2" s="108"/>
      <c r="P2" s="108"/>
      <c r="Q2" s="108"/>
      <c r="R2" s="108"/>
    </row>
    <row r="3" spans="1:18" x14ac:dyDescent="0.2">
      <c r="A3" s="552" t="str">
        <f>IncomeState!A3</f>
        <v>2002 OPERATING PLAN</v>
      </c>
      <c r="B3" s="814">
        <f ca="1">NOW()</f>
        <v>41887.551126967592</v>
      </c>
      <c r="C3" s="558" t="str">
        <f>DataBase!C2</f>
        <v>PLAN</v>
      </c>
      <c r="D3" s="558" t="str">
        <f>DataBase!D2</f>
        <v>PLAN</v>
      </c>
      <c r="E3" s="558" t="str">
        <f>DataBase!E2</f>
        <v>PLAN</v>
      </c>
      <c r="F3" s="558" t="str">
        <f>DataBase!F2</f>
        <v>PLAN</v>
      </c>
      <c r="G3" s="558" t="str">
        <f>DataBase!G2</f>
        <v>PLAN</v>
      </c>
      <c r="H3" s="558" t="str">
        <f>DataBase!H2</f>
        <v>PLAN</v>
      </c>
      <c r="I3" s="558" t="str">
        <f>DataBase!I2</f>
        <v>PLAN</v>
      </c>
      <c r="J3" s="558" t="str">
        <f>DataBase!J2</f>
        <v>PLAN</v>
      </c>
      <c r="K3" s="558" t="str">
        <f>DataBase!K2</f>
        <v>PLAN</v>
      </c>
      <c r="L3" s="558" t="str">
        <f>DataBase!L2</f>
        <v>PLAN</v>
      </c>
      <c r="M3" s="558" t="str">
        <f>DataBase!M2</f>
        <v>PLAN</v>
      </c>
      <c r="N3" s="558" t="str">
        <f>DataBase!N2</f>
        <v>PLAN</v>
      </c>
      <c r="O3" s="558" t="str">
        <f>DataBase!O2</f>
        <v>TOTAL</v>
      </c>
      <c r="P3" s="558" t="str">
        <f>IncomeState!P6</f>
        <v>FEB.</v>
      </c>
      <c r="Q3" s="558" t="str">
        <f>IncomeState!Q6</f>
        <v>ESTIMATE</v>
      </c>
      <c r="R3" s="108"/>
    </row>
    <row r="4" spans="1:18" x14ac:dyDescent="0.2">
      <c r="A4" s="110"/>
      <c r="B4" s="815">
        <f ca="1">NOW()</f>
        <v>41887.551126967592</v>
      </c>
      <c r="C4" s="386" t="s">
        <v>1174</v>
      </c>
      <c r="D4" s="386" t="s">
        <v>1175</v>
      </c>
      <c r="E4" s="386" t="s">
        <v>1176</v>
      </c>
      <c r="F4" s="386" t="s">
        <v>1177</v>
      </c>
      <c r="G4" s="386" t="s">
        <v>1178</v>
      </c>
      <c r="H4" s="386" t="s">
        <v>1179</v>
      </c>
      <c r="I4" s="386" t="s">
        <v>1180</v>
      </c>
      <c r="J4" s="386" t="s">
        <v>1181</v>
      </c>
      <c r="K4" s="386" t="s">
        <v>1182</v>
      </c>
      <c r="L4" s="386" t="s">
        <v>1183</v>
      </c>
      <c r="M4" s="386" t="s">
        <v>1184</v>
      </c>
      <c r="N4" s="386" t="s">
        <v>1185</v>
      </c>
      <c r="O4" s="558" t="str">
        <f>DataBase!O3</f>
        <v>2002</v>
      </c>
      <c r="P4" s="609" t="str">
        <f>IncomeState!P7</f>
        <v>Y-T-D</v>
      </c>
      <c r="Q4" s="609" t="str">
        <f>IncomeState!Q7</f>
        <v>R.M.</v>
      </c>
      <c r="R4" s="112"/>
    </row>
    <row r="5" spans="1:18" ht="3.95" customHeight="1" x14ac:dyDescent="0.2"/>
    <row r="6" spans="1:18" x14ac:dyDescent="0.2">
      <c r="A6" s="388" t="s">
        <v>662</v>
      </c>
    </row>
    <row r="7" spans="1:18" ht="3.95" customHeight="1" x14ac:dyDescent="0.2">
      <c r="A7" s="113"/>
    </row>
    <row r="8" spans="1:18" x14ac:dyDescent="0.2">
      <c r="A8" s="263" t="s">
        <v>1234</v>
      </c>
      <c r="C8" s="114">
        <f>0.007</f>
        <v>7.0000000000000001E-3</v>
      </c>
      <c r="D8" s="114">
        <f t="shared" ref="D8:N8" si="0">0.007</f>
        <v>7.0000000000000001E-3</v>
      </c>
      <c r="E8" s="114">
        <f t="shared" si="0"/>
        <v>7.0000000000000001E-3</v>
      </c>
      <c r="F8" s="114">
        <f t="shared" si="0"/>
        <v>7.0000000000000001E-3</v>
      </c>
      <c r="G8" s="114">
        <f t="shared" si="0"/>
        <v>7.0000000000000001E-3</v>
      </c>
      <c r="H8" s="114">
        <f t="shared" si="0"/>
        <v>7.0000000000000001E-3</v>
      </c>
      <c r="I8" s="114">
        <f t="shared" si="0"/>
        <v>7.0000000000000001E-3</v>
      </c>
      <c r="J8" s="114">
        <f t="shared" si="0"/>
        <v>7.0000000000000001E-3</v>
      </c>
      <c r="K8" s="114">
        <f t="shared" si="0"/>
        <v>7.0000000000000001E-3</v>
      </c>
      <c r="L8" s="114">
        <f t="shared" si="0"/>
        <v>7.0000000000000001E-3</v>
      </c>
      <c r="M8" s="114">
        <f t="shared" si="0"/>
        <v>7.0000000000000001E-3</v>
      </c>
      <c r="N8" s="114">
        <f t="shared" si="0"/>
        <v>7.0000000000000001E-3</v>
      </c>
      <c r="O8" s="115"/>
      <c r="P8" s="116"/>
      <c r="Q8" s="115"/>
      <c r="R8" s="113"/>
    </row>
    <row r="9" spans="1:18" ht="3.95" customHeight="1" x14ac:dyDescent="0.2">
      <c r="A9" s="113"/>
    </row>
    <row r="10" spans="1:18" x14ac:dyDescent="0.2">
      <c r="A10" s="263" t="s">
        <v>755</v>
      </c>
      <c r="C10" s="720">
        <v>0</v>
      </c>
      <c r="D10" s="720">
        <v>0</v>
      </c>
      <c r="E10" s="720">
        <v>0</v>
      </c>
      <c r="F10" s="720">
        <v>0</v>
      </c>
      <c r="G10" s="720">
        <v>0</v>
      </c>
      <c r="H10" s="720">
        <v>0</v>
      </c>
      <c r="I10" s="720">
        <v>0</v>
      </c>
      <c r="J10" s="720">
        <v>0</v>
      </c>
      <c r="K10" s="720">
        <v>0</v>
      </c>
      <c r="L10" s="720">
        <v>0</v>
      </c>
      <c r="M10" s="720">
        <v>0</v>
      </c>
      <c r="N10" s="720">
        <v>0</v>
      </c>
      <c r="O10" s="115">
        <f>SUM(C10:N10)</f>
        <v>0</v>
      </c>
      <c r="P10" s="116">
        <f>SUM(C10:D10)</f>
        <v>0</v>
      </c>
      <c r="Q10" s="115">
        <f>(O10-P10)</f>
        <v>0</v>
      </c>
    </row>
    <row r="11" spans="1:18" x14ac:dyDescent="0.2">
      <c r="A11" s="263" t="s">
        <v>663</v>
      </c>
      <c r="C11" s="117">
        <v>0.82799999999999996</v>
      </c>
      <c r="D11" s="117">
        <v>0.82799999999999996</v>
      </c>
      <c r="E11" s="117">
        <v>0.82799999999999996</v>
      </c>
      <c r="F11" s="117">
        <v>0.82799999999999996</v>
      </c>
      <c r="G11" s="117">
        <v>0.82799999999999996</v>
      </c>
      <c r="H11" s="117">
        <v>0.82799999999999996</v>
      </c>
      <c r="I11" s="117">
        <v>0.82799999999999996</v>
      </c>
      <c r="J11" s="117">
        <v>0.82799999999999996</v>
      </c>
      <c r="K11" s="117">
        <v>0.82799999999999996</v>
      </c>
      <c r="L11" s="117">
        <v>0.82799999999999996</v>
      </c>
      <c r="M11" s="117">
        <v>0.82799999999999996</v>
      </c>
      <c r="N11" s="117">
        <v>0.82799999999999996</v>
      </c>
      <c r="O11" s="115"/>
      <c r="P11" s="116"/>
      <c r="Q11" s="115"/>
    </row>
    <row r="12" spans="1:18" x14ac:dyDescent="0.2">
      <c r="A12" s="263" t="s">
        <v>664</v>
      </c>
      <c r="C12" s="115">
        <f t="shared" ref="C12:N12" si="1">ROUND((+C10*C11),0)</f>
        <v>0</v>
      </c>
      <c r="D12" s="115">
        <f t="shared" si="1"/>
        <v>0</v>
      </c>
      <c r="E12" s="115">
        <f t="shared" si="1"/>
        <v>0</v>
      </c>
      <c r="F12" s="115">
        <f t="shared" si="1"/>
        <v>0</v>
      </c>
      <c r="G12" s="115">
        <f t="shared" si="1"/>
        <v>0</v>
      </c>
      <c r="H12" s="115">
        <f t="shared" si="1"/>
        <v>0</v>
      </c>
      <c r="I12" s="115">
        <f t="shared" si="1"/>
        <v>0</v>
      </c>
      <c r="J12" s="115">
        <f t="shared" si="1"/>
        <v>0</v>
      </c>
      <c r="K12" s="115">
        <f t="shared" si="1"/>
        <v>0</v>
      </c>
      <c r="L12" s="115">
        <f t="shared" si="1"/>
        <v>0</v>
      </c>
      <c r="M12" s="115">
        <f t="shared" si="1"/>
        <v>0</v>
      </c>
      <c r="N12" s="115">
        <f t="shared" si="1"/>
        <v>0</v>
      </c>
      <c r="O12" s="115">
        <f>SUM(C12:N12)</f>
        <v>0</v>
      </c>
      <c r="P12" s="116">
        <f>SUM(C12:D12)</f>
        <v>0</v>
      </c>
      <c r="Q12" s="115">
        <f>(O12-P12)</f>
        <v>0</v>
      </c>
    </row>
    <row r="13" spans="1:18" ht="6" customHeight="1" x14ac:dyDescent="0.2">
      <c r="A13" s="113"/>
    </row>
    <row r="14" spans="1:18" x14ac:dyDescent="0.2">
      <c r="A14" s="263" t="s">
        <v>756</v>
      </c>
      <c r="C14" s="720">
        <v>0</v>
      </c>
      <c r="D14" s="720">
        <v>0</v>
      </c>
      <c r="E14" s="720">
        <v>0</v>
      </c>
      <c r="F14" s="720">
        <v>0</v>
      </c>
      <c r="G14" s="720">
        <v>0</v>
      </c>
      <c r="H14" s="720">
        <v>0</v>
      </c>
      <c r="I14" s="720">
        <v>0</v>
      </c>
      <c r="J14" s="720">
        <v>0</v>
      </c>
      <c r="K14" s="720">
        <v>0</v>
      </c>
      <c r="L14" s="720">
        <v>0</v>
      </c>
      <c r="M14" s="720">
        <v>0</v>
      </c>
      <c r="N14" s="720">
        <v>0</v>
      </c>
      <c r="O14" s="115">
        <f>SUM(C14:N14)</f>
        <v>0</v>
      </c>
      <c r="P14" s="116">
        <f>SUM(C14:D14)</f>
        <v>0</v>
      </c>
      <c r="Q14" s="115">
        <f>(O14-P14)</f>
        <v>0</v>
      </c>
    </row>
    <row r="15" spans="1:18" x14ac:dyDescent="0.2">
      <c r="A15" s="389" t="str">
        <f>A11</f>
        <v xml:space="preserve">          Full Margin %</v>
      </c>
      <c r="C15" s="117">
        <v>0</v>
      </c>
      <c r="D15" s="117">
        <f t="shared" ref="D15:N15" si="2">C15</f>
        <v>0</v>
      </c>
      <c r="E15" s="117">
        <f t="shared" si="2"/>
        <v>0</v>
      </c>
      <c r="F15" s="117">
        <f t="shared" si="2"/>
        <v>0</v>
      </c>
      <c r="G15" s="117">
        <f t="shared" si="2"/>
        <v>0</v>
      </c>
      <c r="H15" s="117">
        <f t="shared" si="2"/>
        <v>0</v>
      </c>
      <c r="I15" s="117">
        <f t="shared" si="2"/>
        <v>0</v>
      </c>
      <c r="J15" s="117">
        <f t="shared" si="2"/>
        <v>0</v>
      </c>
      <c r="K15" s="117">
        <f t="shared" si="2"/>
        <v>0</v>
      </c>
      <c r="L15" s="117">
        <f t="shared" si="2"/>
        <v>0</v>
      </c>
      <c r="M15" s="117">
        <f t="shared" si="2"/>
        <v>0</v>
      </c>
      <c r="N15" s="117">
        <f t="shared" si="2"/>
        <v>0</v>
      </c>
      <c r="O15" s="115"/>
      <c r="P15" s="116"/>
      <c r="Q15" s="115"/>
    </row>
    <row r="16" spans="1:18" x14ac:dyDescent="0.2">
      <c r="A16" s="263" t="s">
        <v>665</v>
      </c>
      <c r="C16" s="115">
        <f t="shared" ref="C16:N16" si="3">ROUND((+C14*C15),0)</f>
        <v>0</v>
      </c>
      <c r="D16" s="115">
        <f t="shared" si="3"/>
        <v>0</v>
      </c>
      <c r="E16" s="115">
        <f t="shared" si="3"/>
        <v>0</v>
      </c>
      <c r="F16" s="115">
        <f t="shared" si="3"/>
        <v>0</v>
      </c>
      <c r="G16" s="115">
        <f t="shared" si="3"/>
        <v>0</v>
      </c>
      <c r="H16" s="115">
        <f t="shared" si="3"/>
        <v>0</v>
      </c>
      <c r="I16" s="115">
        <f t="shared" si="3"/>
        <v>0</v>
      </c>
      <c r="J16" s="115">
        <f t="shared" si="3"/>
        <v>0</v>
      </c>
      <c r="K16" s="115">
        <f t="shared" si="3"/>
        <v>0</v>
      </c>
      <c r="L16" s="115">
        <f t="shared" si="3"/>
        <v>0</v>
      </c>
      <c r="M16" s="115">
        <f t="shared" si="3"/>
        <v>0</v>
      </c>
      <c r="N16" s="115">
        <f t="shared" si="3"/>
        <v>0</v>
      </c>
      <c r="O16" s="115">
        <f>SUM(C16:N16)</f>
        <v>0</v>
      </c>
      <c r="P16" s="116">
        <f>SUM(C16:D16)</f>
        <v>0</v>
      </c>
      <c r="Q16" s="115">
        <f>(O16-P16)</f>
        <v>0</v>
      </c>
    </row>
    <row r="17" spans="1:21" ht="12.75" customHeight="1" x14ac:dyDescent="0.2">
      <c r="A17" s="113"/>
    </row>
    <row r="18" spans="1:21" x14ac:dyDescent="0.2">
      <c r="A18" s="263" t="s">
        <v>666</v>
      </c>
      <c r="C18" s="115">
        <f t="shared" ref="C18:N18" si="4">ROUND(C8*C12,0)</f>
        <v>0</v>
      </c>
      <c r="D18" s="115">
        <f t="shared" si="4"/>
        <v>0</v>
      </c>
      <c r="E18" s="115">
        <f t="shared" si="4"/>
        <v>0</v>
      </c>
      <c r="F18" s="115">
        <f t="shared" si="4"/>
        <v>0</v>
      </c>
      <c r="G18" s="115">
        <f t="shared" si="4"/>
        <v>0</v>
      </c>
      <c r="H18" s="115">
        <f t="shared" si="4"/>
        <v>0</v>
      </c>
      <c r="I18" s="115">
        <f>ROUND(I8*I12,0)</f>
        <v>0</v>
      </c>
      <c r="J18" s="115">
        <f t="shared" si="4"/>
        <v>0</v>
      </c>
      <c r="K18" s="115">
        <f t="shared" si="4"/>
        <v>0</v>
      </c>
      <c r="L18" s="115">
        <f t="shared" si="4"/>
        <v>0</v>
      </c>
      <c r="M18" s="115">
        <f t="shared" si="4"/>
        <v>0</v>
      </c>
      <c r="N18" s="115">
        <f t="shared" si="4"/>
        <v>0</v>
      </c>
      <c r="O18" s="115">
        <f>SUM(C18:N18)</f>
        <v>0</v>
      </c>
      <c r="P18" s="116">
        <f>SUM(C18:D18)</f>
        <v>0</v>
      </c>
      <c r="Q18" s="115">
        <f>(O18-P18)</f>
        <v>0</v>
      </c>
    </row>
    <row r="19" spans="1:21" x14ac:dyDescent="0.2">
      <c r="A19" s="263" t="s">
        <v>667</v>
      </c>
      <c r="C19" s="118">
        <f t="shared" ref="C19:N19" si="5">ROUND(C8*C16,0)</f>
        <v>0</v>
      </c>
      <c r="D19" s="118">
        <f t="shared" si="5"/>
        <v>0</v>
      </c>
      <c r="E19" s="118">
        <f t="shared" si="5"/>
        <v>0</v>
      </c>
      <c r="F19" s="118">
        <f t="shared" si="5"/>
        <v>0</v>
      </c>
      <c r="G19" s="118">
        <f t="shared" si="5"/>
        <v>0</v>
      </c>
      <c r="H19" s="118">
        <f t="shared" si="5"/>
        <v>0</v>
      </c>
      <c r="I19" s="118">
        <f t="shared" si="5"/>
        <v>0</v>
      </c>
      <c r="J19" s="118">
        <f t="shared" si="5"/>
        <v>0</v>
      </c>
      <c r="K19" s="118">
        <f t="shared" si="5"/>
        <v>0</v>
      </c>
      <c r="L19" s="118">
        <f t="shared" si="5"/>
        <v>0</v>
      </c>
      <c r="M19" s="118">
        <f t="shared" si="5"/>
        <v>0</v>
      </c>
      <c r="N19" s="118">
        <f t="shared" si="5"/>
        <v>0</v>
      </c>
      <c r="O19" s="118">
        <f>SUM(C19:N19)</f>
        <v>0</v>
      </c>
      <c r="P19" s="269">
        <f>SUM(C19:D19)</f>
        <v>0</v>
      </c>
      <c r="Q19" s="118">
        <f>(O19-P19)</f>
        <v>0</v>
      </c>
    </row>
    <row r="20" spans="1:21" ht="3.95" customHeight="1" x14ac:dyDescent="0.2">
      <c r="A20" s="113"/>
      <c r="P20" s="116"/>
    </row>
    <row r="21" spans="1:21" x14ac:dyDescent="0.2">
      <c r="A21" s="390" t="s">
        <v>668</v>
      </c>
      <c r="B21" s="816"/>
      <c r="C21" s="118">
        <f t="shared" ref="C21:N21" si="6">SUM(C18:C19)</f>
        <v>0</v>
      </c>
      <c r="D21" s="118">
        <f t="shared" si="6"/>
        <v>0</v>
      </c>
      <c r="E21" s="118">
        <f t="shared" si="6"/>
        <v>0</v>
      </c>
      <c r="F21" s="118">
        <f t="shared" si="6"/>
        <v>0</v>
      </c>
      <c r="G21" s="118">
        <f t="shared" si="6"/>
        <v>0</v>
      </c>
      <c r="H21" s="118">
        <f t="shared" si="6"/>
        <v>0</v>
      </c>
      <c r="I21" s="118">
        <f t="shared" si="6"/>
        <v>0</v>
      </c>
      <c r="J21" s="118">
        <f t="shared" si="6"/>
        <v>0</v>
      </c>
      <c r="K21" s="118">
        <f t="shared" si="6"/>
        <v>0</v>
      </c>
      <c r="L21" s="118">
        <f t="shared" si="6"/>
        <v>0</v>
      </c>
      <c r="M21" s="118">
        <f t="shared" si="6"/>
        <v>0</v>
      </c>
      <c r="N21" s="118">
        <f t="shared" si="6"/>
        <v>0</v>
      </c>
      <c r="O21" s="118">
        <f>SUM(C21:N21)</f>
        <v>0</v>
      </c>
      <c r="P21" s="118">
        <f>SUM(P18:P19)</f>
        <v>0</v>
      </c>
      <c r="Q21" s="118">
        <f>(O21-P21)</f>
        <v>0</v>
      </c>
    </row>
    <row r="22" spans="1:21" ht="6" customHeight="1" x14ac:dyDescent="0.2">
      <c r="A22" s="113"/>
    </row>
    <row r="23" spans="1:21" x14ac:dyDescent="0.2">
      <c r="A23" s="263" t="s">
        <v>757</v>
      </c>
      <c r="C23" s="721">
        <v>0</v>
      </c>
      <c r="D23" s="721">
        <v>0</v>
      </c>
      <c r="E23" s="721">
        <v>0</v>
      </c>
      <c r="F23" s="721">
        <v>0</v>
      </c>
      <c r="G23" s="721">
        <v>0</v>
      </c>
      <c r="H23" s="721">
        <v>0</v>
      </c>
      <c r="I23" s="721">
        <v>0</v>
      </c>
      <c r="J23" s="721">
        <v>0</v>
      </c>
      <c r="K23" s="721">
        <v>0</v>
      </c>
      <c r="L23" s="721">
        <v>0</v>
      </c>
      <c r="M23" s="721">
        <v>0</v>
      </c>
      <c r="N23" s="721">
        <v>0</v>
      </c>
      <c r="O23" s="115">
        <f>SUM(C23:N23)</f>
        <v>0</v>
      </c>
      <c r="P23" s="116">
        <f>SUM(C23:D23)</f>
        <v>0</v>
      </c>
      <c r="Q23" s="115">
        <f>(O23-P23)</f>
        <v>0</v>
      </c>
    </row>
    <row r="24" spans="1:21" ht="3.95" customHeight="1" x14ac:dyDescent="0.2">
      <c r="A24" s="113"/>
      <c r="P24" s="116"/>
    </row>
    <row r="25" spans="1:21" x14ac:dyDescent="0.2">
      <c r="A25" s="388" t="s">
        <v>669</v>
      </c>
      <c r="B25" s="817"/>
      <c r="C25" s="119">
        <f>C21+C23</f>
        <v>0</v>
      </c>
      <c r="D25" s="119">
        <f t="shared" ref="D25:Q25" si="7">D21+D23</f>
        <v>0</v>
      </c>
      <c r="E25" s="119">
        <f t="shared" si="7"/>
        <v>0</v>
      </c>
      <c r="F25" s="119">
        <f t="shared" si="7"/>
        <v>0</v>
      </c>
      <c r="G25" s="119">
        <f t="shared" si="7"/>
        <v>0</v>
      </c>
      <c r="H25" s="119">
        <f t="shared" si="7"/>
        <v>0</v>
      </c>
      <c r="I25" s="119">
        <f t="shared" si="7"/>
        <v>0</v>
      </c>
      <c r="J25" s="119">
        <f t="shared" si="7"/>
        <v>0</v>
      </c>
      <c r="K25" s="119">
        <f t="shared" si="7"/>
        <v>0</v>
      </c>
      <c r="L25" s="119">
        <f t="shared" si="7"/>
        <v>0</v>
      </c>
      <c r="M25" s="119">
        <f t="shared" si="7"/>
        <v>0</v>
      </c>
      <c r="N25" s="119">
        <f t="shared" si="7"/>
        <v>0</v>
      </c>
      <c r="O25" s="119">
        <f t="shared" si="7"/>
        <v>0</v>
      </c>
      <c r="P25" s="119">
        <f t="shared" si="7"/>
        <v>0</v>
      </c>
      <c r="Q25" s="119">
        <f t="shared" si="7"/>
        <v>0</v>
      </c>
      <c r="R25" s="108"/>
      <c r="S25" s="108"/>
      <c r="T25" s="108"/>
      <c r="U25" s="108"/>
    </row>
    <row r="26" spans="1:21" x14ac:dyDescent="0.2">
      <c r="A26" s="388"/>
      <c r="B26" s="817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08"/>
      <c r="S26" s="108"/>
      <c r="T26" s="108"/>
      <c r="U26" s="108"/>
    </row>
    <row r="27" spans="1:21" ht="6" customHeight="1" x14ac:dyDescent="0.2">
      <c r="A27" s="722"/>
      <c r="B27" s="818"/>
      <c r="C27" s="724"/>
      <c r="D27" s="724"/>
      <c r="E27" s="724"/>
      <c r="F27" s="724"/>
      <c r="G27" s="724"/>
      <c r="H27" s="724"/>
      <c r="I27" s="724"/>
      <c r="J27" s="724"/>
      <c r="K27" s="724"/>
      <c r="L27" s="724"/>
      <c r="M27" s="724"/>
      <c r="N27" s="724"/>
      <c r="O27" s="724"/>
      <c r="P27" s="724"/>
      <c r="Q27" s="724"/>
      <c r="R27" s="108"/>
      <c r="S27" s="108"/>
      <c r="T27" s="108"/>
      <c r="U27" s="108"/>
    </row>
    <row r="28" spans="1:21" ht="12.75" customHeight="1" x14ac:dyDescent="0.2">
      <c r="C28" s="113"/>
      <c r="D28" s="113"/>
      <c r="E28" s="109"/>
      <c r="F28" s="113"/>
      <c r="G28" s="113"/>
      <c r="H28" s="113"/>
      <c r="I28" s="113"/>
      <c r="J28" s="113"/>
      <c r="K28" s="113"/>
      <c r="L28" s="113"/>
      <c r="M28" s="113"/>
      <c r="N28" s="113"/>
      <c r="P28" s="113"/>
    </row>
    <row r="29" spans="1:21" ht="14.25" customHeight="1" x14ac:dyDescent="0.2">
      <c r="A29" s="107"/>
      <c r="B29" s="817"/>
      <c r="C29" s="109" t="str">
        <f t="shared" ref="C29:Q29" si="8">C3</f>
        <v>PLAN</v>
      </c>
      <c r="D29" s="109" t="str">
        <f t="shared" si="8"/>
        <v>PLAN</v>
      </c>
      <c r="E29" s="109" t="str">
        <f t="shared" si="8"/>
        <v>PLAN</v>
      </c>
      <c r="F29" s="109" t="str">
        <f t="shared" si="8"/>
        <v>PLAN</v>
      </c>
      <c r="G29" s="109" t="str">
        <f t="shared" si="8"/>
        <v>PLAN</v>
      </c>
      <c r="H29" s="109" t="str">
        <f t="shared" si="8"/>
        <v>PLAN</v>
      </c>
      <c r="I29" s="109" t="str">
        <f t="shared" si="8"/>
        <v>PLAN</v>
      </c>
      <c r="J29" s="109" t="str">
        <f t="shared" si="8"/>
        <v>PLAN</v>
      </c>
      <c r="K29" s="109" t="str">
        <f t="shared" si="8"/>
        <v>PLAN</v>
      </c>
      <c r="L29" s="109" t="str">
        <f t="shared" si="8"/>
        <v>PLAN</v>
      </c>
      <c r="M29" s="109" t="str">
        <f t="shared" si="8"/>
        <v>PLAN</v>
      </c>
      <c r="N29" s="109" t="str">
        <f t="shared" si="8"/>
        <v>PLAN</v>
      </c>
      <c r="O29" s="109" t="str">
        <f t="shared" si="8"/>
        <v>TOTAL</v>
      </c>
      <c r="P29" s="109" t="str">
        <f t="shared" si="8"/>
        <v>FEB.</v>
      </c>
      <c r="Q29" s="109" t="str">
        <f t="shared" si="8"/>
        <v>ESTIMATE</v>
      </c>
      <c r="R29" s="108"/>
      <c r="S29" s="108"/>
    </row>
    <row r="30" spans="1:21" x14ac:dyDescent="0.2">
      <c r="A30" s="107"/>
      <c r="B30" s="817"/>
      <c r="C30" s="111" t="str">
        <f t="shared" ref="C30:Q30" si="9">C4</f>
        <v>JAN</v>
      </c>
      <c r="D30" s="111" t="str">
        <f t="shared" si="9"/>
        <v>FEB</v>
      </c>
      <c r="E30" s="111" t="str">
        <f t="shared" si="9"/>
        <v>MAR</v>
      </c>
      <c r="F30" s="111" t="str">
        <f t="shared" si="9"/>
        <v>APR</v>
      </c>
      <c r="G30" s="111" t="str">
        <f t="shared" si="9"/>
        <v>MAY</v>
      </c>
      <c r="H30" s="111" t="str">
        <f t="shared" si="9"/>
        <v>JUN</v>
      </c>
      <c r="I30" s="111" t="str">
        <f t="shared" si="9"/>
        <v>JUL</v>
      </c>
      <c r="J30" s="111" t="str">
        <f t="shared" si="9"/>
        <v>AUG</v>
      </c>
      <c r="K30" s="111" t="str">
        <f t="shared" si="9"/>
        <v>SEP</v>
      </c>
      <c r="L30" s="111" t="str">
        <f t="shared" si="9"/>
        <v>OCT</v>
      </c>
      <c r="M30" s="111" t="str">
        <f t="shared" si="9"/>
        <v>NOV</v>
      </c>
      <c r="N30" s="111" t="str">
        <f t="shared" si="9"/>
        <v>DEC</v>
      </c>
      <c r="O30" s="111" t="str">
        <f t="shared" si="9"/>
        <v>2002</v>
      </c>
      <c r="P30" s="111" t="str">
        <f t="shared" si="9"/>
        <v>Y-T-D</v>
      </c>
      <c r="Q30" s="111" t="str">
        <f t="shared" si="9"/>
        <v>R.M.</v>
      </c>
      <c r="R30" s="108"/>
      <c r="S30" s="108"/>
    </row>
    <row r="31" spans="1:21" x14ac:dyDescent="0.2">
      <c r="A31" s="387" t="s">
        <v>672</v>
      </c>
    </row>
    <row r="32" spans="1:21" x14ac:dyDescent="0.2">
      <c r="A32" s="263" t="s">
        <v>758</v>
      </c>
      <c r="B32" s="839" t="s">
        <v>751</v>
      </c>
      <c r="C32" s="985">
        <f>-DataBase!C84</f>
        <v>58</v>
      </c>
      <c r="D32" s="985">
        <f>-DataBase!D84</f>
        <v>58</v>
      </c>
      <c r="E32" s="985">
        <f>-DataBase!E84</f>
        <v>58</v>
      </c>
      <c r="F32" s="985">
        <f>-DataBase!F84</f>
        <v>58</v>
      </c>
      <c r="G32" s="985">
        <f>-DataBase!G84</f>
        <v>58</v>
      </c>
      <c r="H32" s="985">
        <f>-DataBase!H84</f>
        <v>58</v>
      </c>
      <c r="I32" s="985">
        <f>-DataBase!I84</f>
        <v>58</v>
      </c>
      <c r="J32" s="985">
        <f>-DataBase!J84</f>
        <v>58</v>
      </c>
      <c r="K32" s="985">
        <f>-DataBase!K84</f>
        <v>58</v>
      </c>
      <c r="L32" s="985">
        <f>-DataBase!L84</f>
        <v>58</v>
      </c>
      <c r="M32" s="985">
        <f>-DataBase!M84</f>
        <v>58</v>
      </c>
      <c r="N32" s="985">
        <f>-DataBase!N84</f>
        <v>58</v>
      </c>
      <c r="O32" s="115">
        <f t="shared" ref="O32:O38" si="10">SUM(C32:N32)</f>
        <v>696</v>
      </c>
      <c r="P32" s="116">
        <f t="shared" ref="P32:P57" si="11">SUM(C32:D32)</f>
        <v>116</v>
      </c>
      <c r="Q32" s="115">
        <f t="shared" ref="Q32:Q38" si="12">(O32-P32)</f>
        <v>580</v>
      </c>
    </row>
    <row r="33" spans="1:17" x14ac:dyDescent="0.2">
      <c r="A33" s="647" t="s">
        <v>759</v>
      </c>
      <c r="B33" s="839" t="s">
        <v>751</v>
      </c>
      <c r="C33" s="985">
        <f>-DataBase!C85</f>
        <v>228</v>
      </c>
      <c r="D33" s="985">
        <f>-DataBase!D85</f>
        <v>228</v>
      </c>
      <c r="E33" s="985">
        <f>-DataBase!E85</f>
        <v>228</v>
      </c>
      <c r="F33" s="985">
        <f>-DataBase!F85</f>
        <v>228</v>
      </c>
      <c r="G33" s="985">
        <f>-DataBase!G85</f>
        <v>228</v>
      </c>
      <c r="H33" s="985">
        <f>-DataBase!H85</f>
        <v>228</v>
      </c>
      <c r="I33" s="985">
        <f>-DataBase!I85</f>
        <v>228</v>
      </c>
      <c r="J33" s="985">
        <f>-DataBase!J85</f>
        <v>228</v>
      </c>
      <c r="K33" s="985">
        <f>-DataBase!K85</f>
        <v>229</v>
      </c>
      <c r="L33" s="985">
        <f>-DataBase!L85</f>
        <v>240</v>
      </c>
      <c r="M33" s="985">
        <f>-DataBase!M85</f>
        <v>240</v>
      </c>
      <c r="N33" s="985">
        <f>-DataBase!N85</f>
        <v>240</v>
      </c>
      <c r="O33" s="115">
        <f t="shared" si="10"/>
        <v>2773</v>
      </c>
      <c r="P33" s="116">
        <f t="shared" si="11"/>
        <v>456</v>
      </c>
      <c r="Q33" s="115">
        <f t="shared" si="12"/>
        <v>2317</v>
      </c>
    </row>
    <row r="34" spans="1:17" x14ac:dyDescent="0.2">
      <c r="A34" s="263" t="s">
        <v>342</v>
      </c>
      <c r="B34" s="840" t="s">
        <v>339</v>
      </c>
      <c r="C34" s="115">
        <f>Trackers!D189+Trackers!D323</f>
        <v>0</v>
      </c>
      <c r="D34" s="115">
        <f>Trackers!E189+Trackers!E323</f>
        <v>0</v>
      </c>
      <c r="E34" s="115">
        <f>Trackers!F189+Trackers!F323</f>
        <v>0</v>
      </c>
      <c r="F34" s="115">
        <f>Trackers!G189+Trackers!G323</f>
        <v>0</v>
      </c>
      <c r="G34" s="115">
        <f>Trackers!H189+Trackers!H323</f>
        <v>0</v>
      </c>
      <c r="H34" s="115">
        <f>Trackers!I189+Trackers!I323</f>
        <v>0</v>
      </c>
      <c r="I34" s="115">
        <f>Trackers!J189+Trackers!J323</f>
        <v>0</v>
      </c>
      <c r="J34" s="115">
        <f>Trackers!K189+Trackers!K323</f>
        <v>0</v>
      </c>
      <c r="K34" s="115">
        <f>Trackers!L189+Trackers!L323</f>
        <v>0</v>
      </c>
      <c r="L34" s="115">
        <f>Trackers!M189+Trackers!M323</f>
        <v>0</v>
      </c>
      <c r="M34" s="115">
        <f>Trackers!N189+Trackers!N323</f>
        <v>0</v>
      </c>
      <c r="N34" s="115">
        <f>Trackers!O189+Trackers!O323</f>
        <v>0</v>
      </c>
      <c r="O34" s="115">
        <f t="shared" si="10"/>
        <v>0</v>
      </c>
      <c r="P34" s="116">
        <f t="shared" si="11"/>
        <v>0</v>
      </c>
      <c r="Q34" s="115">
        <f t="shared" si="12"/>
        <v>0</v>
      </c>
    </row>
    <row r="35" spans="1:17" x14ac:dyDescent="0.2">
      <c r="A35" s="263" t="s">
        <v>673</v>
      </c>
      <c r="B35" s="840" t="s">
        <v>339</v>
      </c>
      <c r="C35" s="115">
        <f>Trackers!D535</f>
        <v>0</v>
      </c>
      <c r="D35" s="115">
        <f>Trackers!E535</f>
        <v>0</v>
      </c>
      <c r="E35" s="115">
        <f>Trackers!F535</f>
        <v>0</v>
      </c>
      <c r="F35" s="115">
        <f>Trackers!G535</f>
        <v>0</v>
      </c>
      <c r="G35" s="115">
        <f>Trackers!H535</f>
        <v>0</v>
      </c>
      <c r="H35" s="115">
        <f>Trackers!I535</f>
        <v>0</v>
      </c>
      <c r="I35" s="115">
        <f>Trackers!J535</f>
        <v>0</v>
      </c>
      <c r="J35" s="115">
        <f>Trackers!K535</f>
        <v>0</v>
      </c>
      <c r="K35" s="115">
        <f>Trackers!L535</f>
        <v>0</v>
      </c>
      <c r="L35" s="115">
        <f>Trackers!M535</f>
        <v>0</v>
      </c>
      <c r="M35" s="115">
        <f>Trackers!N535</f>
        <v>0</v>
      </c>
      <c r="N35" s="115">
        <f>Trackers!O535</f>
        <v>0</v>
      </c>
      <c r="O35" s="115">
        <f t="shared" si="10"/>
        <v>0</v>
      </c>
      <c r="P35" s="116">
        <f t="shared" si="11"/>
        <v>0</v>
      </c>
      <c r="Q35" s="115">
        <f t="shared" si="12"/>
        <v>0</v>
      </c>
    </row>
    <row r="36" spans="1:17" x14ac:dyDescent="0.2">
      <c r="A36" s="263" t="s">
        <v>674</v>
      </c>
      <c r="C36" s="543">
        <f>-DataBase!C86</f>
        <v>436</v>
      </c>
      <c r="D36" s="543">
        <f>-DataBase!D86</f>
        <v>362</v>
      </c>
      <c r="E36" s="543">
        <f>-DataBase!E86</f>
        <v>312</v>
      </c>
      <c r="F36" s="543">
        <f>-DataBase!F86</f>
        <v>233</v>
      </c>
      <c r="G36" s="543">
        <f>-DataBase!G86</f>
        <v>163</v>
      </c>
      <c r="H36" s="543">
        <f>-DataBase!H86</f>
        <v>173</v>
      </c>
      <c r="I36" s="543">
        <f>-DataBase!I86</f>
        <v>173</v>
      </c>
      <c r="J36" s="543">
        <f>-DataBase!J86</f>
        <v>180</v>
      </c>
      <c r="K36" s="543">
        <f>-DataBase!K86</f>
        <v>181</v>
      </c>
      <c r="L36" s="543">
        <f>-DataBase!L86</f>
        <v>242</v>
      </c>
      <c r="M36" s="543">
        <f>-DataBase!M86</f>
        <v>297</v>
      </c>
      <c r="N36" s="543">
        <f>-DataBase!N86</f>
        <v>448</v>
      </c>
      <c r="O36" s="115">
        <f t="shared" si="10"/>
        <v>3200</v>
      </c>
      <c r="P36" s="116">
        <f t="shared" si="11"/>
        <v>798</v>
      </c>
      <c r="Q36" s="115">
        <f t="shared" si="12"/>
        <v>2402</v>
      </c>
    </row>
    <row r="37" spans="1:17" x14ac:dyDescent="0.2">
      <c r="A37" s="390" t="s">
        <v>675</v>
      </c>
      <c r="B37" s="816"/>
      <c r="C37" s="543">
        <f>-DataBase!C87</f>
        <v>84</v>
      </c>
      <c r="D37" s="543">
        <f>-DataBase!D87</f>
        <v>84</v>
      </c>
      <c r="E37" s="543">
        <f>-DataBase!E87</f>
        <v>73</v>
      </c>
      <c r="F37" s="543">
        <f>-DataBase!F87</f>
        <v>45</v>
      </c>
      <c r="G37" s="543">
        <f>-DataBase!G87</f>
        <v>44</v>
      </c>
      <c r="H37" s="543">
        <f>-DataBase!H87</f>
        <v>44</v>
      </c>
      <c r="I37" s="543">
        <f>-DataBase!I87</f>
        <v>43</v>
      </c>
      <c r="J37" s="543">
        <f>-DataBase!J87</f>
        <v>43</v>
      </c>
      <c r="K37" s="543">
        <f>-DataBase!K87</f>
        <v>44</v>
      </c>
      <c r="L37" s="543">
        <f>-DataBase!L87</f>
        <v>44</v>
      </c>
      <c r="M37" s="543">
        <f>-DataBase!M87</f>
        <v>70</v>
      </c>
      <c r="N37" s="543">
        <f>-DataBase!N87</f>
        <v>82</v>
      </c>
      <c r="O37" s="115">
        <f t="shared" si="10"/>
        <v>700</v>
      </c>
      <c r="P37" s="116">
        <f t="shared" si="11"/>
        <v>168</v>
      </c>
      <c r="Q37" s="115">
        <f t="shared" si="12"/>
        <v>532</v>
      </c>
    </row>
    <row r="38" spans="1:17" x14ac:dyDescent="0.2">
      <c r="A38" s="263" t="s">
        <v>671</v>
      </c>
      <c r="C38" s="116">
        <v>0</v>
      </c>
      <c r="D38" s="116">
        <v>0</v>
      </c>
      <c r="E38" s="116">
        <v>0</v>
      </c>
      <c r="F38" s="116">
        <v>0</v>
      </c>
      <c r="G38" s="116">
        <v>0</v>
      </c>
      <c r="H38" s="116">
        <v>0</v>
      </c>
      <c r="I38" s="116">
        <v>0</v>
      </c>
      <c r="J38" s="116">
        <v>0</v>
      </c>
      <c r="K38" s="116">
        <v>0</v>
      </c>
      <c r="L38" s="116">
        <v>0</v>
      </c>
      <c r="M38" s="116">
        <v>0</v>
      </c>
      <c r="N38" s="116">
        <v>0</v>
      </c>
      <c r="O38" s="115">
        <f t="shared" si="10"/>
        <v>0</v>
      </c>
      <c r="P38" s="116">
        <f t="shared" si="11"/>
        <v>0</v>
      </c>
      <c r="Q38" s="115">
        <f t="shared" si="12"/>
        <v>0</v>
      </c>
    </row>
    <row r="39" spans="1:17" x14ac:dyDescent="0.2">
      <c r="A39" s="263" t="s">
        <v>1162</v>
      </c>
      <c r="C39" s="116">
        <v>0</v>
      </c>
      <c r="D39" s="116">
        <v>0</v>
      </c>
      <c r="E39" s="116">
        <v>0</v>
      </c>
      <c r="F39" s="116">
        <v>0</v>
      </c>
      <c r="G39" s="116">
        <v>0</v>
      </c>
      <c r="H39" s="116">
        <v>0</v>
      </c>
      <c r="I39" s="116">
        <v>0</v>
      </c>
      <c r="J39" s="116">
        <v>0</v>
      </c>
      <c r="K39" s="116">
        <v>0</v>
      </c>
      <c r="L39" s="116">
        <v>0</v>
      </c>
      <c r="M39" s="116">
        <v>0</v>
      </c>
      <c r="N39" s="116">
        <v>0</v>
      </c>
      <c r="O39" s="115">
        <f>SUM(C39:N39)</f>
        <v>0</v>
      </c>
      <c r="P39" s="116">
        <f t="shared" si="11"/>
        <v>0</v>
      </c>
      <c r="Q39" s="115">
        <f>(O39-P39)</f>
        <v>0</v>
      </c>
    </row>
    <row r="40" spans="1:17" x14ac:dyDescent="0.2">
      <c r="A40" s="263" t="s">
        <v>676</v>
      </c>
      <c r="B40" s="839" t="s">
        <v>751</v>
      </c>
      <c r="C40" s="985">
        <f>-DataBase!C88-DataBase!C242</f>
        <v>86</v>
      </c>
      <c r="D40" s="985">
        <f>-DataBase!D88-DataBase!D242</f>
        <v>85</v>
      </c>
      <c r="E40" s="985">
        <f>-DataBase!E88-DataBase!E242</f>
        <v>86</v>
      </c>
      <c r="F40" s="985">
        <f>-DataBase!F88-DataBase!F242</f>
        <v>86</v>
      </c>
      <c r="G40" s="985">
        <f>-DataBase!G88-DataBase!G242</f>
        <v>86</v>
      </c>
      <c r="H40" s="985">
        <f>-DataBase!H88-DataBase!H242</f>
        <v>85</v>
      </c>
      <c r="I40" s="985">
        <f>-DataBase!I88-DataBase!I242</f>
        <v>86</v>
      </c>
      <c r="J40" s="985">
        <f>-DataBase!J88-DataBase!J242</f>
        <v>85</v>
      </c>
      <c r="K40" s="985">
        <f>-DataBase!K88-DataBase!K242</f>
        <v>86</v>
      </c>
      <c r="L40" s="985">
        <f>-DataBase!L88-DataBase!L242</f>
        <v>85</v>
      </c>
      <c r="M40" s="985">
        <f>-DataBase!M88-DataBase!M242</f>
        <v>86</v>
      </c>
      <c r="N40" s="985">
        <f>-DataBase!N88-DataBase!N242</f>
        <v>86</v>
      </c>
      <c r="O40" s="115">
        <f t="shared" ref="O40:O57" si="13">SUM(C40:N40)</f>
        <v>1028</v>
      </c>
      <c r="P40" s="116">
        <f t="shared" si="11"/>
        <v>171</v>
      </c>
      <c r="Q40" s="115">
        <f t="shared" ref="Q40:Q57" si="14">(O40-P40)</f>
        <v>857</v>
      </c>
    </row>
    <row r="41" spans="1:17" x14ac:dyDescent="0.2">
      <c r="A41" s="263" t="s">
        <v>765</v>
      </c>
      <c r="B41" s="839" t="s">
        <v>751</v>
      </c>
      <c r="C41" s="985">
        <f>-DataBase!C89</f>
        <v>31</v>
      </c>
      <c r="D41" s="985">
        <f>-DataBase!D89</f>
        <v>31</v>
      </c>
      <c r="E41" s="985">
        <f>-DataBase!E89</f>
        <v>32</v>
      </c>
      <c r="F41" s="985">
        <f>-DataBase!F89</f>
        <v>31</v>
      </c>
      <c r="G41" s="985">
        <f>-DataBase!G89</f>
        <v>31</v>
      </c>
      <c r="H41" s="985">
        <f>-DataBase!H89</f>
        <v>32</v>
      </c>
      <c r="I41" s="985">
        <f>-DataBase!I89</f>
        <v>31</v>
      </c>
      <c r="J41" s="985">
        <f>-DataBase!J89</f>
        <v>31</v>
      </c>
      <c r="K41" s="985">
        <f>-DataBase!K89</f>
        <v>32</v>
      </c>
      <c r="L41" s="985">
        <f>-DataBase!L89</f>
        <v>32</v>
      </c>
      <c r="M41" s="985">
        <f>-DataBase!M89</f>
        <v>32</v>
      </c>
      <c r="N41" s="985">
        <f>-DataBase!N89</f>
        <v>32</v>
      </c>
      <c r="O41" s="115">
        <f t="shared" si="13"/>
        <v>378</v>
      </c>
      <c r="P41" s="116">
        <f t="shared" si="11"/>
        <v>62</v>
      </c>
      <c r="Q41" s="115">
        <f t="shared" si="14"/>
        <v>316</v>
      </c>
    </row>
    <row r="42" spans="1:17" x14ac:dyDescent="0.2">
      <c r="A42" s="263" t="s">
        <v>766</v>
      </c>
      <c r="B42" s="839" t="s">
        <v>751</v>
      </c>
      <c r="C42" s="985">
        <f>-DataBase!C90</f>
        <v>127</v>
      </c>
      <c r="D42" s="985">
        <f>-DataBase!D90</f>
        <v>127</v>
      </c>
      <c r="E42" s="985">
        <f>-DataBase!E90</f>
        <v>127</v>
      </c>
      <c r="F42" s="985">
        <f>-DataBase!F90</f>
        <v>127</v>
      </c>
      <c r="G42" s="985">
        <f>-DataBase!G90</f>
        <v>127</v>
      </c>
      <c r="H42" s="985">
        <f>-DataBase!H90</f>
        <v>127</v>
      </c>
      <c r="I42" s="985">
        <f>-DataBase!I90</f>
        <v>127</v>
      </c>
      <c r="J42" s="985">
        <f>-DataBase!J90</f>
        <v>127</v>
      </c>
      <c r="K42" s="985">
        <f>-DataBase!K90</f>
        <v>127</v>
      </c>
      <c r="L42" s="985">
        <f>-DataBase!L90</f>
        <v>127</v>
      </c>
      <c r="M42" s="985">
        <f>-DataBase!M90</f>
        <v>128</v>
      </c>
      <c r="N42" s="985">
        <f>-DataBase!N90</f>
        <v>128</v>
      </c>
      <c r="O42" s="115">
        <f t="shared" si="13"/>
        <v>1526</v>
      </c>
      <c r="P42" s="116">
        <f t="shared" si="11"/>
        <v>254</v>
      </c>
      <c r="Q42" s="115">
        <f t="shared" si="14"/>
        <v>1272</v>
      </c>
    </row>
    <row r="43" spans="1:17" x14ac:dyDescent="0.2">
      <c r="A43" s="263" t="s">
        <v>767</v>
      </c>
      <c r="B43" s="839" t="s">
        <v>751</v>
      </c>
      <c r="C43" s="985">
        <f>-DataBase!C91</f>
        <v>28</v>
      </c>
      <c r="D43" s="985">
        <f>-DataBase!D91</f>
        <v>28</v>
      </c>
      <c r="E43" s="985">
        <f>-DataBase!E91</f>
        <v>28</v>
      </c>
      <c r="F43" s="985">
        <f>-DataBase!F91</f>
        <v>28</v>
      </c>
      <c r="G43" s="985">
        <f>-DataBase!G91</f>
        <v>28</v>
      </c>
      <c r="H43" s="985">
        <f>-DataBase!H91</f>
        <v>28</v>
      </c>
      <c r="I43" s="985">
        <f>-DataBase!I91</f>
        <v>28</v>
      </c>
      <c r="J43" s="985">
        <f>-DataBase!J91</f>
        <v>28</v>
      </c>
      <c r="K43" s="985">
        <f>-DataBase!K91</f>
        <v>28</v>
      </c>
      <c r="L43" s="985">
        <f>-DataBase!L91</f>
        <v>28</v>
      </c>
      <c r="M43" s="985">
        <f>-DataBase!M91</f>
        <v>28</v>
      </c>
      <c r="N43" s="985">
        <f>-DataBase!N91</f>
        <v>29</v>
      </c>
      <c r="O43" s="115">
        <f t="shared" si="13"/>
        <v>337</v>
      </c>
      <c r="P43" s="116">
        <f t="shared" si="11"/>
        <v>56</v>
      </c>
      <c r="Q43" s="115">
        <f t="shared" si="14"/>
        <v>281</v>
      </c>
    </row>
    <row r="44" spans="1:17" x14ac:dyDescent="0.2">
      <c r="A44" s="263" t="s">
        <v>768</v>
      </c>
      <c r="B44" s="839" t="s">
        <v>751</v>
      </c>
      <c r="C44" s="985">
        <f>-DataBase!C92</f>
        <v>219</v>
      </c>
      <c r="D44" s="985">
        <f>-DataBase!D92</f>
        <v>219</v>
      </c>
      <c r="E44" s="985">
        <f>-DataBase!E92</f>
        <v>219</v>
      </c>
      <c r="F44" s="985">
        <f>-DataBase!F92</f>
        <v>219</v>
      </c>
      <c r="G44" s="985">
        <f>-DataBase!G92</f>
        <v>219</v>
      </c>
      <c r="H44" s="985">
        <f>-DataBase!H92</f>
        <v>219</v>
      </c>
      <c r="I44" s="985">
        <f>-DataBase!I92</f>
        <v>219</v>
      </c>
      <c r="J44" s="985">
        <f>-DataBase!J92</f>
        <v>219</v>
      </c>
      <c r="K44" s="985">
        <f>-DataBase!K92</f>
        <v>219</v>
      </c>
      <c r="L44" s="985">
        <f>-DataBase!L92</f>
        <v>219</v>
      </c>
      <c r="M44" s="985">
        <f>-DataBase!M92</f>
        <v>219</v>
      </c>
      <c r="N44" s="985">
        <f>-DataBase!N92</f>
        <v>219</v>
      </c>
      <c r="O44" s="115">
        <f t="shared" si="13"/>
        <v>2628</v>
      </c>
      <c r="P44" s="116">
        <f t="shared" si="11"/>
        <v>438</v>
      </c>
      <c r="Q44" s="115">
        <f t="shared" si="14"/>
        <v>2190</v>
      </c>
    </row>
    <row r="45" spans="1:17" x14ac:dyDescent="0.2">
      <c r="A45" s="263" t="s">
        <v>721</v>
      </c>
      <c r="B45" s="839" t="s">
        <v>751</v>
      </c>
      <c r="C45" s="985">
        <f>-DataBase!C93</f>
        <v>0</v>
      </c>
      <c r="D45" s="985">
        <f>-DataBase!D93</f>
        <v>0</v>
      </c>
      <c r="E45" s="985">
        <f>-DataBase!E93</f>
        <v>0</v>
      </c>
      <c r="F45" s="985">
        <f>-DataBase!F93</f>
        <v>0</v>
      </c>
      <c r="G45" s="985">
        <f>-DataBase!G93</f>
        <v>0</v>
      </c>
      <c r="H45" s="985">
        <f>-DataBase!H93</f>
        <v>0</v>
      </c>
      <c r="I45" s="985">
        <f>-DataBase!I93</f>
        <v>0</v>
      </c>
      <c r="J45" s="985">
        <f>-DataBase!J93</f>
        <v>0</v>
      </c>
      <c r="K45" s="985">
        <f>-DataBase!K93</f>
        <v>0</v>
      </c>
      <c r="L45" s="985">
        <f>-DataBase!L93</f>
        <v>0</v>
      </c>
      <c r="M45" s="985">
        <f>-DataBase!M93</f>
        <v>0</v>
      </c>
      <c r="N45" s="985">
        <f>-DataBase!N93</f>
        <v>0</v>
      </c>
      <c r="O45" s="115">
        <f t="shared" si="13"/>
        <v>0</v>
      </c>
      <c r="P45" s="116">
        <f t="shared" si="11"/>
        <v>0</v>
      </c>
      <c r="Q45" s="115">
        <f t="shared" si="14"/>
        <v>0</v>
      </c>
    </row>
    <row r="46" spans="1:17" x14ac:dyDescent="0.2">
      <c r="A46" s="905" t="s">
        <v>722</v>
      </c>
      <c r="B46" s="839"/>
      <c r="C46" s="985">
        <f>-DataBase!C94</f>
        <v>0</v>
      </c>
      <c r="D46" s="985">
        <f>-DataBase!D94</f>
        <v>0</v>
      </c>
      <c r="E46" s="985">
        <f>-DataBase!E94</f>
        <v>0</v>
      </c>
      <c r="F46" s="985">
        <f>-DataBase!F94</f>
        <v>0</v>
      </c>
      <c r="G46" s="985">
        <f>-DataBase!G94</f>
        <v>0</v>
      </c>
      <c r="H46" s="985">
        <f>-DataBase!H94</f>
        <v>0</v>
      </c>
      <c r="I46" s="985">
        <f>-DataBase!I94</f>
        <v>0</v>
      </c>
      <c r="J46" s="985">
        <f>-DataBase!J94</f>
        <v>0</v>
      </c>
      <c r="K46" s="985">
        <f>-DataBase!K94</f>
        <v>0</v>
      </c>
      <c r="L46" s="985">
        <f>-DataBase!L94</f>
        <v>0</v>
      </c>
      <c r="M46" s="985">
        <f>-DataBase!M94</f>
        <v>0</v>
      </c>
      <c r="N46" s="985">
        <f>-DataBase!N94</f>
        <v>0</v>
      </c>
      <c r="O46" s="115">
        <f>SUM(C46:N46)</f>
        <v>0</v>
      </c>
      <c r="P46" s="116">
        <f t="shared" si="11"/>
        <v>0</v>
      </c>
      <c r="Q46" s="115">
        <f>(O46-P46)</f>
        <v>0</v>
      </c>
    </row>
    <row r="47" spans="1:17" x14ac:dyDescent="0.2">
      <c r="A47" s="905" t="s">
        <v>723</v>
      </c>
      <c r="B47" s="839"/>
      <c r="C47" s="985">
        <f>-DataBase!C95</f>
        <v>0</v>
      </c>
      <c r="D47" s="985">
        <f>-DataBase!D95</f>
        <v>0</v>
      </c>
      <c r="E47" s="985">
        <f>-DataBase!E95</f>
        <v>0</v>
      </c>
      <c r="F47" s="985">
        <f>-DataBase!F95</f>
        <v>0</v>
      </c>
      <c r="G47" s="985">
        <f>-DataBase!G95</f>
        <v>0</v>
      </c>
      <c r="H47" s="985">
        <f>-DataBase!H95</f>
        <v>0</v>
      </c>
      <c r="I47" s="985">
        <f>-DataBase!I95</f>
        <v>0</v>
      </c>
      <c r="J47" s="985">
        <f>-DataBase!J95</f>
        <v>0</v>
      </c>
      <c r="K47" s="985">
        <f>-DataBase!K95</f>
        <v>0</v>
      </c>
      <c r="L47" s="985">
        <f>-DataBase!L95</f>
        <v>0</v>
      </c>
      <c r="M47" s="985">
        <f>-DataBase!M95</f>
        <v>0</v>
      </c>
      <c r="N47" s="985">
        <f>-DataBase!N95</f>
        <v>0</v>
      </c>
      <c r="O47" s="115">
        <f>SUM(C47:N47)</f>
        <v>0</v>
      </c>
      <c r="P47" s="116">
        <f t="shared" si="11"/>
        <v>0</v>
      </c>
      <c r="Q47" s="115">
        <f>(O47-P47)</f>
        <v>0</v>
      </c>
    </row>
    <row r="48" spans="1:17" x14ac:dyDescent="0.2">
      <c r="A48" s="263" t="s">
        <v>760</v>
      </c>
      <c r="B48" s="840" t="s">
        <v>339</v>
      </c>
      <c r="C48" s="115">
        <f>-Trackers!D197-C49</f>
        <v>0</v>
      </c>
      <c r="D48" s="115">
        <f>-Trackers!E197-D49</f>
        <v>0</v>
      </c>
      <c r="E48" s="115">
        <f>-Trackers!F197-E49</f>
        <v>0</v>
      </c>
      <c r="F48" s="115">
        <f>-Trackers!G197-F49</f>
        <v>0</v>
      </c>
      <c r="G48" s="115">
        <f>-Trackers!H197-G49</f>
        <v>0</v>
      </c>
      <c r="H48" s="115">
        <f>-Trackers!I197-H49</f>
        <v>0</v>
      </c>
      <c r="I48" s="115">
        <f>-Trackers!J197-I49</f>
        <v>0</v>
      </c>
      <c r="J48" s="115">
        <f>-Trackers!K197-J49</f>
        <v>0</v>
      </c>
      <c r="K48" s="115">
        <f>-Trackers!L197-K49</f>
        <v>0</v>
      </c>
      <c r="L48" s="115">
        <f>-Trackers!M197-L49</f>
        <v>0</v>
      </c>
      <c r="M48" s="115">
        <f>-Trackers!N197-M49</f>
        <v>0</v>
      </c>
      <c r="N48" s="115">
        <f>-Trackers!O197-N49</f>
        <v>0</v>
      </c>
      <c r="O48" s="115">
        <f t="shared" si="13"/>
        <v>0</v>
      </c>
      <c r="P48" s="116">
        <f t="shared" si="11"/>
        <v>0</v>
      </c>
      <c r="Q48" s="115">
        <f t="shared" si="14"/>
        <v>0</v>
      </c>
    </row>
    <row r="49" spans="1:19" x14ac:dyDescent="0.2">
      <c r="A49" s="263" t="s">
        <v>677</v>
      </c>
      <c r="B49" s="840" t="s">
        <v>339</v>
      </c>
      <c r="C49" s="543">
        <f>Transport!C29</f>
        <v>0</v>
      </c>
      <c r="D49" s="115">
        <f>Transport!D29</f>
        <v>0</v>
      </c>
      <c r="E49" s="115">
        <f>Transport!E29</f>
        <v>0</v>
      </c>
      <c r="F49" s="115">
        <f>Transport!F29</f>
        <v>0</v>
      </c>
      <c r="G49" s="115">
        <f>Transport!G29</f>
        <v>0</v>
      </c>
      <c r="H49" s="115">
        <f>Transport!H29</f>
        <v>0</v>
      </c>
      <c r="I49" s="115">
        <f>Transport!I29</f>
        <v>0</v>
      </c>
      <c r="J49" s="115">
        <f>Transport!J29</f>
        <v>0</v>
      </c>
      <c r="K49" s="115">
        <f>Transport!K29</f>
        <v>0</v>
      </c>
      <c r="L49" s="115">
        <f>Transport!L29</f>
        <v>0</v>
      </c>
      <c r="M49" s="115">
        <f>Transport!M29</f>
        <v>0</v>
      </c>
      <c r="N49" s="115">
        <f>Transport!N29</f>
        <v>0</v>
      </c>
      <c r="O49" s="115">
        <f t="shared" si="13"/>
        <v>0</v>
      </c>
      <c r="P49" s="116">
        <f t="shared" si="11"/>
        <v>0</v>
      </c>
      <c r="Q49" s="115">
        <f t="shared" si="14"/>
        <v>0</v>
      </c>
    </row>
    <row r="50" spans="1:19" x14ac:dyDescent="0.2">
      <c r="A50" s="263" t="s">
        <v>761</v>
      </c>
      <c r="B50" s="840" t="s">
        <v>339</v>
      </c>
      <c r="C50" s="115">
        <f>-Trackers!D332</f>
        <v>0</v>
      </c>
      <c r="D50" s="115">
        <f>-Trackers!E332</f>
        <v>0</v>
      </c>
      <c r="E50" s="115">
        <f>-Trackers!F332</f>
        <v>0</v>
      </c>
      <c r="F50" s="115">
        <f>-Trackers!G332</f>
        <v>0</v>
      </c>
      <c r="G50" s="115">
        <f>-Trackers!H332</f>
        <v>0</v>
      </c>
      <c r="H50" s="115">
        <f>-Trackers!I332</f>
        <v>0</v>
      </c>
      <c r="I50" s="115">
        <f>-Trackers!J332</f>
        <v>0</v>
      </c>
      <c r="J50" s="115">
        <f>-Trackers!K332</f>
        <v>0</v>
      </c>
      <c r="K50" s="115">
        <f>-Trackers!L332</f>
        <v>0</v>
      </c>
      <c r="L50" s="115">
        <f>-Trackers!M332</f>
        <v>0</v>
      </c>
      <c r="M50" s="115">
        <f>-Trackers!N332</f>
        <v>0</v>
      </c>
      <c r="N50" s="115">
        <f>-Trackers!O332</f>
        <v>0</v>
      </c>
      <c r="O50" s="115">
        <f t="shared" si="13"/>
        <v>0</v>
      </c>
      <c r="P50" s="116">
        <f t="shared" si="11"/>
        <v>0</v>
      </c>
      <c r="Q50" s="115">
        <f t="shared" si="14"/>
        <v>0</v>
      </c>
    </row>
    <row r="51" spans="1:19" x14ac:dyDescent="0.2">
      <c r="A51" s="263" t="s">
        <v>762</v>
      </c>
      <c r="B51" s="840" t="s">
        <v>339</v>
      </c>
      <c r="C51" s="115">
        <f>-Trackers!D544</f>
        <v>0</v>
      </c>
      <c r="D51" s="115">
        <f>-Trackers!E544</f>
        <v>0</v>
      </c>
      <c r="E51" s="115">
        <f>-Trackers!F544</f>
        <v>0</v>
      </c>
      <c r="F51" s="115">
        <f>-Trackers!G544</f>
        <v>0</v>
      </c>
      <c r="G51" s="115">
        <f>-Trackers!H544</f>
        <v>0</v>
      </c>
      <c r="H51" s="115">
        <f>-Trackers!I544</f>
        <v>0</v>
      </c>
      <c r="I51" s="115">
        <f>-Trackers!J544</f>
        <v>0</v>
      </c>
      <c r="J51" s="115">
        <f>-Trackers!K544</f>
        <v>0</v>
      </c>
      <c r="K51" s="115">
        <f>-Trackers!L544</f>
        <v>0</v>
      </c>
      <c r="L51" s="115">
        <f>-Trackers!M544</f>
        <v>0</v>
      </c>
      <c r="M51" s="115">
        <f>-Trackers!N544</f>
        <v>0</v>
      </c>
      <c r="N51" s="115">
        <f>-Trackers!O544</f>
        <v>0</v>
      </c>
      <c r="O51" s="115">
        <f t="shared" si="13"/>
        <v>0</v>
      </c>
      <c r="P51" s="116">
        <f t="shared" si="11"/>
        <v>0</v>
      </c>
      <c r="Q51" s="115">
        <f t="shared" si="14"/>
        <v>0</v>
      </c>
    </row>
    <row r="52" spans="1:19" x14ac:dyDescent="0.2">
      <c r="A52" s="263" t="s">
        <v>763</v>
      </c>
      <c r="B52" s="839" t="s">
        <v>751</v>
      </c>
      <c r="C52" s="985">
        <f>-DataBase!C99-DataBase!C241</f>
        <v>349</v>
      </c>
      <c r="D52" s="985">
        <f>-DataBase!D99-DataBase!D241</f>
        <v>350</v>
      </c>
      <c r="E52" s="985">
        <f>-DataBase!E99-DataBase!E241</f>
        <v>349</v>
      </c>
      <c r="F52" s="985">
        <f>-DataBase!F99-DataBase!F241</f>
        <v>350</v>
      </c>
      <c r="G52" s="985">
        <f>-DataBase!G99-DataBase!G241</f>
        <v>349</v>
      </c>
      <c r="H52" s="985">
        <f>-DataBase!H99-DataBase!H241</f>
        <v>350</v>
      </c>
      <c r="I52" s="985">
        <f>-DataBase!I99-DataBase!I241</f>
        <v>349</v>
      </c>
      <c r="J52" s="985">
        <f>-DataBase!J99-DataBase!J241</f>
        <v>350</v>
      </c>
      <c r="K52" s="985">
        <f>-DataBase!K99-DataBase!K241</f>
        <v>349</v>
      </c>
      <c r="L52" s="985">
        <f>-DataBase!L99-DataBase!L241</f>
        <v>350</v>
      </c>
      <c r="M52" s="985">
        <f>-DataBase!M99-DataBase!M241</f>
        <v>351</v>
      </c>
      <c r="N52" s="985">
        <f>-DataBase!N99-DataBase!N241</f>
        <v>351</v>
      </c>
      <c r="O52" s="115">
        <f t="shared" si="13"/>
        <v>4197</v>
      </c>
      <c r="P52" s="116">
        <f t="shared" si="11"/>
        <v>699</v>
      </c>
      <c r="Q52" s="115">
        <f t="shared" si="14"/>
        <v>3498</v>
      </c>
    </row>
    <row r="53" spans="1:19" x14ac:dyDescent="0.2">
      <c r="A53" s="263" t="s">
        <v>764</v>
      </c>
      <c r="B53" s="839" t="s">
        <v>751</v>
      </c>
      <c r="C53" s="985">
        <f>-DataBase!C100</f>
        <v>2</v>
      </c>
      <c r="D53" s="985">
        <f>-DataBase!D100</f>
        <v>3</v>
      </c>
      <c r="E53" s="985">
        <f>-DataBase!E100</f>
        <v>2</v>
      </c>
      <c r="F53" s="985">
        <f>-DataBase!F100</f>
        <v>3</v>
      </c>
      <c r="G53" s="985">
        <f>-DataBase!G100</f>
        <v>2</v>
      </c>
      <c r="H53" s="985">
        <f>-DataBase!H100</f>
        <v>3</v>
      </c>
      <c r="I53" s="985">
        <f>-DataBase!I100</f>
        <v>2</v>
      </c>
      <c r="J53" s="985">
        <f>-DataBase!J100</f>
        <v>3</v>
      </c>
      <c r="K53" s="985">
        <f>-DataBase!K100</f>
        <v>3</v>
      </c>
      <c r="L53" s="985">
        <f>-DataBase!L100</f>
        <v>3</v>
      </c>
      <c r="M53" s="985">
        <f>-DataBase!M100</f>
        <v>2</v>
      </c>
      <c r="N53" s="985">
        <f>-DataBase!N100</f>
        <v>3</v>
      </c>
      <c r="O53" s="115">
        <f>SUM(C53:N53)</f>
        <v>31</v>
      </c>
      <c r="P53" s="116">
        <f t="shared" si="11"/>
        <v>5</v>
      </c>
      <c r="Q53" s="115">
        <f>(O53-P53)</f>
        <v>26</v>
      </c>
    </row>
    <row r="54" spans="1:19" x14ac:dyDescent="0.2">
      <c r="A54" s="905" t="s">
        <v>0</v>
      </c>
      <c r="C54" s="985">
        <f>-DataBase!C96</f>
        <v>0</v>
      </c>
      <c r="D54" s="985">
        <f>-DataBase!D96</f>
        <v>0</v>
      </c>
      <c r="E54" s="985">
        <f>-DataBase!E96</f>
        <v>0</v>
      </c>
      <c r="F54" s="985">
        <f>-DataBase!F96</f>
        <v>0</v>
      </c>
      <c r="G54" s="985">
        <f>-DataBase!G96</f>
        <v>0</v>
      </c>
      <c r="H54" s="985">
        <f>-DataBase!H96</f>
        <v>0</v>
      </c>
      <c r="I54" s="985">
        <f>-DataBase!I96</f>
        <v>0</v>
      </c>
      <c r="J54" s="985">
        <f>-DataBase!J96</f>
        <v>0</v>
      </c>
      <c r="K54" s="985">
        <f>-DataBase!K96</f>
        <v>0</v>
      </c>
      <c r="L54" s="985">
        <f>-DataBase!L96</f>
        <v>0</v>
      </c>
      <c r="M54" s="985">
        <f>-DataBase!M96</f>
        <v>0</v>
      </c>
      <c r="N54" s="985">
        <f>-DataBase!N96</f>
        <v>0</v>
      </c>
      <c r="O54" s="115">
        <f t="shared" si="13"/>
        <v>0</v>
      </c>
      <c r="P54" s="116">
        <f t="shared" si="11"/>
        <v>0</v>
      </c>
      <c r="Q54" s="115">
        <f t="shared" si="14"/>
        <v>0</v>
      </c>
    </row>
    <row r="55" spans="1:19" x14ac:dyDescent="0.2">
      <c r="A55" s="905" t="s">
        <v>726</v>
      </c>
      <c r="C55" s="985">
        <f>-DataBase!C97</f>
        <v>0</v>
      </c>
      <c r="D55" s="985">
        <f>-DataBase!D97</f>
        <v>0</v>
      </c>
      <c r="E55" s="985">
        <f>-DataBase!E97</f>
        <v>0</v>
      </c>
      <c r="F55" s="985">
        <f>-DataBase!F97</f>
        <v>0</v>
      </c>
      <c r="G55" s="985">
        <f>-DataBase!G97</f>
        <v>0</v>
      </c>
      <c r="H55" s="985">
        <f>-DataBase!H97</f>
        <v>0</v>
      </c>
      <c r="I55" s="985">
        <f>-DataBase!I97</f>
        <v>0</v>
      </c>
      <c r="J55" s="985">
        <f>-DataBase!J97</f>
        <v>0</v>
      </c>
      <c r="K55" s="985">
        <f>-DataBase!K97</f>
        <v>0</v>
      </c>
      <c r="L55" s="985">
        <f>-DataBase!L97</f>
        <v>0</v>
      </c>
      <c r="M55" s="985">
        <f>-DataBase!M97</f>
        <v>0</v>
      </c>
      <c r="N55" s="985">
        <f>-DataBase!N97</f>
        <v>0</v>
      </c>
      <c r="O55" s="115">
        <f>SUM(C55:N55)</f>
        <v>0</v>
      </c>
      <c r="P55" s="116">
        <f t="shared" si="11"/>
        <v>0</v>
      </c>
      <c r="Q55" s="115">
        <f>(O55-P55)</f>
        <v>0</v>
      </c>
      <c r="R55" s="115"/>
    </row>
    <row r="56" spans="1:19" x14ac:dyDescent="0.2">
      <c r="A56" s="905" t="s">
        <v>727</v>
      </c>
      <c r="C56" s="985">
        <f>-DataBase!C98</f>
        <v>0</v>
      </c>
      <c r="D56" s="985">
        <f>-DataBase!D98</f>
        <v>0</v>
      </c>
      <c r="E56" s="985">
        <f>-DataBase!E98</f>
        <v>0</v>
      </c>
      <c r="F56" s="985">
        <f>-DataBase!F98</f>
        <v>0</v>
      </c>
      <c r="G56" s="985">
        <f>-DataBase!G98</f>
        <v>0</v>
      </c>
      <c r="H56" s="985">
        <f>-DataBase!H98</f>
        <v>0</v>
      </c>
      <c r="I56" s="985">
        <f>-DataBase!I98</f>
        <v>0</v>
      </c>
      <c r="J56" s="985">
        <f>-DataBase!J98</f>
        <v>0</v>
      </c>
      <c r="K56" s="985">
        <f>-DataBase!K98</f>
        <v>0</v>
      </c>
      <c r="L56" s="985">
        <f>-DataBase!L98</f>
        <v>0</v>
      </c>
      <c r="M56" s="985">
        <f>-DataBase!M98</f>
        <v>0</v>
      </c>
      <c r="N56" s="985">
        <f>-DataBase!N98</f>
        <v>0</v>
      </c>
      <c r="O56" s="115">
        <f>SUM(C56:N56)</f>
        <v>0</v>
      </c>
      <c r="P56" s="116">
        <f t="shared" si="11"/>
        <v>0</v>
      </c>
      <c r="Q56" s="115">
        <f>(O56-P56)</f>
        <v>0</v>
      </c>
      <c r="R56" s="115"/>
    </row>
    <row r="57" spans="1:19" x14ac:dyDescent="0.2">
      <c r="A57" s="263" t="s">
        <v>1187</v>
      </c>
      <c r="C57" s="269">
        <v>0</v>
      </c>
      <c r="D57" s="269">
        <v>0</v>
      </c>
      <c r="E57" s="269">
        <v>0</v>
      </c>
      <c r="F57" s="269">
        <v>0</v>
      </c>
      <c r="G57" s="269">
        <v>0</v>
      </c>
      <c r="H57" s="269">
        <v>0</v>
      </c>
      <c r="I57" s="269">
        <v>0</v>
      </c>
      <c r="J57" s="269">
        <v>0</v>
      </c>
      <c r="K57" s="269">
        <v>0</v>
      </c>
      <c r="L57" s="269">
        <v>0</v>
      </c>
      <c r="M57" s="269">
        <v>0</v>
      </c>
      <c r="N57" s="269">
        <v>0</v>
      </c>
      <c r="O57" s="118">
        <f t="shared" si="13"/>
        <v>0</v>
      </c>
      <c r="P57" s="269">
        <f t="shared" si="11"/>
        <v>0</v>
      </c>
      <c r="Q57" s="118">
        <f t="shared" si="14"/>
        <v>0</v>
      </c>
    </row>
    <row r="58" spans="1:19" ht="3.95" customHeight="1" x14ac:dyDescent="0.2"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</row>
    <row r="59" spans="1:19" x14ac:dyDescent="0.2">
      <c r="A59" s="388" t="s">
        <v>769</v>
      </c>
      <c r="B59" s="817"/>
      <c r="C59" s="120">
        <f t="shared" ref="C59:Q59" si="15">SUM(C32:C57)</f>
        <v>1648</v>
      </c>
      <c r="D59" s="120">
        <f t="shared" si="15"/>
        <v>1575</v>
      </c>
      <c r="E59" s="120">
        <f t="shared" si="15"/>
        <v>1514</v>
      </c>
      <c r="F59" s="120">
        <f t="shared" si="15"/>
        <v>1408</v>
      </c>
      <c r="G59" s="120">
        <f t="shared" si="15"/>
        <v>1335</v>
      </c>
      <c r="H59" s="120">
        <f t="shared" si="15"/>
        <v>1347</v>
      </c>
      <c r="I59" s="120">
        <f t="shared" si="15"/>
        <v>1344</v>
      </c>
      <c r="J59" s="120">
        <f t="shared" si="15"/>
        <v>1352</v>
      </c>
      <c r="K59" s="120">
        <f t="shared" si="15"/>
        <v>1356</v>
      </c>
      <c r="L59" s="120">
        <f t="shared" si="15"/>
        <v>1428</v>
      </c>
      <c r="M59" s="120">
        <f t="shared" si="15"/>
        <v>1511</v>
      </c>
      <c r="N59" s="120">
        <f t="shared" si="15"/>
        <v>1676</v>
      </c>
      <c r="O59" s="120">
        <f t="shared" si="15"/>
        <v>17494</v>
      </c>
      <c r="P59" s="120">
        <f t="shared" si="15"/>
        <v>3223</v>
      </c>
      <c r="Q59" s="120">
        <f t="shared" si="15"/>
        <v>14271</v>
      </c>
      <c r="R59" s="108"/>
      <c r="S59" s="108"/>
    </row>
    <row r="60" spans="1:19" ht="8.1" customHeight="1" x14ac:dyDescent="0.2">
      <c r="C60" s="113"/>
      <c r="D60" s="113"/>
      <c r="E60" s="113"/>
      <c r="F60" s="113"/>
      <c r="G60" s="113"/>
      <c r="H60" s="113"/>
      <c r="I60" s="113"/>
      <c r="J60" s="113"/>
      <c r="K60" s="113"/>
      <c r="L60" s="113"/>
      <c r="M60" s="113"/>
      <c r="N60" s="113"/>
      <c r="P60" s="113"/>
    </row>
    <row r="63" spans="1:19" x14ac:dyDescent="0.2">
      <c r="A63" s="121"/>
    </row>
    <row r="64" spans="1:19" x14ac:dyDescent="0.2">
      <c r="A64" s="113"/>
    </row>
    <row r="65" spans="1:1" x14ac:dyDescent="0.2">
      <c r="A65" s="113"/>
    </row>
    <row r="66" spans="1:1" x14ac:dyDescent="0.2">
      <c r="A66" s="121"/>
    </row>
    <row r="67" spans="1:1" x14ac:dyDescent="0.2">
      <c r="A67" s="113"/>
    </row>
    <row r="68" spans="1:1" x14ac:dyDescent="0.2">
      <c r="A68" s="113"/>
    </row>
    <row r="69" spans="1:1" x14ac:dyDescent="0.2">
      <c r="A69" s="113"/>
    </row>
    <row r="70" spans="1:1" x14ac:dyDescent="0.2">
      <c r="A70" s="113"/>
    </row>
    <row r="71" spans="1:1" x14ac:dyDescent="0.2">
      <c r="A71" s="113"/>
    </row>
    <row r="72" spans="1:1" x14ac:dyDescent="0.2">
      <c r="A72" s="113"/>
    </row>
    <row r="73" spans="1:1" x14ac:dyDescent="0.2">
      <c r="A73" s="113"/>
    </row>
  </sheetData>
  <phoneticPr fontId="0" type="noConversion"/>
  <printOptions horizontalCentered="1" gridLinesSet="0"/>
  <pageMargins left="0.5" right="0.5" top="0.25" bottom="0.25" header="0" footer="0"/>
  <pageSetup paperSize="5" scale="85" orientation="landscape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8">
    <pageSetUpPr fitToPage="1"/>
  </sheetPr>
  <dimension ref="A1:AX143"/>
  <sheetViews>
    <sheetView showGridLines="0" workbookViewId="0">
      <pane xSplit="2" ySplit="4" topLeftCell="C5" activePane="bottomRight" state="frozen"/>
      <selection activeCell="T71" sqref="T71:AA108"/>
      <selection pane="topRight" activeCell="T71" sqref="T71:AA108"/>
      <selection pane="bottomLeft" activeCell="T71" sqref="T71:AA108"/>
      <selection pane="bottomRight" activeCell="C5" sqref="C5"/>
    </sheetView>
  </sheetViews>
  <sheetFormatPr defaultRowHeight="12.75" x14ac:dyDescent="0.2"/>
  <cols>
    <col min="1" max="1" width="45.7109375" style="20" customWidth="1"/>
    <col min="2" max="2" width="8.7109375" style="804" customWidth="1"/>
    <col min="3" max="14" width="8.7109375" style="20" customWidth="1"/>
    <col min="15" max="17" width="9.7109375" style="20" customWidth="1"/>
    <col min="18" max="18" width="9.140625" style="20"/>
    <col min="19" max="19" width="26.28515625" style="20" customWidth="1"/>
    <col min="20" max="35" width="9.140625" style="20"/>
    <col min="36" max="36" width="26.28515625" style="20" customWidth="1"/>
    <col min="37" max="16384" width="9.140625" style="20"/>
  </cols>
  <sheetData>
    <row r="1" spans="1:50" x14ac:dyDescent="0.2">
      <c r="A1" s="605" t="str">
        <f ca="1">CELL("FILENAME")</f>
        <v>C:\Users\Felienne\Enron\EnronSpreadsheets\[tracy_geaccone__40367__EMNNG02PL.xls]IncomeState</v>
      </c>
      <c r="B1" s="797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</row>
    <row r="2" spans="1:50" x14ac:dyDescent="0.2">
      <c r="A2" s="377" t="s">
        <v>247</v>
      </c>
      <c r="B2" s="797"/>
      <c r="C2" s="363"/>
      <c r="D2" s="363"/>
      <c r="E2" s="557"/>
      <c r="F2" s="363"/>
      <c r="G2" s="496"/>
      <c r="H2" s="363"/>
      <c r="I2" s="363"/>
      <c r="J2" s="363"/>
      <c r="K2" s="363"/>
      <c r="L2" s="363"/>
      <c r="M2" s="363"/>
      <c r="N2" s="363"/>
      <c r="O2" s="364"/>
      <c r="P2" s="364"/>
      <c r="Q2" s="364"/>
      <c r="S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</row>
    <row r="3" spans="1:50" x14ac:dyDescent="0.2">
      <c r="A3" s="552" t="str">
        <f>IncomeState!A3</f>
        <v>2002 OPERATING PLAN</v>
      </c>
      <c r="B3" s="798">
        <f ca="1">NOW()</f>
        <v>41887.55112708333</v>
      </c>
      <c r="C3" s="557" t="str">
        <f>DataBase!C2</f>
        <v>PLAN</v>
      </c>
      <c r="D3" s="557" t="str">
        <f>DataBase!D2</f>
        <v>PLAN</v>
      </c>
      <c r="E3" s="557" t="str">
        <f>DataBase!E2</f>
        <v>PLAN</v>
      </c>
      <c r="F3" s="557" t="str">
        <f>DataBase!F2</f>
        <v>PLAN</v>
      </c>
      <c r="G3" s="557" t="str">
        <f>DataBase!G2</f>
        <v>PLAN</v>
      </c>
      <c r="H3" s="557" t="str">
        <f>DataBase!H2</f>
        <v>PLAN</v>
      </c>
      <c r="I3" s="557" t="str">
        <f>DataBase!I2</f>
        <v>PLAN</v>
      </c>
      <c r="J3" s="557" t="str">
        <f>DataBase!J2</f>
        <v>PLAN</v>
      </c>
      <c r="K3" s="557" t="str">
        <f>DataBase!K2</f>
        <v>PLAN</v>
      </c>
      <c r="L3" s="557" t="str">
        <f>DataBase!L2</f>
        <v>PLAN</v>
      </c>
      <c r="M3" s="557" t="str">
        <f>DataBase!M2</f>
        <v>PLAN</v>
      </c>
      <c r="N3" s="557" t="str">
        <f>DataBase!N2</f>
        <v>PLAN</v>
      </c>
      <c r="O3" s="557" t="str">
        <f>DataBase!O2</f>
        <v>TOTAL</v>
      </c>
      <c r="P3" s="557" t="str">
        <f>IncomeState!P6</f>
        <v>FEB.</v>
      </c>
      <c r="Q3" s="557" t="str">
        <f>IncomeState!Q6</f>
        <v>ESTIMATE</v>
      </c>
      <c r="S3" s="24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H3" s="21"/>
    </row>
    <row r="4" spans="1:50" x14ac:dyDescent="0.2">
      <c r="A4" s="365"/>
      <c r="B4" s="799">
        <f ca="1">NOW()</f>
        <v>41887.55112708333</v>
      </c>
      <c r="C4" s="378" t="s">
        <v>1174</v>
      </c>
      <c r="D4" s="378" t="s">
        <v>1175</v>
      </c>
      <c r="E4" s="378" t="s">
        <v>1176</v>
      </c>
      <c r="F4" s="378" t="s">
        <v>1177</v>
      </c>
      <c r="G4" s="378" t="s">
        <v>1178</v>
      </c>
      <c r="H4" s="378" t="s">
        <v>1179</v>
      </c>
      <c r="I4" s="378" t="s">
        <v>1180</v>
      </c>
      <c r="J4" s="378" t="s">
        <v>1181</v>
      </c>
      <c r="K4" s="378" t="s">
        <v>1182</v>
      </c>
      <c r="L4" s="378" t="s">
        <v>1183</v>
      </c>
      <c r="M4" s="378" t="s">
        <v>1184</v>
      </c>
      <c r="N4" s="378" t="s">
        <v>1185</v>
      </c>
      <c r="O4" s="608" t="str">
        <f>DataBase!O3</f>
        <v>2002</v>
      </c>
      <c r="P4" s="608" t="str">
        <f>IncomeState!P7</f>
        <v>Y-T-D</v>
      </c>
      <c r="Q4" s="608" t="str">
        <f>IncomeState!Q7</f>
        <v>R.M.</v>
      </c>
      <c r="S4" s="25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H4" s="21"/>
    </row>
    <row r="5" spans="1:50" ht="3.95" customHeight="1" x14ac:dyDescent="0.2">
      <c r="A5" s="362"/>
      <c r="B5" s="797"/>
      <c r="C5" s="362"/>
      <c r="D5" s="362"/>
      <c r="E5" s="362"/>
      <c r="F5" s="362"/>
      <c r="G5" s="362"/>
      <c r="H5" s="362"/>
      <c r="I5" s="362"/>
      <c r="J5" s="362"/>
      <c r="K5" s="362"/>
      <c r="L5" s="362"/>
      <c r="M5" s="362"/>
      <c r="N5" s="362"/>
      <c r="O5" s="362"/>
      <c r="P5" s="362"/>
      <c r="Q5" s="362"/>
    </row>
    <row r="6" spans="1:50" x14ac:dyDescent="0.2">
      <c r="A6" s="379" t="s">
        <v>248</v>
      </c>
      <c r="B6" s="797"/>
      <c r="C6" s="366"/>
      <c r="D6" s="366"/>
      <c r="E6" s="366"/>
      <c r="F6" s="366"/>
      <c r="G6" s="366"/>
      <c r="H6" s="366"/>
      <c r="I6" s="366"/>
      <c r="J6" s="366"/>
      <c r="K6" s="366"/>
      <c r="L6" s="366"/>
      <c r="M6" s="366"/>
      <c r="N6" s="366"/>
      <c r="O6" s="366"/>
      <c r="P6" s="366"/>
      <c r="Q6" s="362"/>
      <c r="S6" s="21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J6" s="21"/>
    </row>
    <row r="7" spans="1:50" x14ac:dyDescent="0.2">
      <c r="A7" s="384" t="s">
        <v>249</v>
      </c>
      <c r="B7" s="800"/>
      <c r="C7" s="369"/>
      <c r="D7" s="369"/>
      <c r="E7" s="369"/>
      <c r="F7" s="369"/>
      <c r="G7" s="369"/>
      <c r="H7" s="369"/>
      <c r="I7" s="369"/>
      <c r="J7" s="369"/>
      <c r="K7" s="369"/>
      <c r="L7" s="369"/>
      <c r="M7" s="369"/>
      <c r="N7" s="369"/>
      <c r="O7" s="370"/>
      <c r="P7" s="369"/>
      <c r="Q7" s="370"/>
      <c r="S7" s="21"/>
      <c r="T7" s="21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8"/>
      <c r="AH7" s="27"/>
      <c r="AI7" s="28"/>
    </row>
    <row r="8" spans="1:50" x14ac:dyDescent="0.2">
      <c r="A8" s="370" t="str">
        <f>Trackers!A22</f>
        <v xml:space="preserve">      Many Islands (Canadian) FULLY ASSIGNED</v>
      </c>
      <c r="B8" s="841" t="s">
        <v>339</v>
      </c>
      <c r="C8" s="370">
        <f>Trackers!D22</f>
        <v>0</v>
      </c>
      <c r="D8" s="370">
        <f>Trackers!E22</f>
        <v>0</v>
      </c>
      <c r="E8" s="370">
        <f>Trackers!F22</f>
        <v>0</v>
      </c>
      <c r="F8" s="370">
        <f>Trackers!G22</f>
        <v>0</v>
      </c>
      <c r="G8" s="370">
        <f>Trackers!H22</f>
        <v>0</v>
      </c>
      <c r="H8" s="370">
        <f>Trackers!I22</f>
        <v>0</v>
      </c>
      <c r="I8" s="370">
        <f>Trackers!J22</f>
        <v>0</v>
      </c>
      <c r="J8" s="370">
        <f>Trackers!K22</f>
        <v>0</v>
      </c>
      <c r="K8" s="370">
        <f>Trackers!L22</f>
        <v>0</v>
      </c>
      <c r="L8" s="370">
        <f>Trackers!M22</f>
        <v>0</v>
      </c>
      <c r="M8" s="370">
        <f>Trackers!N22</f>
        <v>0</v>
      </c>
      <c r="N8" s="370">
        <f>Trackers!O22</f>
        <v>0</v>
      </c>
      <c r="O8" s="370">
        <f t="shared" ref="O8:O14" si="0">SUM(C8:N8)</f>
        <v>0</v>
      </c>
      <c r="P8" s="369">
        <f>SUM(C8:D8)</f>
        <v>0</v>
      </c>
      <c r="Q8" s="370">
        <f t="shared" ref="Q8:Q14" si="1">(O8-P8)</f>
        <v>0</v>
      </c>
      <c r="R8" s="28"/>
      <c r="S8" s="21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8"/>
      <c r="AH8" s="27"/>
      <c r="AI8" s="28"/>
      <c r="AJ8" s="21"/>
    </row>
    <row r="9" spans="1:50" x14ac:dyDescent="0.2">
      <c r="A9" s="370" t="str">
        <f>Trackers!A23</f>
        <v xml:space="preserve">      Great Lakes FULLY ASSIGNED</v>
      </c>
      <c r="B9" s="841" t="s">
        <v>339</v>
      </c>
      <c r="C9" s="370">
        <f>Trackers!D23</f>
        <v>0</v>
      </c>
      <c r="D9" s="370">
        <f>Trackers!E23</f>
        <v>0</v>
      </c>
      <c r="E9" s="370">
        <f>Trackers!F23</f>
        <v>0</v>
      </c>
      <c r="F9" s="370">
        <f>Trackers!G23</f>
        <v>0</v>
      </c>
      <c r="G9" s="370">
        <f>Trackers!H23</f>
        <v>0</v>
      </c>
      <c r="H9" s="370">
        <f>Trackers!I23</f>
        <v>0</v>
      </c>
      <c r="I9" s="370">
        <f>Trackers!J23</f>
        <v>0</v>
      </c>
      <c r="J9" s="370">
        <f>Trackers!K23</f>
        <v>0</v>
      </c>
      <c r="K9" s="370">
        <f>Trackers!L23</f>
        <v>0</v>
      </c>
      <c r="L9" s="370">
        <f>Trackers!M23</f>
        <v>0</v>
      </c>
      <c r="M9" s="370">
        <f>Trackers!N23</f>
        <v>0</v>
      </c>
      <c r="N9" s="370">
        <f>Trackers!O23</f>
        <v>0</v>
      </c>
      <c r="O9" s="370">
        <f t="shared" si="0"/>
        <v>0</v>
      </c>
      <c r="P9" s="369">
        <f t="shared" ref="P9:P14" si="2">SUM(C9:D9)</f>
        <v>0</v>
      </c>
      <c r="Q9" s="370">
        <f t="shared" si="1"/>
        <v>0</v>
      </c>
      <c r="R9" s="28"/>
      <c r="S9" s="21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8"/>
      <c r="AH9" s="27"/>
      <c r="AI9" s="28"/>
      <c r="AJ9" s="21"/>
    </row>
    <row r="10" spans="1:50" x14ac:dyDescent="0.2">
      <c r="A10" s="370" t="str">
        <f>Trackers!A24</f>
        <v xml:space="preserve">      Trailblazer System (Including WIC)</v>
      </c>
      <c r="B10" s="841" t="s">
        <v>339</v>
      </c>
      <c r="C10" s="370">
        <f>Trackers!D24</f>
        <v>0</v>
      </c>
      <c r="D10" s="370">
        <f>Trackers!E24</f>
        <v>0</v>
      </c>
      <c r="E10" s="370">
        <f>Trackers!F24</f>
        <v>0</v>
      </c>
      <c r="F10" s="370">
        <f>Trackers!G24</f>
        <v>0</v>
      </c>
      <c r="G10" s="370">
        <f>Trackers!H24</f>
        <v>0</v>
      </c>
      <c r="H10" s="370">
        <f>Trackers!I24</f>
        <v>0</v>
      </c>
      <c r="I10" s="370">
        <f>Trackers!J24</f>
        <v>0</v>
      </c>
      <c r="J10" s="370">
        <f>Trackers!K24</f>
        <v>0</v>
      </c>
      <c r="K10" s="370">
        <f>Trackers!L24</f>
        <v>0</v>
      </c>
      <c r="L10" s="370">
        <f>Trackers!M24</f>
        <v>0</v>
      </c>
      <c r="M10" s="370">
        <f>Trackers!N24</f>
        <v>0</v>
      </c>
      <c r="N10" s="370">
        <f>Trackers!O24</f>
        <v>0</v>
      </c>
      <c r="O10" s="370">
        <f t="shared" si="0"/>
        <v>0</v>
      </c>
      <c r="P10" s="369">
        <f t="shared" si="2"/>
        <v>0</v>
      </c>
      <c r="Q10" s="370">
        <f t="shared" si="1"/>
        <v>0</v>
      </c>
      <c r="R10" s="28"/>
      <c r="S10" s="21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8"/>
      <c r="AH10" s="27"/>
      <c r="AI10" s="28"/>
      <c r="AJ10" s="21"/>
    </row>
    <row r="11" spans="1:50" x14ac:dyDescent="0.2">
      <c r="A11" s="370" t="str">
        <f>Trackers!A25</f>
        <v xml:space="preserve">      Settlement Credit</v>
      </c>
      <c r="B11" s="841" t="s">
        <v>339</v>
      </c>
      <c r="C11" s="370">
        <f>Trackers!D25</f>
        <v>0</v>
      </c>
      <c r="D11" s="370">
        <f>Trackers!E25</f>
        <v>0</v>
      </c>
      <c r="E11" s="370">
        <f>Trackers!F25</f>
        <v>0</v>
      </c>
      <c r="F11" s="370">
        <f>Trackers!G25</f>
        <v>0</v>
      </c>
      <c r="G11" s="370">
        <f>Trackers!H25</f>
        <v>0</v>
      </c>
      <c r="H11" s="370">
        <f>Trackers!I25</f>
        <v>0</v>
      </c>
      <c r="I11" s="370">
        <f>Trackers!J25</f>
        <v>0</v>
      </c>
      <c r="J11" s="370">
        <f>Trackers!K25</f>
        <v>0</v>
      </c>
      <c r="K11" s="370">
        <f>Trackers!L25</f>
        <v>0</v>
      </c>
      <c r="L11" s="370">
        <f>Trackers!M25</f>
        <v>0</v>
      </c>
      <c r="M11" s="370">
        <f>Trackers!N25</f>
        <v>0</v>
      </c>
      <c r="N11" s="370">
        <f>Trackers!O25</f>
        <v>0</v>
      </c>
      <c r="O11" s="370">
        <f t="shared" si="0"/>
        <v>0</v>
      </c>
      <c r="P11" s="369">
        <f t="shared" si="2"/>
        <v>0</v>
      </c>
      <c r="Q11" s="370">
        <f t="shared" si="1"/>
        <v>0</v>
      </c>
      <c r="R11" s="28"/>
      <c r="S11" s="21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8"/>
      <c r="AH11" s="27"/>
      <c r="AI11" s="28"/>
      <c r="AJ11" s="21"/>
    </row>
    <row r="12" spans="1:50" x14ac:dyDescent="0.2">
      <c r="A12" s="370" t="str">
        <f>Trackers!A26</f>
        <v xml:space="preserve">      Rocky Mountain (Questar)</v>
      </c>
      <c r="B12" s="841" t="s">
        <v>339</v>
      </c>
      <c r="C12" s="370">
        <f>Trackers!D26</f>
        <v>0</v>
      </c>
      <c r="D12" s="370">
        <f>Trackers!E26</f>
        <v>0</v>
      </c>
      <c r="E12" s="370">
        <f>Trackers!F26</f>
        <v>0</v>
      </c>
      <c r="F12" s="370">
        <f>Trackers!G26</f>
        <v>0</v>
      </c>
      <c r="G12" s="370">
        <f>Trackers!H26</f>
        <v>0</v>
      </c>
      <c r="H12" s="370">
        <f>Trackers!I26</f>
        <v>0</v>
      </c>
      <c r="I12" s="370">
        <f>Trackers!J26</f>
        <v>0</v>
      </c>
      <c r="J12" s="370">
        <f>Trackers!K26</f>
        <v>0</v>
      </c>
      <c r="K12" s="370">
        <f>Trackers!L26</f>
        <v>0</v>
      </c>
      <c r="L12" s="370">
        <f>Trackers!M26</f>
        <v>0</v>
      </c>
      <c r="M12" s="370">
        <f>Trackers!N26</f>
        <v>0</v>
      </c>
      <c r="N12" s="370">
        <f>Trackers!O26</f>
        <v>0</v>
      </c>
      <c r="O12" s="370">
        <f t="shared" si="0"/>
        <v>0</v>
      </c>
      <c r="P12" s="369">
        <f t="shared" si="2"/>
        <v>0</v>
      </c>
      <c r="Q12" s="370">
        <f t="shared" si="1"/>
        <v>0</v>
      </c>
      <c r="R12" s="28"/>
      <c r="S12" s="21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8"/>
      <c r="AH12" s="27"/>
      <c r="AI12" s="28"/>
      <c r="AJ12" s="21"/>
    </row>
    <row r="13" spans="1:50" x14ac:dyDescent="0.2">
      <c r="A13" s="370" t="str">
        <f>Trackers!A27</f>
        <v xml:space="preserve">      Gulf Coast / Dakota Gas (Columbia Gulf / HPL)</v>
      </c>
      <c r="B13" s="841" t="s">
        <v>339</v>
      </c>
      <c r="C13" s="370">
        <f>Trackers!D27</f>
        <v>0</v>
      </c>
      <c r="D13" s="370">
        <f>Trackers!E27</f>
        <v>0</v>
      </c>
      <c r="E13" s="370">
        <f>Trackers!F27</f>
        <v>0</v>
      </c>
      <c r="F13" s="370">
        <f>Trackers!G27</f>
        <v>0</v>
      </c>
      <c r="G13" s="370">
        <f>Trackers!H27</f>
        <v>0</v>
      </c>
      <c r="H13" s="370">
        <f>Trackers!I27</f>
        <v>0</v>
      </c>
      <c r="I13" s="370">
        <f>Trackers!J27</f>
        <v>0</v>
      </c>
      <c r="J13" s="370">
        <f>Trackers!K27</f>
        <v>0</v>
      </c>
      <c r="K13" s="370">
        <f>Trackers!L27</f>
        <v>0</v>
      </c>
      <c r="L13" s="370">
        <f>Trackers!M27</f>
        <v>0</v>
      </c>
      <c r="M13" s="370">
        <f>Trackers!N27</f>
        <v>0</v>
      </c>
      <c r="N13" s="370">
        <f>Trackers!O27</f>
        <v>0</v>
      </c>
      <c r="O13" s="370">
        <f t="shared" si="0"/>
        <v>0</v>
      </c>
      <c r="P13" s="369">
        <f t="shared" si="2"/>
        <v>0</v>
      </c>
      <c r="Q13" s="370">
        <f t="shared" si="1"/>
        <v>0</v>
      </c>
      <c r="R13" s="28"/>
      <c r="S13" s="21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8"/>
      <c r="AH13" s="27"/>
      <c r="AI13" s="28"/>
      <c r="AJ13" s="21"/>
    </row>
    <row r="14" spans="1:50" x14ac:dyDescent="0.2">
      <c r="A14" s="370" t="str">
        <f>Trackers!A28</f>
        <v xml:space="preserve">      Other</v>
      </c>
      <c r="B14" s="841" t="s">
        <v>339</v>
      </c>
      <c r="C14" s="371">
        <f>Trackers!D28</f>
        <v>0</v>
      </c>
      <c r="D14" s="371">
        <f>Trackers!E28</f>
        <v>0</v>
      </c>
      <c r="E14" s="371">
        <f>Trackers!F28</f>
        <v>0</v>
      </c>
      <c r="F14" s="371">
        <f>Trackers!G28</f>
        <v>0</v>
      </c>
      <c r="G14" s="371">
        <f>Trackers!H28</f>
        <v>0</v>
      </c>
      <c r="H14" s="371">
        <f>Trackers!I28</f>
        <v>0</v>
      </c>
      <c r="I14" s="371">
        <f>Trackers!J28</f>
        <v>0</v>
      </c>
      <c r="J14" s="371">
        <f>Trackers!K28</f>
        <v>0</v>
      </c>
      <c r="K14" s="371">
        <f>Trackers!L28</f>
        <v>0</v>
      </c>
      <c r="L14" s="371">
        <f>Trackers!M28</f>
        <v>0</v>
      </c>
      <c r="M14" s="371">
        <f>Trackers!N28</f>
        <v>0</v>
      </c>
      <c r="N14" s="371">
        <f>Trackers!O28</f>
        <v>0</v>
      </c>
      <c r="O14" s="371">
        <f t="shared" si="0"/>
        <v>0</v>
      </c>
      <c r="P14" s="374">
        <f t="shared" si="2"/>
        <v>0</v>
      </c>
      <c r="Q14" s="371">
        <f t="shared" si="1"/>
        <v>0</v>
      </c>
      <c r="R14" s="28"/>
      <c r="S14" s="21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8"/>
      <c r="AH14" s="27"/>
      <c r="AI14" s="28"/>
    </row>
    <row r="15" spans="1:50" ht="3.95" customHeight="1" x14ac:dyDescent="0.2">
      <c r="A15" s="362"/>
      <c r="B15" s="797"/>
      <c r="C15" s="372"/>
      <c r="D15" s="372"/>
      <c r="E15" s="372"/>
      <c r="F15" s="372"/>
      <c r="G15" s="372"/>
      <c r="H15" s="372"/>
      <c r="I15" s="372"/>
      <c r="J15" s="372"/>
      <c r="K15" s="372"/>
      <c r="L15" s="372"/>
      <c r="M15" s="372"/>
      <c r="N15" s="372"/>
      <c r="O15" s="372"/>
      <c r="P15" s="372"/>
      <c r="Q15" s="372"/>
    </row>
    <row r="16" spans="1:50" x14ac:dyDescent="0.2">
      <c r="A16" s="375" t="s">
        <v>250</v>
      </c>
      <c r="B16" s="801"/>
      <c r="C16" s="371">
        <f t="shared" ref="C16:Q16" si="3">SUM(C8:C14)</f>
        <v>0</v>
      </c>
      <c r="D16" s="371">
        <f t="shared" si="3"/>
        <v>0</v>
      </c>
      <c r="E16" s="371">
        <f t="shared" si="3"/>
        <v>0</v>
      </c>
      <c r="F16" s="371">
        <f t="shared" si="3"/>
        <v>0</v>
      </c>
      <c r="G16" s="371">
        <f t="shared" si="3"/>
        <v>0</v>
      </c>
      <c r="H16" s="371">
        <f t="shared" si="3"/>
        <v>0</v>
      </c>
      <c r="I16" s="371">
        <f t="shared" si="3"/>
        <v>0</v>
      </c>
      <c r="J16" s="371">
        <f t="shared" si="3"/>
        <v>0</v>
      </c>
      <c r="K16" s="371">
        <f t="shared" si="3"/>
        <v>0</v>
      </c>
      <c r="L16" s="371">
        <f t="shared" si="3"/>
        <v>0</v>
      </c>
      <c r="M16" s="371">
        <f t="shared" si="3"/>
        <v>0</v>
      </c>
      <c r="N16" s="371">
        <f t="shared" si="3"/>
        <v>0</v>
      </c>
      <c r="O16" s="371">
        <f t="shared" si="3"/>
        <v>0</v>
      </c>
      <c r="P16" s="371">
        <f t="shared" si="3"/>
        <v>0</v>
      </c>
      <c r="Q16" s="371">
        <f t="shared" si="3"/>
        <v>0</v>
      </c>
      <c r="R16" s="380"/>
      <c r="S16" s="22"/>
      <c r="T16" s="23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1"/>
    </row>
    <row r="17" spans="1:18" ht="6" customHeight="1" x14ac:dyDescent="0.2">
      <c r="A17" s="368"/>
      <c r="B17" s="797"/>
      <c r="C17" s="362"/>
      <c r="D17" s="362"/>
      <c r="E17" s="362"/>
      <c r="F17" s="362"/>
      <c r="G17" s="362"/>
      <c r="H17" s="362"/>
      <c r="I17" s="362"/>
      <c r="J17" s="362"/>
      <c r="K17" s="362"/>
      <c r="L17" s="362"/>
      <c r="M17" s="362"/>
      <c r="N17" s="362"/>
      <c r="O17" s="362"/>
      <c r="P17" s="362"/>
      <c r="Q17" s="362"/>
      <c r="R17" s="28"/>
    </row>
    <row r="18" spans="1:18" x14ac:dyDescent="0.2">
      <c r="A18" s="384" t="s">
        <v>251</v>
      </c>
      <c r="B18" s="797"/>
      <c r="C18" s="362"/>
      <c r="D18" s="362"/>
      <c r="E18" s="362"/>
      <c r="F18" s="362"/>
      <c r="G18" s="362"/>
      <c r="H18" s="362"/>
      <c r="I18" s="362"/>
      <c r="J18" s="362"/>
      <c r="K18" s="362"/>
      <c r="L18" s="362"/>
      <c r="M18" s="362"/>
      <c r="N18" s="362"/>
      <c r="O18" s="362"/>
      <c r="P18" s="362"/>
      <c r="Q18" s="362"/>
    </row>
    <row r="19" spans="1:18" x14ac:dyDescent="0.2">
      <c r="A19" s="370" t="str">
        <f>Trackers!A121</f>
        <v xml:space="preserve">      ANR (4.2) Storage</v>
      </c>
      <c r="B19" s="841" t="s">
        <v>339</v>
      </c>
      <c r="C19" s="370">
        <f>Trackers!D121</f>
        <v>0</v>
      </c>
      <c r="D19" s="370">
        <f>Trackers!E124</f>
        <v>0</v>
      </c>
      <c r="E19" s="370">
        <f>Trackers!F124</f>
        <v>0</v>
      </c>
      <c r="F19" s="370">
        <f>Trackers!G124</f>
        <v>0</v>
      </c>
      <c r="G19" s="370">
        <f>Trackers!H124</f>
        <v>0</v>
      </c>
      <c r="H19" s="370">
        <f>Trackers!I124</f>
        <v>0</v>
      </c>
      <c r="I19" s="370">
        <f>Trackers!J124</f>
        <v>0</v>
      </c>
      <c r="J19" s="370">
        <f>Trackers!K124</f>
        <v>0</v>
      </c>
      <c r="K19" s="370">
        <f>Trackers!L124</f>
        <v>0</v>
      </c>
      <c r="L19" s="370">
        <f>Trackers!M124</f>
        <v>0</v>
      </c>
      <c r="M19" s="370">
        <f>Trackers!N124</f>
        <v>0</v>
      </c>
      <c r="N19" s="370">
        <f>Trackers!O124</f>
        <v>0</v>
      </c>
      <c r="O19" s="370">
        <f>SUM(C19:N19)</f>
        <v>0</v>
      </c>
      <c r="P19" s="369">
        <f>SUM(C19:D19)</f>
        <v>0</v>
      </c>
      <c r="Q19" s="370">
        <f>(O19-P19)</f>
        <v>0</v>
      </c>
    </row>
    <row r="20" spans="1:18" x14ac:dyDescent="0.2">
      <c r="A20" s="370" t="str">
        <f>Trackers!A122</f>
        <v xml:space="preserve">      Other</v>
      </c>
      <c r="B20" s="842" t="s">
        <v>1205</v>
      </c>
      <c r="C20" s="551">
        <v>0</v>
      </c>
      <c r="D20" s="551">
        <v>0</v>
      </c>
      <c r="E20" s="551">
        <v>0</v>
      </c>
      <c r="F20" s="551">
        <v>0</v>
      </c>
      <c r="G20" s="551">
        <v>0</v>
      </c>
      <c r="H20" s="551">
        <v>0</v>
      </c>
      <c r="I20" s="551">
        <v>0</v>
      </c>
      <c r="J20" s="551">
        <v>0</v>
      </c>
      <c r="K20" s="551">
        <v>0</v>
      </c>
      <c r="L20" s="551">
        <v>0</v>
      </c>
      <c r="M20" s="551">
        <v>0</v>
      </c>
      <c r="N20" s="551">
        <v>0</v>
      </c>
      <c r="O20" s="371">
        <f>SUM(C20:N20)</f>
        <v>0</v>
      </c>
      <c r="P20" s="374">
        <f>SUM(C20:D20)</f>
        <v>0</v>
      </c>
      <c r="Q20" s="371">
        <f>(O20-P20)</f>
        <v>0</v>
      </c>
      <c r="R20" s="30"/>
    </row>
    <row r="21" spans="1:18" ht="3.95" customHeight="1" x14ac:dyDescent="0.2">
      <c r="A21" s="362"/>
      <c r="B21" s="797"/>
      <c r="C21" s="372"/>
      <c r="D21" s="372"/>
      <c r="E21" s="372"/>
      <c r="F21" s="372"/>
      <c r="G21" s="372"/>
      <c r="H21" s="372"/>
      <c r="I21" s="372"/>
      <c r="J21" s="372"/>
      <c r="K21" s="372"/>
      <c r="L21" s="372"/>
      <c r="M21" s="372"/>
      <c r="N21" s="372"/>
      <c r="O21" s="372"/>
      <c r="P21" s="372"/>
      <c r="Q21" s="372"/>
      <c r="R21" s="30"/>
    </row>
    <row r="22" spans="1:18" x14ac:dyDescent="0.2">
      <c r="A22" s="375" t="s">
        <v>252</v>
      </c>
      <c r="B22" s="797"/>
      <c r="C22" s="381">
        <f t="shared" ref="C22:Q22" si="4">SUM(C19:C20)</f>
        <v>0</v>
      </c>
      <c r="D22" s="381">
        <f t="shared" si="4"/>
        <v>0</v>
      </c>
      <c r="E22" s="381">
        <f t="shared" si="4"/>
        <v>0</v>
      </c>
      <c r="F22" s="381">
        <f t="shared" si="4"/>
        <v>0</v>
      </c>
      <c r="G22" s="381">
        <f t="shared" si="4"/>
        <v>0</v>
      </c>
      <c r="H22" s="381">
        <f t="shared" si="4"/>
        <v>0</v>
      </c>
      <c r="I22" s="381">
        <f t="shared" si="4"/>
        <v>0</v>
      </c>
      <c r="J22" s="381">
        <f t="shared" si="4"/>
        <v>0</v>
      </c>
      <c r="K22" s="381">
        <f t="shared" si="4"/>
        <v>0</v>
      </c>
      <c r="L22" s="381">
        <f t="shared" si="4"/>
        <v>0</v>
      </c>
      <c r="M22" s="381">
        <f t="shared" si="4"/>
        <v>0</v>
      </c>
      <c r="N22" s="381">
        <f t="shared" si="4"/>
        <v>0</v>
      </c>
      <c r="O22" s="381">
        <f t="shared" si="4"/>
        <v>0</v>
      </c>
      <c r="P22" s="381">
        <f t="shared" si="4"/>
        <v>0</v>
      </c>
      <c r="Q22" s="381">
        <f t="shared" si="4"/>
        <v>0</v>
      </c>
      <c r="R22" s="33"/>
    </row>
    <row r="23" spans="1:18" ht="6" customHeight="1" x14ac:dyDescent="0.2">
      <c r="A23" s="368"/>
      <c r="B23" s="797"/>
      <c r="C23" s="362"/>
      <c r="D23" s="362"/>
      <c r="E23" s="362"/>
      <c r="F23" s="362"/>
      <c r="G23" s="362"/>
      <c r="H23" s="362"/>
      <c r="I23" s="362"/>
      <c r="J23" s="362"/>
      <c r="K23" s="362"/>
      <c r="L23" s="362"/>
      <c r="M23" s="362"/>
      <c r="N23" s="362"/>
      <c r="O23" s="362"/>
      <c r="P23" s="362"/>
      <c r="Q23" s="362"/>
    </row>
    <row r="24" spans="1:18" x14ac:dyDescent="0.2">
      <c r="A24" s="384" t="s">
        <v>253</v>
      </c>
      <c r="B24" s="797"/>
      <c r="C24" s="362"/>
      <c r="D24" s="362"/>
      <c r="E24" s="362"/>
      <c r="F24" s="362"/>
      <c r="G24" s="362"/>
      <c r="H24" s="362"/>
      <c r="I24" s="362"/>
      <c r="J24" s="362"/>
      <c r="K24" s="362"/>
      <c r="L24" s="362"/>
      <c r="M24" s="362"/>
      <c r="N24" s="362"/>
      <c r="O24" s="370"/>
      <c r="P24" s="369"/>
      <c r="Q24" s="370"/>
      <c r="R24" s="28"/>
    </row>
    <row r="25" spans="1:18" x14ac:dyDescent="0.2">
      <c r="A25" s="375" t="s">
        <v>738</v>
      </c>
      <c r="B25" s="797"/>
      <c r="C25" s="983">
        <f>-DataBase!C105</f>
        <v>0</v>
      </c>
      <c r="D25" s="983">
        <f>-DataBase!D105</f>
        <v>0</v>
      </c>
      <c r="E25" s="983">
        <f>-DataBase!E105</f>
        <v>0</v>
      </c>
      <c r="F25" s="983">
        <f>-DataBase!F105</f>
        <v>0</v>
      </c>
      <c r="G25" s="983">
        <f>-DataBase!G105</f>
        <v>0</v>
      </c>
      <c r="H25" s="983">
        <f>-DataBase!H105</f>
        <v>0</v>
      </c>
      <c r="I25" s="983">
        <f>-DataBase!I105</f>
        <v>0</v>
      </c>
      <c r="J25" s="983">
        <f>-DataBase!J105</f>
        <v>0</v>
      </c>
      <c r="K25" s="983">
        <f>-DataBase!K105</f>
        <v>0</v>
      </c>
      <c r="L25" s="983">
        <f>-DataBase!L105</f>
        <v>0</v>
      </c>
      <c r="M25" s="983">
        <f>-DataBase!M105</f>
        <v>0</v>
      </c>
      <c r="N25" s="983">
        <f>-DataBase!N105</f>
        <v>0</v>
      </c>
      <c r="O25" s="370">
        <f t="shared" ref="O25:O33" si="5">SUM(C25:N25)</f>
        <v>0</v>
      </c>
      <c r="P25" s="369">
        <f t="shared" ref="P25:P33" si="6">SUM(C25:D25)</f>
        <v>0</v>
      </c>
      <c r="Q25" s="370">
        <f t="shared" ref="Q25:Q33" si="7">(O25-P25)</f>
        <v>0</v>
      </c>
      <c r="R25" s="28"/>
    </row>
    <row r="26" spans="1:18" x14ac:dyDescent="0.2">
      <c r="A26" s="375" t="s">
        <v>1109</v>
      </c>
      <c r="B26" s="797"/>
      <c r="C26" s="983">
        <f>-DataBase!C103</f>
        <v>235</v>
      </c>
      <c r="D26" s="983">
        <f>-DataBase!D103</f>
        <v>235</v>
      </c>
      <c r="E26" s="983">
        <f>-DataBase!E103</f>
        <v>235</v>
      </c>
      <c r="F26" s="983">
        <f>-DataBase!F103</f>
        <v>235</v>
      </c>
      <c r="G26" s="983">
        <f>-DataBase!G103</f>
        <v>235</v>
      </c>
      <c r="H26" s="983">
        <f>-DataBase!H103</f>
        <v>29</v>
      </c>
      <c r="I26" s="983">
        <f>-DataBase!I103</f>
        <v>72</v>
      </c>
      <c r="J26" s="983">
        <f>-DataBase!J103</f>
        <v>117</v>
      </c>
      <c r="K26" s="983">
        <f>-DataBase!K103</f>
        <v>161</v>
      </c>
      <c r="L26" s="983">
        <f>-DataBase!L103</f>
        <v>220</v>
      </c>
      <c r="M26" s="983">
        <f>-DataBase!M103</f>
        <v>220</v>
      </c>
      <c r="N26" s="983">
        <f>-DataBase!N103</f>
        <v>220</v>
      </c>
      <c r="O26" s="370">
        <f t="shared" si="5"/>
        <v>2214</v>
      </c>
      <c r="P26" s="369">
        <f t="shared" si="6"/>
        <v>470</v>
      </c>
      <c r="Q26" s="370">
        <f t="shared" si="7"/>
        <v>1744</v>
      </c>
      <c r="R26" s="28"/>
    </row>
    <row r="27" spans="1:18" x14ac:dyDescent="0.2">
      <c r="A27" s="850" t="s">
        <v>1</v>
      </c>
      <c r="B27" s="842" t="s">
        <v>1205</v>
      </c>
      <c r="C27" s="369">
        <v>0</v>
      </c>
      <c r="D27" s="369">
        <v>0</v>
      </c>
      <c r="E27" s="369">
        <v>0</v>
      </c>
      <c r="F27" s="369">
        <v>0</v>
      </c>
      <c r="G27" s="369">
        <v>0</v>
      </c>
      <c r="H27" s="369">
        <v>0</v>
      </c>
      <c r="I27" s="369">
        <v>0</v>
      </c>
      <c r="J27" s="369">
        <v>0</v>
      </c>
      <c r="K27" s="369">
        <v>0</v>
      </c>
      <c r="L27" s="369">
        <v>0</v>
      </c>
      <c r="M27" s="369">
        <v>0</v>
      </c>
      <c r="N27" s="369">
        <v>0</v>
      </c>
      <c r="O27" s="370">
        <f t="shared" si="5"/>
        <v>0</v>
      </c>
      <c r="P27" s="369">
        <f t="shared" si="6"/>
        <v>0</v>
      </c>
      <c r="Q27" s="370">
        <f t="shared" si="7"/>
        <v>0</v>
      </c>
      <c r="R27" s="28"/>
    </row>
    <row r="28" spans="1:18" x14ac:dyDescent="0.2">
      <c r="A28" s="375" t="s">
        <v>314</v>
      </c>
      <c r="B28" s="797"/>
      <c r="C28" s="983">
        <f>-DataBase!C104</f>
        <v>938</v>
      </c>
      <c r="D28" s="983">
        <f>-DataBase!D104</f>
        <v>938</v>
      </c>
      <c r="E28" s="983">
        <f>-DataBase!E104</f>
        <v>938</v>
      </c>
      <c r="F28" s="983">
        <f>-DataBase!F104</f>
        <v>938</v>
      </c>
      <c r="G28" s="983">
        <f>-DataBase!G104</f>
        <v>938</v>
      </c>
      <c r="H28" s="983">
        <f>-DataBase!H104</f>
        <v>938</v>
      </c>
      <c r="I28" s="983">
        <f>-DataBase!I104</f>
        <v>938</v>
      </c>
      <c r="J28" s="983">
        <f>-DataBase!J104</f>
        <v>938</v>
      </c>
      <c r="K28" s="983">
        <f>-DataBase!K104</f>
        <v>938</v>
      </c>
      <c r="L28" s="983">
        <f>-DataBase!L104</f>
        <v>938</v>
      </c>
      <c r="M28" s="983">
        <f>-DataBase!M104</f>
        <v>938</v>
      </c>
      <c r="N28" s="983">
        <f>-DataBase!N104</f>
        <v>938</v>
      </c>
      <c r="O28" s="370">
        <f>SUM(C28:N28)</f>
        <v>11256</v>
      </c>
      <c r="P28" s="369">
        <f t="shared" si="6"/>
        <v>1876</v>
      </c>
      <c r="Q28" s="370">
        <f>(O28-P28)</f>
        <v>9380</v>
      </c>
      <c r="R28" s="28"/>
    </row>
    <row r="29" spans="1:18" x14ac:dyDescent="0.2">
      <c r="A29" s="375" t="s">
        <v>266</v>
      </c>
      <c r="B29" s="797"/>
      <c r="C29" s="983">
        <f>-DataBase!C109</f>
        <v>40</v>
      </c>
      <c r="D29" s="983">
        <f>-DataBase!D109</f>
        <v>40</v>
      </c>
      <c r="E29" s="983">
        <f>-DataBase!E109</f>
        <v>40</v>
      </c>
      <c r="F29" s="983">
        <f>-DataBase!F109</f>
        <v>0</v>
      </c>
      <c r="G29" s="983">
        <f>-DataBase!G109</f>
        <v>0</v>
      </c>
      <c r="H29" s="983">
        <f>-DataBase!H109</f>
        <v>0</v>
      </c>
      <c r="I29" s="983">
        <f>-DataBase!I109</f>
        <v>0</v>
      </c>
      <c r="J29" s="983">
        <f>-DataBase!J109</f>
        <v>0</v>
      </c>
      <c r="K29" s="983">
        <f>-DataBase!K109</f>
        <v>0</v>
      </c>
      <c r="L29" s="983">
        <f>-DataBase!L109</f>
        <v>0</v>
      </c>
      <c r="M29" s="983">
        <f>-DataBase!M109</f>
        <v>40</v>
      </c>
      <c r="N29" s="983">
        <f>-DataBase!N109</f>
        <v>40</v>
      </c>
      <c r="O29" s="370">
        <f t="shared" si="5"/>
        <v>200</v>
      </c>
      <c r="P29" s="369">
        <f t="shared" si="6"/>
        <v>80</v>
      </c>
      <c r="Q29" s="370">
        <f t="shared" si="7"/>
        <v>120</v>
      </c>
    </row>
    <row r="30" spans="1:18" x14ac:dyDescent="0.2">
      <c r="A30" s="375" t="s">
        <v>1188</v>
      </c>
      <c r="B30" s="842" t="s">
        <v>1205</v>
      </c>
      <c r="C30" s="369">
        <v>0</v>
      </c>
      <c r="D30" s="369">
        <v>0</v>
      </c>
      <c r="E30" s="369">
        <v>0</v>
      </c>
      <c r="F30" s="369">
        <v>0</v>
      </c>
      <c r="G30" s="369">
        <v>0</v>
      </c>
      <c r="H30" s="369">
        <v>0</v>
      </c>
      <c r="I30" s="369">
        <v>0</v>
      </c>
      <c r="J30" s="369">
        <v>0</v>
      </c>
      <c r="K30" s="369">
        <v>0</v>
      </c>
      <c r="L30" s="369">
        <v>0</v>
      </c>
      <c r="M30" s="369">
        <v>0</v>
      </c>
      <c r="N30" s="369">
        <v>0</v>
      </c>
      <c r="O30" s="370">
        <f t="shared" si="5"/>
        <v>0</v>
      </c>
      <c r="P30" s="369">
        <f t="shared" si="6"/>
        <v>0</v>
      </c>
      <c r="Q30" s="370">
        <f t="shared" si="7"/>
        <v>0</v>
      </c>
      <c r="R30" s="28"/>
    </row>
    <row r="31" spans="1:18" x14ac:dyDescent="0.2">
      <c r="A31" s="905" t="s">
        <v>737</v>
      </c>
      <c r="B31" s="797"/>
      <c r="C31" s="983">
        <f>-DataBase!C106</f>
        <v>68</v>
      </c>
      <c r="D31" s="983">
        <f>-DataBase!D106</f>
        <v>9</v>
      </c>
      <c r="E31" s="983">
        <f>-DataBase!E106</f>
        <v>109</v>
      </c>
      <c r="F31" s="983">
        <f>-DataBase!F106</f>
        <v>100</v>
      </c>
      <c r="G31" s="983">
        <f>-DataBase!G106</f>
        <v>0</v>
      </c>
      <c r="H31" s="983">
        <f>-DataBase!H106</f>
        <v>0</v>
      </c>
      <c r="I31" s="983">
        <f>-DataBase!I106</f>
        <v>0</v>
      </c>
      <c r="J31" s="983">
        <f>-DataBase!J106</f>
        <v>0</v>
      </c>
      <c r="K31" s="983">
        <f>-DataBase!K106</f>
        <v>0</v>
      </c>
      <c r="L31" s="983">
        <f>-DataBase!L106</f>
        <v>0</v>
      </c>
      <c r="M31" s="983">
        <f>-DataBase!M106</f>
        <v>0</v>
      </c>
      <c r="N31" s="983">
        <f>-DataBase!N106</f>
        <v>0</v>
      </c>
      <c r="O31" s="370">
        <f>SUM(C31:N31)</f>
        <v>286</v>
      </c>
      <c r="P31" s="369">
        <f t="shared" si="6"/>
        <v>77</v>
      </c>
      <c r="Q31" s="370">
        <f>(O31-P31)</f>
        <v>209</v>
      </c>
      <c r="R31" s="28"/>
    </row>
    <row r="32" spans="1:18" x14ac:dyDescent="0.2">
      <c r="A32" s="905" t="s">
        <v>736</v>
      </c>
      <c r="B32" s="797"/>
      <c r="C32" s="983">
        <f>-DataBase!C107</f>
        <v>0</v>
      </c>
      <c r="D32" s="983">
        <f>-DataBase!D107</f>
        <v>0</v>
      </c>
      <c r="E32" s="983">
        <f>-DataBase!E107</f>
        <v>0</v>
      </c>
      <c r="F32" s="983">
        <f>-DataBase!F107</f>
        <v>0</v>
      </c>
      <c r="G32" s="983">
        <f>-DataBase!G107</f>
        <v>0</v>
      </c>
      <c r="H32" s="983">
        <f>-DataBase!H107</f>
        <v>0</v>
      </c>
      <c r="I32" s="983">
        <f>-DataBase!I107</f>
        <v>-333</v>
      </c>
      <c r="J32" s="983">
        <f>-DataBase!J107</f>
        <v>-333</v>
      </c>
      <c r="K32" s="983">
        <f>-DataBase!K107</f>
        <v>-334</v>
      </c>
      <c r="L32" s="983">
        <f>-DataBase!L107</f>
        <v>-333</v>
      </c>
      <c r="M32" s="983">
        <f>-DataBase!M107</f>
        <v>-333</v>
      </c>
      <c r="N32" s="983">
        <f>-DataBase!N107</f>
        <v>-334</v>
      </c>
      <c r="O32" s="370">
        <f>SUM(C32:N32)</f>
        <v>-2000</v>
      </c>
      <c r="P32" s="369">
        <f t="shared" si="6"/>
        <v>0</v>
      </c>
      <c r="Q32" s="370">
        <f>(O32-P32)</f>
        <v>-2000</v>
      </c>
      <c r="R32" s="28"/>
    </row>
    <row r="33" spans="1:50" x14ac:dyDescent="0.2">
      <c r="A33" s="375" t="s">
        <v>254</v>
      </c>
      <c r="B33" s="797"/>
      <c r="C33" s="374">
        <v>0</v>
      </c>
      <c r="D33" s="374">
        <v>0</v>
      </c>
      <c r="E33" s="374">
        <v>0</v>
      </c>
      <c r="F33" s="374">
        <v>0</v>
      </c>
      <c r="G33" s="374">
        <v>0</v>
      </c>
      <c r="H33" s="374">
        <v>0</v>
      </c>
      <c r="I33" s="374">
        <v>0</v>
      </c>
      <c r="J33" s="374">
        <v>0</v>
      </c>
      <c r="K33" s="374">
        <v>0</v>
      </c>
      <c r="L33" s="374">
        <v>0</v>
      </c>
      <c r="M33" s="374">
        <v>0</v>
      </c>
      <c r="N33" s="374">
        <v>0</v>
      </c>
      <c r="O33" s="371">
        <f t="shared" si="5"/>
        <v>0</v>
      </c>
      <c r="P33" s="374">
        <f t="shared" si="6"/>
        <v>0</v>
      </c>
      <c r="Q33" s="371">
        <f t="shared" si="7"/>
        <v>0</v>
      </c>
      <c r="R33" s="28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</row>
    <row r="34" spans="1:50" x14ac:dyDescent="0.2">
      <c r="A34" s="383" t="s">
        <v>255</v>
      </c>
      <c r="B34" s="797"/>
      <c r="C34" s="371">
        <f t="shared" ref="C34:Q34" si="8">SUM(C25:C33)</f>
        <v>1281</v>
      </c>
      <c r="D34" s="371">
        <f t="shared" si="8"/>
        <v>1222</v>
      </c>
      <c r="E34" s="371">
        <f t="shared" si="8"/>
        <v>1322</v>
      </c>
      <c r="F34" s="371">
        <f t="shared" si="8"/>
        <v>1273</v>
      </c>
      <c r="G34" s="371">
        <f t="shared" si="8"/>
        <v>1173</v>
      </c>
      <c r="H34" s="371">
        <f t="shared" si="8"/>
        <v>967</v>
      </c>
      <c r="I34" s="371">
        <f t="shared" si="8"/>
        <v>677</v>
      </c>
      <c r="J34" s="371">
        <f t="shared" si="8"/>
        <v>722</v>
      </c>
      <c r="K34" s="371">
        <f t="shared" si="8"/>
        <v>765</v>
      </c>
      <c r="L34" s="371">
        <f t="shared" si="8"/>
        <v>825</v>
      </c>
      <c r="M34" s="371">
        <f t="shared" si="8"/>
        <v>865</v>
      </c>
      <c r="N34" s="371">
        <f t="shared" si="8"/>
        <v>864</v>
      </c>
      <c r="O34" s="371">
        <f t="shared" si="8"/>
        <v>11956</v>
      </c>
      <c r="P34" s="371">
        <f t="shared" si="8"/>
        <v>2503</v>
      </c>
      <c r="Q34" s="371">
        <f t="shared" si="8"/>
        <v>9453</v>
      </c>
      <c r="R34" s="380"/>
      <c r="S34" s="33"/>
      <c r="T34" s="33"/>
      <c r="U34" s="34"/>
      <c r="V34" s="35"/>
      <c r="W34" s="35"/>
      <c r="X34" s="35"/>
      <c r="Y34" s="35"/>
      <c r="Z34" s="35"/>
      <c r="AA34" s="35"/>
      <c r="AB34" s="35"/>
      <c r="AC34" s="35"/>
      <c r="AD34" s="21"/>
      <c r="AE34" s="21"/>
      <c r="AF34" s="21"/>
      <c r="AH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</row>
    <row r="35" spans="1:50" ht="6" customHeight="1" x14ac:dyDescent="0.2">
      <c r="A35" s="368"/>
      <c r="B35" s="797"/>
      <c r="C35" s="362"/>
      <c r="D35" s="362"/>
      <c r="E35" s="362"/>
      <c r="F35" s="362"/>
      <c r="G35" s="362"/>
      <c r="H35" s="362"/>
      <c r="I35" s="362"/>
      <c r="J35" s="362"/>
      <c r="K35" s="362"/>
      <c r="L35" s="362"/>
      <c r="M35" s="362"/>
      <c r="N35" s="362"/>
      <c r="O35" s="362"/>
      <c r="P35" s="362"/>
      <c r="Q35" s="362"/>
      <c r="R35" s="28"/>
    </row>
    <row r="36" spans="1:50" x14ac:dyDescent="0.2">
      <c r="A36" s="382" t="s">
        <v>256</v>
      </c>
      <c r="B36" s="801"/>
      <c r="C36" s="373">
        <f t="shared" ref="C36:Q36" si="9">C16+C22+C34</f>
        <v>1281</v>
      </c>
      <c r="D36" s="373">
        <f t="shared" si="9"/>
        <v>1222</v>
      </c>
      <c r="E36" s="373">
        <f t="shared" si="9"/>
        <v>1322</v>
      </c>
      <c r="F36" s="373">
        <f t="shared" si="9"/>
        <v>1273</v>
      </c>
      <c r="G36" s="373">
        <f t="shared" si="9"/>
        <v>1173</v>
      </c>
      <c r="H36" s="373">
        <f t="shared" si="9"/>
        <v>967</v>
      </c>
      <c r="I36" s="373">
        <f t="shared" si="9"/>
        <v>677</v>
      </c>
      <c r="J36" s="373">
        <f t="shared" si="9"/>
        <v>722</v>
      </c>
      <c r="K36" s="373">
        <f t="shared" si="9"/>
        <v>765</v>
      </c>
      <c r="L36" s="373">
        <f t="shared" si="9"/>
        <v>825</v>
      </c>
      <c r="M36" s="373">
        <f t="shared" si="9"/>
        <v>865</v>
      </c>
      <c r="N36" s="373">
        <f t="shared" si="9"/>
        <v>864</v>
      </c>
      <c r="O36" s="373">
        <f t="shared" si="9"/>
        <v>11956</v>
      </c>
      <c r="P36" s="373">
        <f t="shared" si="9"/>
        <v>2503</v>
      </c>
      <c r="Q36" s="373">
        <f t="shared" si="9"/>
        <v>9453</v>
      </c>
      <c r="R36" s="28"/>
      <c r="S36" s="36"/>
      <c r="T36" s="29"/>
      <c r="U36" s="29"/>
      <c r="V36" s="29"/>
      <c r="W36" s="29"/>
      <c r="X36" s="29"/>
      <c r="Y36" s="30"/>
      <c r="Z36" s="30"/>
      <c r="AA36" s="30"/>
      <c r="AJ36" s="21"/>
    </row>
    <row r="37" spans="1:50" ht="6" customHeight="1" x14ac:dyDescent="0.2">
      <c r="A37" s="368"/>
      <c r="B37" s="797"/>
      <c r="C37" s="362"/>
      <c r="D37" s="362"/>
      <c r="E37" s="362"/>
      <c r="F37" s="362"/>
      <c r="G37" s="362"/>
      <c r="H37" s="362"/>
      <c r="I37" s="362"/>
      <c r="J37" s="362"/>
      <c r="K37" s="362"/>
      <c r="L37" s="362"/>
      <c r="M37" s="362"/>
      <c r="N37" s="362"/>
      <c r="O37" s="362"/>
      <c r="P37" s="362"/>
      <c r="Q37" s="362"/>
      <c r="R37" s="28"/>
    </row>
    <row r="38" spans="1:50" x14ac:dyDescent="0.2">
      <c r="A38" s="367" t="s">
        <v>257</v>
      </c>
      <c r="B38" s="797"/>
      <c r="C38" s="370">
        <f t="shared" ref="C38:N38" si="10">C16+C22</f>
        <v>0</v>
      </c>
      <c r="D38" s="370">
        <f t="shared" si="10"/>
        <v>0</v>
      </c>
      <c r="E38" s="370">
        <f t="shared" si="10"/>
        <v>0</v>
      </c>
      <c r="F38" s="370">
        <f t="shared" si="10"/>
        <v>0</v>
      </c>
      <c r="G38" s="370">
        <f t="shared" si="10"/>
        <v>0</v>
      </c>
      <c r="H38" s="370">
        <f t="shared" si="10"/>
        <v>0</v>
      </c>
      <c r="I38" s="370">
        <f t="shared" si="10"/>
        <v>0</v>
      </c>
      <c r="J38" s="370">
        <f t="shared" si="10"/>
        <v>0</v>
      </c>
      <c r="K38" s="370">
        <f t="shared" si="10"/>
        <v>0</v>
      </c>
      <c r="L38" s="370">
        <f t="shared" si="10"/>
        <v>0</v>
      </c>
      <c r="M38" s="370">
        <f t="shared" si="10"/>
        <v>0</v>
      </c>
      <c r="N38" s="370">
        <f t="shared" si="10"/>
        <v>0</v>
      </c>
      <c r="O38" s="370">
        <f>SUM(C38:N38)</f>
        <v>0</v>
      </c>
      <c r="P38" s="369">
        <f>SUM(C38:D38)</f>
        <v>0</v>
      </c>
      <c r="Q38" s="370">
        <f>(O38-P38)</f>
        <v>0</v>
      </c>
      <c r="R38" s="28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8"/>
      <c r="AH38" s="27"/>
      <c r="AI38" s="28"/>
    </row>
    <row r="39" spans="1:50" x14ac:dyDescent="0.2">
      <c r="A39" s="367" t="s">
        <v>258</v>
      </c>
      <c r="B39" s="797"/>
      <c r="C39" s="370">
        <f t="shared" ref="C39:N39" si="11">C34</f>
        <v>1281</v>
      </c>
      <c r="D39" s="370">
        <f t="shared" si="11"/>
        <v>1222</v>
      </c>
      <c r="E39" s="370">
        <f t="shared" si="11"/>
        <v>1322</v>
      </c>
      <c r="F39" s="370">
        <f t="shared" si="11"/>
        <v>1273</v>
      </c>
      <c r="G39" s="370">
        <f t="shared" si="11"/>
        <v>1173</v>
      </c>
      <c r="H39" s="370">
        <f t="shared" si="11"/>
        <v>967</v>
      </c>
      <c r="I39" s="370">
        <f t="shared" si="11"/>
        <v>677</v>
      </c>
      <c r="J39" s="370">
        <f t="shared" si="11"/>
        <v>722</v>
      </c>
      <c r="K39" s="370">
        <f t="shared" si="11"/>
        <v>765</v>
      </c>
      <c r="L39" s="370">
        <f t="shared" si="11"/>
        <v>825</v>
      </c>
      <c r="M39" s="370">
        <f t="shared" si="11"/>
        <v>865</v>
      </c>
      <c r="N39" s="370">
        <f t="shared" si="11"/>
        <v>864</v>
      </c>
      <c r="O39" s="370">
        <f>SUM(C39:N39)</f>
        <v>11956</v>
      </c>
      <c r="P39" s="369">
        <f>SUM(C39:D39)</f>
        <v>2503</v>
      </c>
      <c r="Q39" s="370">
        <f>(O39-P39)</f>
        <v>9453</v>
      </c>
      <c r="R39" s="28"/>
      <c r="S39" s="21"/>
      <c r="U39" s="37"/>
      <c r="V39" s="3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8"/>
      <c r="AH39" s="27"/>
      <c r="AI39" s="28"/>
      <c r="AJ39" s="21"/>
    </row>
    <row r="40" spans="1:50" ht="6" customHeight="1" x14ac:dyDescent="0.2">
      <c r="A40" s="368"/>
      <c r="B40" s="797"/>
      <c r="C40" s="369"/>
      <c r="D40" s="369"/>
      <c r="E40" s="369"/>
      <c r="F40" s="369"/>
      <c r="G40" s="369"/>
      <c r="H40" s="369"/>
      <c r="I40" s="369"/>
      <c r="J40" s="369"/>
      <c r="K40" s="369"/>
      <c r="L40" s="369"/>
      <c r="M40" s="369"/>
      <c r="N40" s="369"/>
      <c r="O40" s="370"/>
      <c r="P40" s="369"/>
      <c r="Q40" s="370"/>
      <c r="R40" s="28"/>
      <c r="S40" s="21"/>
      <c r="U40" s="27"/>
      <c r="V40" s="27"/>
      <c r="W40" s="27"/>
      <c r="X40" s="28"/>
      <c r="Y40" s="28"/>
      <c r="Z40" s="28"/>
      <c r="AA40" s="28"/>
      <c r="AB40" s="28"/>
      <c r="AC40" s="28"/>
      <c r="AD40" s="28"/>
      <c r="AE40" s="27"/>
      <c r="AF40" s="27"/>
      <c r="AG40" s="28"/>
      <c r="AH40" s="27"/>
      <c r="AI40" s="28"/>
      <c r="AJ40" s="21"/>
    </row>
    <row r="41" spans="1:50" x14ac:dyDescent="0.2">
      <c r="A41" s="382" t="s">
        <v>259</v>
      </c>
      <c r="B41" s="797"/>
      <c r="C41" s="362"/>
      <c r="D41" s="362"/>
      <c r="E41" s="362"/>
      <c r="F41" s="362"/>
      <c r="G41" s="362"/>
      <c r="H41" s="362"/>
      <c r="I41" s="362"/>
      <c r="J41" s="362"/>
      <c r="K41" s="362"/>
      <c r="L41" s="362"/>
      <c r="M41" s="362"/>
      <c r="N41" s="362"/>
      <c r="O41" s="362"/>
      <c r="P41" s="362"/>
      <c r="Q41" s="362"/>
      <c r="R41" s="28"/>
    </row>
    <row r="42" spans="1:50" x14ac:dyDescent="0.2">
      <c r="A42" s="375" t="s">
        <v>260</v>
      </c>
      <c r="B42" s="802" t="s">
        <v>1205</v>
      </c>
      <c r="C42" s="492">
        <v>0</v>
      </c>
      <c r="D42" s="492">
        <v>0</v>
      </c>
      <c r="E42" s="492">
        <v>0</v>
      </c>
      <c r="F42" s="492">
        <v>0</v>
      </c>
      <c r="G42" s="492">
        <v>0</v>
      </c>
      <c r="H42" s="492">
        <v>0</v>
      </c>
      <c r="I42" s="492">
        <v>0</v>
      </c>
      <c r="J42" s="492">
        <v>0</v>
      </c>
      <c r="K42" s="492">
        <v>0</v>
      </c>
      <c r="L42" s="492">
        <v>0</v>
      </c>
      <c r="M42" s="492">
        <v>0</v>
      </c>
      <c r="N42" s="492">
        <v>0</v>
      </c>
      <c r="O42" s="370">
        <f t="shared" ref="O42:O47" si="12">SUM(C42:N42)</f>
        <v>0</v>
      </c>
      <c r="P42" s="369">
        <f t="shared" ref="P42:P47" si="13">SUM(C42:D42)</f>
        <v>0</v>
      </c>
      <c r="Q42" s="370">
        <f t="shared" ref="Q42:Q47" si="14">(O42-P42)</f>
        <v>0</v>
      </c>
      <c r="R42" s="28"/>
    </row>
    <row r="43" spans="1:50" x14ac:dyDescent="0.2">
      <c r="A43" s="375" t="s">
        <v>261</v>
      </c>
      <c r="B43" s="841" t="s">
        <v>339</v>
      </c>
      <c r="C43" s="370">
        <f>Trackers!D588</f>
        <v>0</v>
      </c>
      <c r="D43" s="370">
        <f>Trackers!E588</f>
        <v>0</v>
      </c>
      <c r="E43" s="370">
        <f>Trackers!F588</f>
        <v>0</v>
      </c>
      <c r="F43" s="370">
        <f>Trackers!G588</f>
        <v>0</v>
      </c>
      <c r="G43" s="370">
        <f>Trackers!H588</f>
        <v>1826</v>
      </c>
      <c r="H43" s="370">
        <f>Trackers!I588</f>
        <v>0</v>
      </c>
      <c r="I43" s="370">
        <f>Trackers!J588</f>
        <v>0</v>
      </c>
      <c r="J43" s="370">
        <f>Trackers!K588</f>
        <v>0</v>
      </c>
      <c r="K43" s="370">
        <f>Trackers!L588</f>
        <v>0</v>
      </c>
      <c r="L43" s="370">
        <f>Trackers!M588</f>
        <v>0</v>
      </c>
      <c r="M43" s="370">
        <f>Trackers!N588</f>
        <v>0</v>
      </c>
      <c r="N43" s="370">
        <f>Trackers!O588</f>
        <v>0</v>
      </c>
      <c r="O43" s="370">
        <f t="shared" si="12"/>
        <v>1826</v>
      </c>
      <c r="P43" s="369">
        <f t="shared" si="13"/>
        <v>0</v>
      </c>
      <c r="Q43" s="370">
        <f t="shared" si="14"/>
        <v>1826</v>
      </c>
      <c r="R43" s="28"/>
    </row>
    <row r="44" spans="1:50" x14ac:dyDescent="0.2">
      <c r="A44" s="375" t="s">
        <v>267</v>
      </c>
      <c r="B44" s="841" t="s">
        <v>339</v>
      </c>
      <c r="C44" s="370">
        <f>Trackers!D376</f>
        <v>0</v>
      </c>
      <c r="D44" s="370">
        <f>Trackers!E376</f>
        <v>0</v>
      </c>
      <c r="E44" s="370">
        <f>Trackers!F376</f>
        <v>0</v>
      </c>
      <c r="F44" s="370">
        <f>Trackers!G376</f>
        <v>0</v>
      </c>
      <c r="G44" s="370">
        <f>Trackers!H376</f>
        <v>0</v>
      </c>
      <c r="H44" s="370">
        <f>Trackers!I376</f>
        <v>0</v>
      </c>
      <c r="I44" s="370">
        <f>Trackers!J376</f>
        <v>0</v>
      </c>
      <c r="J44" s="370">
        <f>Trackers!K376</f>
        <v>0</v>
      </c>
      <c r="K44" s="370">
        <f>Trackers!L376</f>
        <v>0</v>
      </c>
      <c r="L44" s="370">
        <f>Trackers!M376</f>
        <v>0</v>
      </c>
      <c r="M44" s="370">
        <f>Trackers!N376</f>
        <v>0</v>
      </c>
      <c r="N44" s="370">
        <f>Trackers!O376</f>
        <v>0</v>
      </c>
      <c r="O44" s="370">
        <f t="shared" si="12"/>
        <v>0</v>
      </c>
      <c r="P44" s="369">
        <f t="shared" si="13"/>
        <v>0</v>
      </c>
      <c r="Q44" s="370">
        <f t="shared" si="14"/>
        <v>0</v>
      </c>
      <c r="R44" s="28"/>
    </row>
    <row r="45" spans="1:50" x14ac:dyDescent="0.2">
      <c r="A45" s="375" t="s">
        <v>268</v>
      </c>
      <c r="B45" s="841" t="s">
        <v>339</v>
      </c>
      <c r="C45" s="370">
        <f>Trackers!D429</f>
        <v>0</v>
      </c>
      <c r="D45" s="370">
        <f>Trackers!E429</f>
        <v>0</v>
      </c>
      <c r="E45" s="370">
        <f>Trackers!F429</f>
        <v>0</v>
      </c>
      <c r="F45" s="370">
        <f>Trackers!G429</f>
        <v>0</v>
      </c>
      <c r="G45" s="370">
        <f>Trackers!H429</f>
        <v>0</v>
      </c>
      <c r="H45" s="370">
        <f>Trackers!I429</f>
        <v>0</v>
      </c>
      <c r="I45" s="370">
        <f>Trackers!J429</f>
        <v>0</v>
      </c>
      <c r="J45" s="370">
        <f>Trackers!K429</f>
        <v>0</v>
      </c>
      <c r="K45" s="370">
        <f>Trackers!L429</f>
        <v>0</v>
      </c>
      <c r="L45" s="370">
        <f>Trackers!M429</f>
        <v>985</v>
      </c>
      <c r="M45" s="370">
        <f>Trackers!N429</f>
        <v>0</v>
      </c>
      <c r="N45" s="370">
        <f>Trackers!O429</f>
        <v>0</v>
      </c>
      <c r="O45" s="370">
        <f t="shared" si="12"/>
        <v>985</v>
      </c>
      <c r="P45" s="369">
        <f t="shared" si="13"/>
        <v>0</v>
      </c>
      <c r="Q45" s="370">
        <f t="shared" si="14"/>
        <v>985</v>
      </c>
      <c r="R45" s="28"/>
    </row>
    <row r="46" spans="1:50" x14ac:dyDescent="0.2">
      <c r="A46" s="375" t="s">
        <v>278</v>
      </c>
      <c r="B46" s="841" t="s">
        <v>339</v>
      </c>
      <c r="C46" s="370">
        <f>Trackers!D482</f>
        <v>0</v>
      </c>
      <c r="D46" s="370">
        <f>Trackers!E482</f>
        <v>0</v>
      </c>
      <c r="E46" s="370">
        <f>Trackers!F482</f>
        <v>0</v>
      </c>
      <c r="F46" s="370">
        <f>Trackers!G482</f>
        <v>0</v>
      </c>
      <c r="G46" s="370">
        <f>Trackers!H482</f>
        <v>0</v>
      </c>
      <c r="H46" s="370">
        <f>Trackers!I482</f>
        <v>0</v>
      </c>
      <c r="I46" s="370">
        <f>Trackers!J482</f>
        <v>0</v>
      </c>
      <c r="J46" s="370">
        <f>Trackers!K482</f>
        <v>0</v>
      </c>
      <c r="K46" s="370">
        <f>Trackers!L482</f>
        <v>0</v>
      </c>
      <c r="L46" s="370">
        <f>Trackers!M482</f>
        <v>0</v>
      </c>
      <c r="M46" s="370">
        <f>Trackers!N482</f>
        <v>0</v>
      </c>
      <c r="N46" s="370">
        <f>Trackers!O482</f>
        <v>0</v>
      </c>
      <c r="O46" s="370">
        <f t="shared" si="12"/>
        <v>0</v>
      </c>
      <c r="P46" s="369">
        <f t="shared" si="13"/>
        <v>0</v>
      </c>
      <c r="Q46" s="370">
        <f t="shared" si="14"/>
        <v>0</v>
      </c>
      <c r="R46" s="28"/>
    </row>
    <row r="47" spans="1:50" x14ac:dyDescent="0.2">
      <c r="A47" s="375" t="s">
        <v>280</v>
      </c>
      <c r="B47" s="803"/>
      <c r="C47" s="374">
        <v>0</v>
      </c>
      <c r="D47" s="374">
        <v>0</v>
      </c>
      <c r="E47" s="374">
        <v>0</v>
      </c>
      <c r="F47" s="374">
        <v>0</v>
      </c>
      <c r="G47" s="374">
        <v>0</v>
      </c>
      <c r="H47" s="374">
        <v>0</v>
      </c>
      <c r="I47" s="374">
        <v>0</v>
      </c>
      <c r="J47" s="374">
        <v>0</v>
      </c>
      <c r="K47" s="374">
        <v>0</v>
      </c>
      <c r="L47" s="374">
        <v>0</v>
      </c>
      <c r="M47" s="374">
        <v>0</v>
      </c>
      <c r="N47" s="374">
        <v>0</v>
      </c>
      <c r="O47" s="371">
        <f t="shared" si="12"/>
        <v>0</v>
      </c>
      <c r="P47" s="374">
        <f t="shared" si="13"/>
        <v>0</v>
      </c>
      <c r="Q47" s="371">
        <f t="shared" si="14"/>
        <v>0</v>
      </c>
      <c r="R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7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</row>
    <row r="48" spans="1:50" ht="3.95" customHeight="1" x14ac:dyDescent="0.2">
      <c r="A48" s="362"/>
      <c r="B48" s="797"/>
      <c r="C48" s="372"/>
      <c r="D48" s="372"/>
      <c r="E48" s="372"/>
      <c r="F48" s="372"/>
      <c r="G48" s="372"/>
      <c r="H48" s="372"/>
      <c r="I48" s="372"/>
      <c r="J48" s="372"/>
      <c r="K48" s="372"/>
      <c r="L48" s="372"/>
      <c r="M48" s="372"/>
      <c r="N48" s="372"/>
      <c r="O48" s="372"/>
      <c r="P48" s="372"/>
      <c r="Q48" s="372"/>
    </row>
    <row r="49" spans="1:46" x14ac:dyDescent="0.2">
      <c r="A49" s="382" t="s">
        <v>281</v>
      </c>
      <c r="B49" s="803"/>
      <c r="C49" s="373">
        <f t="shared" ref="C49:Q49" si="15">SUM(C42:C47)</f>
        <v>0</v>
      </c>
      <c r="D49" s="373">
        <f t="shared" si="15"/>
        <v>0</v>
      </c>
      <c r="E49" s="373">
        <f t="shared" si="15"/>
        <v>0</v>
      </c>
      <c r="F49" s="373">
        <f t="shared" si="15"/>
        <v>0</v>
      </c>
      <c r="G49" s="373">
        <f t="shared" si="15"/>
        <v>1826</v>
      </c>
      <c r="H49" s="373">
        <f t="shared" si="15"/>
        <v>0</v>
      </c>
      <c r="I49" s="373">
        <f t="shared" si="15"/>
        <v>0</v>
      </c>
      <c r="J49" s="373">
        <f t="shared" si="15"/>
        <v>0</v>
      </c>
      <c r="K49" s="373">
        <f t="shared" si="15"/>
        <v>0</v>
      </c>
      <c r="L49" s="373">
        <f t="shared" si="15"/>
        <v>985</v>
      </c>
      <c r="M49" s="373">
        <f t="shared" si="15"/>
        <v>0</v>
      </c>
      <c r="N49" s="373">
        <f t="shared" si="15"/>
        <v>0</v>
      </c>
      <c r="O49" s="373">
        <f t="shared" si="15"/>
        <v>2811</v>
      </c>
      <c r="P49" s="373">
        <f t="shared" si="15"/>
        <v>0</v>
      </c>
      <c r="Q49" s="373">
        <f t="shared" si="15"/>
        <v>2811</v>
      </c>
      <c r="R49" s="32"/>
      <c r="S49" s="32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</row>
    <row r="50" spans="1:46" ht="6" customHeight="1" x14ac:dyDescent="0.2">
      <c r="A50" s="368"/>
      <c r="B50" s="797"/>
      <c r="C50" s="369"/>
      <c r="D50" s="369"/>
      <c r="E50" s="369"/>
      <c r="F50" s="369"/>
      <c r="G50" s="369"/>
      <c r="H50" s="369"/>
      <c r="I50" s="369"/>
      <c r="J50" s="369"/>
      <c r="K50" s="369"/>
      <c r="L50" s="369"/>
      <c r="M50" s="369"/>
      <c r="N50" s="369"/>
      <c r="O50" s="370"/>
      <c r="P50" s="369"/>
      <c r="Q50" s="370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</row>
    <row r="51" spans="1:46" x14ac:dyDescent="0.2">
      <c r="A51" s="382" t="s">
        <v>282</v>
      </c>
      <c r="B51" s="797"/>
      <c r="C51" s="370"/>
      <c r="D51" s="370"/>
      <c r="E51" s="370"/>
      <c r="F51" s="370"/>
      <c r="G51" s="370"/>
      <c r="H51" s="370"/>
      <c r="I51" s="370"/>
      <c r="J51" s="370"/>
      <c r="K51" s="370"/>
      <c r="L51" s="370"/>
      <c r="M51" s="370"/>
      <c r="N51" s="370"/>
      <c r="O51" s="370"/>
      <c r="P51" s="370"/>
      <c r="Q51" s="370"/>
      <c r="R51" s="28"/>
      <c r="S51" s="28"/>
      <c r="T51" s="28"/>
      <c r="U51" s="28"/>
      <c r="V51" s="28"/>
      <c r="W51" s="28"/>
      <c r="X51" s="28"/>
    </row>
    <row r="52" spans="1:46" x14ac:dyDescent="0.2">
      <c r="A52" s="375" t="s">
        <v>283</v>
      </c>
      <c r="B52" s="797"/>
      <c r="C52" s="492">
        <v>0</v>
      </c>
      <c r="D52" s="492">
        <v>0</v>
      </c>
      <c r="E52" s="492">
        <v>0</v>
      </c>
      <c r="F52" s="492">
        <v>0</v>
      </c>
      <c r="G52" s="492">
        <v>0</v>
      </c>
      <c r="H52" s="492">
        <v>0</v>
      </c>
      <c r="I52" s="492">
        <v>0</v>
      </c>
      <c r="J52" s="492">
        <v>0</v>
      </c>
      <c r="K52" s="492">
        <v>0</v>
      </c>
      <c r="L52" s="492">
        <v>0</v>
      </c>
      <c r="M52" s="492">
        <v>0</v>
      </c>
      <c r="N52" s="492">
        <v>0</v>
      </c>
      <c r="O52" s="370">
        <f t="shared" ref="O52:O59" si="16">SUM(C52:N52)</f>
        <v>0</v>
      </c>
      <c r="P52" s="369">
        <f t="shared" ref="P52:P59" si="17">SUM(C52:D52)</f>
        <v>0</v>
      </c>
      <c r="Q52" s="370">
        <f t="shared" ref="Q52:Q59" si="18">(O52-P52)</f>
        <v>0</v>
      </c>
    </row>
    <row r="53" spans="1:46" x14ac:dyDescent="0.2">
      <c r="A53" s="375" t="s">
        <v>261</v>
      </c>
      <c r="B53" s="841" t="s">
        <v>339</v>
      </c>
      <c r="C53" s="370">
        <f>ROUND(-Trackers!D597,0)</f>
        <v>253</v>
      </c>
      <c r="D53" s="370">
        <f>ROUND(-Trackers!E597,0)</f>
        <v>209</v>
      </c>
      <c r="E53" s="370">
        <f>ROUND(-Trackers!F597,0)</f>
        <v>166</v>
      </c>
      <c r="F53" s="370">
        <f>ROUND(-Trackers!G597,0)</f>
        <v>0</v>
      </c>
      <c r="G53" s="370">
        <f>ROUND(-Trackers!H597,0)</f>
        <v>-1826</v>
      </c>
      <c r="H53" s="370">
        <f>ROUND(-Trackers!I597,0)</f>
        <v>0</v>
      </c>
      <c r="I53" s="370">
        <f>ROUND(-Trackers!J597,0)</f>
        <v>0</v>
      </c>
      <c r="J53" s="370">
        <f>ROUND(-Trackers!K597,0)</f>
        <v>0</v>
      </c>
      <c r="K53" s="370">
        <f>ROUND(-Trackers!L597,0)</f>
        <v>0</v>
      </c>
      <c r="L53" s="370">
        <f>ROUND(-Trackers!M597,0)</f>
        <v>0</v>
      </c>
      <c r="M53" s="370">
        <f>ROUND(-Trackers!N597,0)</f>
        <v>166</v>
      </c>
      <c r="N53" s="370">
        <f>ROUND(-Trackers!O597,0)</f>
        <v>253</v>
      </c>
      <c r="O53" s="370">
        <f t="shared" si="16"/>
        <v>-779</v>
      </c>
      <c r="P53" s="369">
        <f t="shared" si="17"/>
        <v>462</v>
      </c>
      <c r="Q53" s="370">
        <f t="shared" si="18"/>
        <v>-1241</v>
      </c>
    </row>
    <row r="54" spans="1:46" x14ac:dyDescent="0.2">
      <c r="A54" s="375" t="s">
        <v>285</v>
      </c>
      <c r="B54" s="841" t="s">
        <v>339</v>
      </c>
      <c r="C54" s="370">
        <f>-Trackers!D43</f>
        <v>0</v>
      </c>
      <c r="D54" s="370">
        <f>-Trackers!E43</f>
        <v>0</v>
      </c>
      <c r="E54" s="370">
        <f>-Trackers!F43</f>
        <v>0</v>
      </c>
      <c r="F54" s="370">
        <f>-Trackers!G43</f>
        <v>0</v>
      </c>
      <c r="G54" s="370">
        <f>-Trackers!H43</f>
        <v>0</v>
      </c>
      <c r="H54" s="370">
        <f>-Trackers!I43</f>
        <v>0</v>
      </c>
      <c r="I54" s="370">
        <f>-Trackers!J43</f>
        <v>0</v>
      </c>
      <c r="J54" s="370">
        <f>-Trackers!K43</f>
        <v>0</v>
      </c>
      <c r="K54" s="370">
        <f>-Trackers!L43</f>
        <v>0</v>
      </c>
      <c r="L54" s="370">
        <f>-Trackers!M43</f>
        <v>0</v>
      </c>
      <c r="M54" s="370">
        <f>-Trackers!N43</f>
        <v>0</v>
      </c>
      <c r="N54" s="370">
        <f>-Trackers!O43</f>
        <v>0</v>
      </c>
      <c r="O54" s="370">
        <f t="shared" si="16"/>
        <v>0</v>
      </c>
      <c r="P54" s="369">
        <f t="shared" si="17"/>
        <v>0</v>
      </c>
      <c r="Q54" s="370">
        <f t="shared" si="18"/>
        <v>0</v>
      </c>
      <c r="R54" s="28"/>
      <c r="S54" s="28"/>
      <c r="T54" s="28"/>
      <c r="U54" s="28"/>
      <c r="V54" s="28"/>
      <c r="W54" s="28"/>
      <c r="X54" s="28"/>
    </row>
    <row r="55" spans="1:46" x14ac:dyDescent="0.2">
      <c r="A55" s="375" t="s">
        <v>286</v>
      </c>
      <c r="B55" s="841" t="s">
        <v>339</v>
      </c>
      <c r="C55" s="370">
        <f>-Trackers!D41</f>
        <v>0</v>
      </c>
      <c r="D55" s="370">
        <f>-Trackers!E41</f>
        <v>0</v>
      </c>
      <c r="E55" s="370">
        <f>-Trackers!F41</f>
        <v>0</v>
      </c>
      <c r="F55" s="370">
        <f>-Trackers!G41</f>
        <v>0</v>
      </c>
      <c r="G55" s="370">
        <f>-Trackers!H41</f>
        <v>0</v>
      </c>
      <c r="H55" s="370">
        <f>-Trackers!I41</f>
        <v>0</v>
      </c>
      <c r="I55" s="370">
        <f>-Trackers!J41</f>
        <v>0</v>
      </c>
      <c r="J55" s="370">
        <f>-Trackers!K41</f>
        <v>0</v>
      </c>
      <c r="K55" s="370">
        <f>-Trackers!L41</f>
        <v>0</v>
      </c>
      <c r="L55" s="370">
        <f>-Trackers!M41</f>
        <v>0</v>
      </c>
      <c r="M55" s="370">
        <f>-Trackers!N41</f>
        <v>0</v>
      </c>
      <c r="N55" s="370">
        <f>-Trackers!O41</f>
        <v>0</v>
      </c>
      <c r="O55" s="370">
        <f t="shared" si="16"/>
        <v>0</v>
      </c>
      <c r="P55" s="369">
        <f t="shared" si="17"/>
        <v>0</v>
      </c>
      <c r="Q55" s="370">
        <f t="shared" si="18"/>
        <v>0</v>
      </c>
      <c r="R55" s="28"/>
      <c r="T55" s="28"/>
      <c r="U55" s="28"/>
      <c r="V55" s="28"/>
      <c r="W55" s="28"/>
      <c r="X55" s="28"/>
    </row>
    <row r="56" spans="1:46" x14ac:dyDescent="0.2">
      <c r="A56" s="375" t="s">
        <v>287</v>
      </c>
      <c r="B56" s="841" t="s">
        <v>339</v>
      </c>
      <c r="C56" s="370">
        <f>-Trackers!D133</f>
        <v>0</v>
      </c>
      <c r="D56" s="370">
        <f>-Trackers!E133</f>
        <v>0</v>
      </c>
      <c r="E56" s="370">
        <f>-Trackers!F133</f>
        <v>0</v>
      </c>
      <c r="F56" s="370">
        <f>-Trackers!G133</f>
        <v>0</v>
      </c>
      <c r="G56" s="370">
        <f>-Trackers!H133</f>
        <v>0</v>
      </c>
      <c r="H56" s="370">
        <f>-Trackers!I133</f>
        <v>0</v>
      </c>
      <c r="I56" s="370">
        <f>-Trackers!J133</f>
        <v>0</v>
      </c>
      <c r="J56" s="370">
        <f>-Trackers!K133</f>
        <v>0</v>
      </c>
      <c r="K56" s="370">
        <f>-Trackers!L133</f>
        <v>0</v>
      </c>
      <c r="L56" s="370">
        <f>-Trackers!M133</f>
        <v>0</v>
      </c>
      <c r="M56" s="370">
        <f>-Trackers!N133</f>
        <v>0</v>
      </c>
      <c r="N56" s="370">
        <f>-Trackers!O133</f>
        <v>0</v>
      </c>
      <c r="O56" s="370">
        <f t="shared" si="16"/>
        <v>0</v>
      </c>
      <c r="P56" s="369">
        <f t="shared" si="17"/>
        <v>0</v>
      </c>
      <c r="Q56" s="370">
        <f t="shared" si="18"/>
        <v>0</v>
      </c>
      <c r="R56" s="28"/>
      <c r="S56" s="28"/>
    </row>
    <row r="57" spans="1:46" x14ac:dyDescent="0.2">
      <c r="A57" s="375" t="s">
        <v>288</v>
      </c>
      <c r="B57" s="841" t="s">
        <v>339</v>
      </c>
      <c r="C57" s="370">
        <f>-Trackers!D385</f>
        <v>0</v>
      </c>
      <c r="D57" s="370">
        <f>-Trackers!E385</f>
        <v>0</v>
      </c>
      <c r="E57" s="370">
        <f>-Trackers!F385</f>
        <v>0</v>
      </c>
      <c r="F57" s="370">
        <f>-Trackers!G385</f>
        <v>0</v>
      </c>
      <c r="G57" s="370">
        <f>-Trackers!H385</f>
        <v>0</v>
      </c>
      <c r="H57" s="370">
        <f>-Trackers!I385</f>
        <v>0</v>
      </c>
      <c r="I57" s="370">
        <f>-Trackers!J385</f>
        <v>0</v>
      </c>
      <c r="J57" s="370">
        <f>-Trackers!K385</f>
        <v>0</v>
      </c>
      <c r="K57" s="370">
        <f>-Trackers!L385</f>
        <v>0</v>
      </c>
      <c r="L57" s="370">
        <f>-Trackers!M385</f>
        <v>0</v>
      </c>
      <c r="M57" s="370">
        <f>-Trackers!N385</f>
        <v>0</v>
      </c>
      <c r="N57" s="370">
        <f>-Trackers!O385</f>
        <v>0</v>
      </c>
      <c r="O57" s="370">
        <f t="shared" si="16"/>
        <v>0</v>
      </c>
      <c r="P57" s="369">
        <f t="shared" si="17"/>
        <v>0</v>
      </c>
      <c r="Q57" s="370">
        <f t="shared" si="18"/>
        <v>0</v>
      </c>
      <c r="R57" s="28"/>
      <c r="S57" s="28"/>
      <c r="T57" s="28"/>
      <c r="U57" s="28"/>
      <c r="V57" s="28"/>
      <c r="W57" s="28"/>
      <c r="X57" s="28"/>
    </row>
    <row r="58" spans="1:46" x14ac:dyDescent="0.2">
      <c r="A58" s="375" t="s">
        <v>289</v>
      </c>
      <c r="B58" s="841" t="s">
        <v>339</v>
      </c>
      <c r="C58" s="370">
        <f>-Trackers!D438</f>
        <v>0</v>
      </c>
      <c r="D58" s="370">
        <f>-Trackers!E438</f>
        <v>0</v>
      </c>
      <c r="E58" s="370">
        <f>-Trackers!F438</f>
        <v>0</v>
      </c>
      <c r="F58" s="370">
        <f>-Trackers!G438</f>
        <v>0</v>
      </c>
      <c r="G58" s="370">
        <f>-Trackers!H438</f>
        <v>0</v>
      </c>
      <c r="H58" s="370">
        <f>-Trackers!I438</f>
        <v>0</v>
      </c>
      <c r="I58" s="370">
        <f>-Trackers!J438</f>
        <v>0</v>
      </c>
      <c r="J58" s="370">
        <f>-Trackers!K438</f>
        <v>0</v>
      </c>
      <c r="K58" s="370">
        <f>-Trackers!L438</f>
        <v>0</v>
      </c>
      <c r="L58" s="370">
        <f>-Trackers!M438</f>
        <v>-985</v>
      </c>
      <c r="M58" s="370">
        <f>-Trackers!N438</f>
        <v>0</v>
      </c>
      <c r="N58" s="370">
        <f>-Trackers!O438</f>
        <v>0</v>
      </c>
      <c r="O58" s="370">
        <f t="shared" si="16"/>
        <v>-985</v>
      </c>
      <c r="P58" s="369">
        <f t="shared" si="17"/>
        <v>0</v>
      </c>
      <c r="Q58" s="370">
        <f t="shared" si="18"/>
        <v>-985</v>
      </c>
      <c r="R58" s="28"/>
    </row>
    <row r="59" spans="1:46" x14ac:dyDescent="0.2">
      <c r="A59" s="375" t="s">
        <v>290</v>
      </c>
      <c r="B59" s="841" t="s">
        <v>339</v>
      </c>
      <c r="C59" s="371">
        <f>-Trackers!D491</f>
        <v>0</v>
      </c>
      <c r="D59" s="371">
        <f>-Trackers!E491</f>
        <v>0</v>
      </c>
      <c r="E59" s="371">
        <f>-Trackers!F491</f>
        <v>0</v>
      </c>
      <c r="F59" s="371">
        <f>-Trackers!G491</f>
        <v>0</v>
      </c>
      <c r="G59" s="371">
        <f>-Trackers!H491</f>
        <v>0</v>
      </c>
      <c r="H59" s="371">
        <f>-Trackers!I491</f>
        <v>0</v>
      </c>
      <c r="I59" s="371">
        <f>-Trackers!J491</f>
        <v>0</v>
      </c>
      <c r="J59" s="371">
        <f>-Trackers!K491</f>
        <v>0</v>
      </c>
      <c r="K59" s="371">
        <f>-Trackers!L491</f>
        <v>0</v>
      </c>
      <c r="L59" s="371">
        <f>-Trackers!M491</f>
        <v>0</v>
      </c>
      <c r="M59" s="371">
        <f>-Trackers!N491</f>
        <v>0</v>
      </c>
      <c r="N59" s="371">
        <f>-Trackers!O491</f>
        <v>0</v>
      </c>
      <c r="O59" s="371">
        <f t="shared" si="16"/>
        <v>0</v>
      </c>
      <c r="P59" s="374">
        <f t="shared" si="17"/>
        <v>0</v>
      </c>
      <c r="Q59" s="371">
        <f t="shared" si="18"/>
        <v>0</v>
      </c>
      <c r="R59" s="29"/>
      <c r="S59" s="30"/>
      <c r="T59" s="30"/>
      <c r="U59" s="30"/>
      <c r="V59" s="30"/>
      <c r="W59" s="30"/>
    </row>
    <row r="60" spans="1:46" ht="3.95" customHeight="1" x14ac:dyDescent="0.2">
      <c r="A60" s="362"/>
      <c r="B60" s="797"/>
      <c r="C60" s="372"/>
      <c r="D60" s="372"/>
      <c r="E60" s="372"/>
      <c r="F60" s="372"/>
      <c r="G60" s="372"/>
      <c r="H60" s="372"/>
      <c r="I60" s="372"/>
      <c r="J60" s="372"/>
      <c r="K60" s="372"/>
      <c r="L60" s="372"/>
      <c r="M60" s="372"/>
      <c r="N60" s="372"/>
      <c r="O60" s="372"/>
      <c r="P60" s="372"/>
      <c r="Q60" s="372"/>
      <c r="R60" s="30"/>
      <c r="S60" s="30"/>
    </row>
    <row r="61" spans="1:46" x14ac:dyDescent="0.2">
      <c r="A61" s="382" t="s">
        <v>291</v>
      </c>
      <c r="B61" s="801"/>
      <c r="C61" s="373">
        <f t="shared" ref="C61:Q61" si="19">SUM(C52:C59)</f>
        <v>253</v>
      </c>
      <c r="D61" s="373">
        <f t="shared" si="19"/>
        <v>209</v>
      </c>
      <c r="E61" s="373">
        <f t="shared" si="19"/>
        <v>166</v>
      </c>
      <c r="F61" s="373">
        <f t="shared" si="19"/>
        <v>0</v>
      </c>
      <c r="G61" s="373">
        <f t="shared" si="19"/>
        <v>-1826</v>
      </c>
      <c r="H61" s="373">
        <f t="shared" si="19"/>
        <v>0</v>
      </c>
      <c r="I61" s="373">
        <f t="shared" si="19"/>
        <v>0</v>
      </c>
      <c r="J61" s="373">
        <f t="shared" si="19"/>
        <v>0</v>
      </c>
      <c r="K61" s="373">
        <f t="shared" si="19"/>
        <v>0</v>
      </c>
      <c r="L61" s="373">
        <f t="shared" si="19"/>
        <v>-985</v>
      </c>
      <c r="M61" s="373">
        <f t="shared" si="19"/>
        <v>166</v>
      </c>
      <c r="N61" s="373">
        <f t="shared" si="19"/>
        <v>253</v>
      </c>
      <c r="O61" s="373">
        <f t="shared" si="19"/>
        <v>-1764</v>
      </c>
      <c r="P61" s="373">
        <f t="shared" si="19"/>
        <v>462</v>
      </c>
      <c r="Q61" s="373">
        <f t="shared" si="19"/>
        <v>-2226</v>
      </c>
      <c r="R61" s="31"/>
      <c r="S61" s="31"/>
      <c r="T61" s="28"/>
      <c r="U61" s="28"/>
      <c r="V61" s="28"/>
      <c r="W61" s="28"/>
      <c r="X61" s="28"/>
    </row>
    <row r="62" spans="1:46" ht="8.1" customHeight="1" x14ac:dyDescent="0.2">
      <c r="A62" s="368"/>
      <c r="B62" s="800"/>
      <c r="C62" s="370"/>
      <c r="D62" s="370"/>
      <c r="E62" s="370"/>
      <c r="F62" s="370"/>
      <c r="G62" s="370"/>
      <c r="H62" s="370"/>
      <c r="I62" s="370"/>
      <c r="J62" s="370"/>
      <c r="K62" s="370"/>
      <c r="L62" s="370"/>
      <c r="M62" s="370"/>
      <c r="N62" s="370"/>
      <c r="O62" s="370"/>
      <c r="P62" s="370"/>
      <c r="Q62" s="370"/>
      <c r="R62" s="28"/>
      <c r="S62" s="28"/>
      <c r="T62" s="28"/>
      <c r="U62" s="28"/>
      <c r="V62" s="28"/>
      <c r="W62" s="28"/>
      <c r="X62" s="28"/>
    </row>
    <row r="63" spans="1:46" ht="12.75" customHeight="1" x14ac:dyDescent="0.2">
      <c r="A63" s="324" t="s">
        <v>315</v>
      </c>
      <c r="B63" s="841" t="s">
        <v>339</v>
      </c>
      <c r="C63" s="986">
        <f>OtherRev!C51</f>
        <v>7</v>
      </c>
      <c r="D63" s="986">
        <f>OtherRev!D51</f>
        <v>6</v>
      </c>
      <c r="E63" s="986">
        <f>OtherRev!E51</f>
        <v>7</v>
      </c>
      <c r="F63" s="986">
        <f>OtherRev!F51</f>
        <v>6</v>
      </c>
      <c r="G63" s="986">
        <f>OtherRev!G51</f>
        <v>7</v>
      </c>
      <c r="H63" s="986">
        <f>OtherRev!H51</f>
        <v>6</v>
      </c>
      <c r="I63" s="986">
        <f>OtherRev!I51</f>
        <v>7</v>
      </c>
      <c r="J63" s="986">
        <f>OtherRev!J51</f>
        <v>6</v>
      </c>
      <c r="K63" s="986">
        <f>OtherRev!K51</f>
        <v>7</v>
      </c>
      <c r="L63" s="986">
        <f>OtherRev!L51</f>
        <v>6</v>
      </c>
      <c r="M63" s="986">
        <f>OtherRev!M51</f>
        <v>7</v>
      </c>
      <c r="N63" s="986">
        <f>OtherRev!N51</f>
        <v>6</v>
      </c>
      <c r="O63" s="370">
        <f>SUM(C63:N63)</f>
        <v>78</v>
      </c>
      <c r="P63" s="369">
        <f>SUM(C63:D63)</f>
        <v>13</v>
      </c>
      <c r="Q63" s="370">
        <f>(O63-P63)</f>
        <v>65</v>
      </c>
      <c r="R63" s="28"/>
      <c r="S63" s="28"/>
      <c r="T63" s="28"/>
      <c r="U63" s="28"/>
      <c r="V63" s="28"/>
      <c r="W63" s="28"/>
      <c r="X63" s="28"/>
    </row>
    <row r="64" spans="1:46" ht="12.75" customHeight="1" x14ac:dyDescent="0.2">
      <c r="A64" s="375" t="s">
        <v>316</v>
      </c>
      <c r="B64" s="841" t="s">
        <v>339</v>
      </c>
      <c r="C64" s="655">
        <f>ROUND(OtherRev!C48-C63,0)</f>
        <v>1155</v>
      </c>
      <c r="D64" s="655">
        <f>ROUND(OtherRev!D48-D63,0)</f>
        <v>1156</v>
      </c>
      <c r="E64" s="655">
        <f>ROUND(OtherRev!E48-E63,0)</f>
        <v>1155</v>
      </c>
      <c r="F64" s="655">
        <f>ROUND(OtherRev!F48-F63,0)</f>
        <v>425</v>
      </c>
      <c r="G64" s="655">
        <f>ROUND(OtherRev!G48-G63,0)</f>
        <v>424</v>
      </c>
      <c r="H64" s="655">
        <f>ROUND(OtherRev!H48-H63,0)</f>
        <v>44</v>
      </c>
      <c r="I64" s="655">
        <f>ROUND(OtherRev!I48-I63,0)</f>
        <v>43</v>
      </c>
      <c r="J64" s="655">
        <f>ROUND(OtherRev!J48-J63,0)</f>
        <v>44</v>
      </c>
      <c r="K64" s="655">
        <f>ROUND(OtherRev!K48-K63,0)</f>
        <v>324</v>
      </c>
      <c r="L64" s="655">
        <f>ROUND(OtherRev!L48-L63,0)</f>
        <v>325</v>
      </c>
      <c r="M64" s="655">
        <f>ROUND(OtherRev!M48-M63,0)</f>
        <v>324</v>
      </c>
      <c r="N64" s="655">
        <f>ROUND(OtherRev!N48-N63,0)</f>
        <v>1156</v>
      </c>
      <c r="O64" s="370">
        <f>SUM(C64:N64)</f>
        <v>6575</v>
      </c>
      <c r="P64" s="369">
        <f>SUM(C64:D64)</f>
        <v>2311</v>
      </c>
      <c r="Q64" s="370">
        <f>(O64-P64)</f>
        <v>4264</v>
      </c>
      <c r="R64" s="28"/>
      <c r="S64" s="28"/>
      <c r="T64" s="28"/>
      <c r="U64" s="28"/>
      <c r="V64" s="28"/>
      <c r="W64" s="28"/>
      <c r="X64" s="28"/>
    </row>
    <row r="65" spans="1:50" ht="12.75" customHeight="1" x14ac:dyDescent="0.2">
      <c r="A65" s="375" t="s">
        <v>317</v>
      </c>
      <c r="B65" s="841" t="s">
        <v>339</v>
      </c>
      <c r="C65" s="321">
        <f>ROUND(-OtherRev!C57,0)</f>
        <v>-603</v>
      </c>
      <c r="D65" s="321">
        <f>ROUND(-OtherRev!D57,0)</f>
        <v>-604</v>
      </c>
      <c r="E65" s="321">
        <f>ROUND(-OtherRev!E57,0)</f>
        <v>-603</v>
      </c>
      <c r="F65" s="321">
        <f>ROUND(-OtherRev!F57,0)</f>
        <v>127</v>
      </c>
      <c r="G65" s="321">
        <f>ROUND(-OtherRev!G57,0)</f>
        <v>128</v>
      </c>
      <c r="H65" s="321">
        <f>ROUND(-OtherRev!H57,0)</f>
        <v>508</v>
      </c>
      <c r="I65" s="321">
        <f>ROUND(-OtherRev!I57,0)</f>
        <v>509</v>
      </c>
      <c r="J65" s="321">
        <f>ROUND(-OtherRev!J57,0)</f>
        <v>508</v>
      </c>
      <c r="K65" s="321">
        <f>ROUND(-OtherRev!K57,0)</f>
        <v>228</v>
      </c>
      <c r="L65" s="321">
        <f>ROUND(-OtherRev!L57,0)</f>
        <v>227</v>
      </c>
      <c r="M65" s="321">
        <f>ROUND(-OtherRev!M57,0)</f>
        <v>228</v>
      </c>
      <c r="N65" s="321">
        <f>ROUND(-OtherRev!N57,0)</f>
        <v>-604</v>
      </c>
      <c r="O65" s="371">
        <f>SUM(C65:N65)</f>
        <v>49</v>
      </c>
      <c r="P65" s="374">
        <f>SUM(C65:D65)</f>
        <v>-1207</v>
      </c>
      <c r="Q65" s="371">
        <f>(O65-P65)</f>
        <v>1256</v>
      </c>
      <c r="R65" s="28"/>
      <c r="S65" s="28"/>
      <c r="T65" s="28"/>
      <c r="U65" s="28"/>
      <c r="V65" s="28"/>
      <c r="W65" s="28"/>
      <c r="X65" s="28"/>
    </row>
    <row r="66" spans="1:50" ht="3.95" customHeight="1" x14ac:dyDescent="0.2">
      <c r="A66" s="368"/>
      <c r="B66" s="800"/>
      <c r="C66" s="370"/>
      <c r="D66" s="370"/>
      <c r="E66" s="370"/>
      <c r="F66" s="370"/>
      <c r="G66" s="370"/>
      <c r="H66" s="370"/>
      <c r="I66" s="370"/>
      <c r="J66" s="370"/>
      <c r="K66" s="370"/>
      <c r="L66" s="370"/>
      <c r="M66" s="370"/>
      <c r="N66" s="370"/>
      <c r="O66" s="370"/>
      <c r="P66" s="370"/>
      <c r="Q66" s="370"/>
      <c r="R66" s="28"/>
      <c r="S66" s="28"/>
      <c r="T66" s="28"/>
      <c r="U66" s="28"/>
      <c r="V66" s="28"/>
      <c r="W66" s="28"/>
      <c r="X66" s="28"/>
    </row>
    <row r="67" spans="1:50" ht="12.75" customHeight="1" x14ac:dyDescent="0.2">
      <c r="A67" s="382" t="s">
        <v>292</v>
      </c>
      <c r="B67" s="800"/>
      <c r="C67" s="373">
        <f t="shared" ref="C67:K67" si="20">SUM(C63:C65)</f>
        <v>559</v>
      </c>
      <c r="D67" s="373">
        <f t="shared" si="20"/>
        <v>558</v>
      </c>
      <c r="E67" s="373">
        <f t="shared" si="20"/>
        <v>559</v>
      </c>
      <c r="F67" s="373">
        <f t="shared" si="20"/>
        <v>558</v>
      </c>
      <c r="G67" s="373">
        <f t="shared" si="20"/>
        <v>559</v>
      </c>
      <c r="H67" s="373">
        <f t="shared" si="20"/>
        <v>558</v>
      </c>
      <c r="I67" s="373">
        <f t="shared" si="20"/>
        <v>559</v>
      </c>
      <c r="J67" s="373">
        <f t="shared" si="20"/>
        <v>558</v>
      </c>
      <c r="K67" s="373">
        <f t="shared" si="20"/>
        <v>559</v>
      </c>
      <c r="L67" s="373">
        <f t="shared" ref="L67:Q67" si="21">SUM(L63:L65)</f>
        <v>558</v>
      </c>
      <c r="M67" s="373">
        <f t="shared" si="21"/>
        <v>559</v>
      </c>
      <c r="N67" s="373">
        <f t="shared" si="21"/>
        <v>558</v>
      </c>
      <c r="O67" s="373">
        <f t="shared" si="21"/>
        <v>6702</v>
      </c>
      <c r="P67" s="373">
        <f t="shared" si="21"/>
        <v>1117</v>
      </c>
      <c r="Q67" s="373">
        <f t="shared" si="21"/>
        <v>5585</v>
      </c>
      <c r="R67" s="28"/>
      <c r="S67" s="28"/>
      <c r="T67" s="28"/>
      <c r="U67" s="28"/>
      <c r="V67" s="28"/>
      <c r="W67" s="28"/>
      <c r="X67" s="28"/>
    </row>
    <row r="68" spans="1:50" ht="8.1" customHeight="1" x14ac:dyDescent="0.2">
      <c r="A68" s="368"/>
      <c r="B68" s="800"/>
      <c r="C68" s="370"/>
      <c r="D68" s="370"/>
      <c r="E68" s="370"/>
      <c r="F68" s="370"/>
      <c r="G68" s="370"/>
      <c r="H68" s="370"/>
      <c r="I68" s="370"/>
      <c r="J68" s="370"/>
      <c r="K68" s="370"/>
      <c r="L68" s="370"/>
      <c r="M68" s="370"/>
      <c r="N68" s="370"/>
      <c r="O68" s="370"/>
      <c r="P68" s="370"/>
      <c r="Q68" s="370"/>
      <c r="R68" s="28"/>
      <c r="S68" s="28"/>
      <c r="T68" s="28"/>
      <c r="U68" s="28"/>
      <c r="V68" s="28"/>
      <c r="W68" s="28"/>
      <c r="X68" s="28"/>
    </row>
    <row r="69" spans="1:50" ht="12.75" customHeight="1" x14ac:dyDescent="0.2">
      <c r="A69" s="379" t="s">
        <v>293</v>
      </c>
      <c r="B69" s="801"/>
      <c r="C69" s="376">
        <f>C36+C49+C61+C67</f>
        <v>2093</v>
      </c>
      <c r="D69" s="376">
        <f t="shared" ref="D69:Q69" si="22">D36+D49+D61+D67</f>
        <v>1989</v>
      </c>
      <c r="E69" s="376">
        <f t="shared" si="22"/>
        <v>2047</v>
      </c>
      <c r="F69" s="376">
        <f t="shared" si="22"/>
        <v>1831</v>
      </c>
      <c r="G69" s="376">
        <f t="shared" si="22"/>
        <v>1732</v>
      </c>
      <c r="H69" s="376">
        <f t="shared" si="22"/>
        <v>1525</v>
      </c>
      <c r="I69" s="376">
        <f t="shared" si="22"/>
        <v>1236</v>
      </c>
      <c r="J69" s="376">
        <f t="shared" si="22"/>
        <v>1280</v>
      </c>
      <c r="K69" s="376">
        <f t="shared" si="22"/>
        <v>1324</v>
      </c>
      <c r="L69" s="376">
        <f t="shared" si="22"/>
        <v>1383</v>
      </c>
      <c r="M69" s="376">
        <f t="shared" si="22"/>
        <v>1590</v>
      </c>
      <c r="N69" s="376">
        <f t="shared" si="22"/>
        <v>1675</v>
      </c>
      <c r="O69" s="376">
        <f t="shared" si="22"/>
        <v>19705</v>
      </c>
      <c r="P69" s="376">
        <f t="shared" si="22"/>
        <v>4082</v>
      </c>
      <c r="Q69" s="376">
        <f t="shared" si="22"/>
        <v>15623</v>
      </c>
      <c r="R69" s="3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7"/>
      <c r="AK69" s="28"/>
      <c r="AL69" s="28"/>
      <c r="AM69" s="28"/>
      <c r="AN69" s="28"/>
      <c r="AO69" s="28"/>
      <c r="AP69" s="28"/>
      <c r="AQ69" s="28"/>
      <c r="AR69" s="28"/>
      <c r="AS69" s="28"/>
      <c r="AT69" s="28"/>
    </row>
    <row r="70" spans="1:50" ht="8.1" customHeight="1" x14ac:dyDescent="0.2">
      <c r="A70" s="362"/>
      <c r="B70" s="797"/>
      <c r="C70" s="369"/>
      <c r="D70" s="369"/>
      <c r="E70" s="369"/>
      <c r="F70" s="369"/>
      <c r="G70" s="369"/>
      <c r="H70" s="369"/>
      <c r="I70" s="369"/>
      <c r="J70" s="369"/>
      <c r="K70" s="369"/>
      <c r="L70" s="369"/>
      <c r="M70" s="369"/>
      <c r="N70" s="369"/>
      <c r="O70" s="369"/>
      <c r="P70" s="369"/>
      <c r="Q70" s="369"/>
      <c r="R70" s="28"/>
      <c r="S70" s="28"/>
      <c r="T70" s="28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8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1"/>
      <c r="AV70" s="21"/>
      <c r="AW70" s="21"/>
      <c r="AX70" s="21"/>
    </row>
    <row r="71" spans="1:50" x14ac:dyDescent="0.2"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</row>
    <row r="72" spans="1:50" x14ac:dyDescent="0.2">
      <c r="A72" s="21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</row>
    <row r="73" spans="1:50" x14ac:dyDescent="0.2">
      <c r="A73" s="21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8"/>
      <c r="P73" s="27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</row>
    <row r="74" spans="1:50" x14ac:dyDescent="0.2"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</row>
    <row r="75" spans="1:50" x14ac:dyDescent="0.2">
      <c r="A75" s="21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</row>
    <row r="76" spans="1:50" x14ac:dyDescent="0.2">
      <c r="A76" s="21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8"/>
      <c r="P76" s="27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</row>
    <row r="77" spans="1:50" x14ac:dyDescent="0.2">
      <c r="A77" s="21"/>
      <c r="C77" s="27"/>
      <c r="D77" s="27"/>
      <c r="E77" s="27"/>
      <c r="F77" s="28"/>
      <c r="G77" s="28"/>
      <c r="H77" s="28"/>
      <c r="I77" s="28"/>
      <c r="J77" s="28"/>
      <c r="K77" s="28"/>
      <c r="L77" s="28"/>
      <c r="M77" s="27"/>
      <c r="N77" s="27"/>
      <c r="O77" s="28"/>
      <c r="P77" s="27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</row>
    <row r="78" spans="1:50" x14ac:dyDescent="0.2">
      <c r="A78" s="21"/>
      <c r="C78" s="27"/>
      <c r="D78" s="27"/>
      <c r="E78" s="27"/>
      <c r="F78" s="28"/>
      <c r="G78" s="28"/>
      <c r="H78" s="28"/>
      <c r="I78" s="28"/>
      <c r="J78" s="28"/>
      <c r="K78" s="28"/>
      <c r="L78" s="28"/>
      <c r="M78" s="27"/>
      <c r="N78" s="27"/>
      <c r="O78" s="28"/>
      <c r="P78" s="27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</row>
    <row r="79" spans="1:50" x14ac:dyDescent="0.2">
      <c r="A79" s="21"/>
      <c r="C79" s="27"/>
      <c r="D79" s="27"/>
      <c r="E79" s="27"/>
      <c r="F79" s="28"/>
      <c r="G79" s="28"/>
      <c r="H79" s="28"/>
      <c r="I79" s="28"/>
      <c r="J79" s="28"/>
      <c r="K79" s="28"/>
      <c r="L79" s="28"/>
      <c r="M79" s="27"/>
      <c r="N79" s="27"/>
      <c r="O79" s="28"/>
      <c r="P79" s="27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</row>
    <row r="80" spans="1:50" x14ac:dyDescent="0.2"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7"/>
      <c r="Q80" s="28"/>
      <c r="R80" s="28"/>
    </row>
    <row r="81" spans="1:18" x14ac:dyDescent="0.2">
      <c r="A81" s="21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</row>
    <row r="82" spans="1:18" x14ac:dyDescent="0.2">
      <c r="A82" s="21"/>
      <c r="C82" s="27"/>
      <c r="D82" s="27"/>
      <c r="E82" s="27"/>
      <c r="F82" s="28"/>
      <c r="G82" s="28"/>
      <c r="H82" s="28"/>
      <c r="I82" s="28"/>
      <c r="J82" s="28"/>
      <c r="K82" s="28"/>
      <c r="L82" s="28"/>
      <c r="M82" s="27"/>
      <c r="N82" s="27"/>
      <c r="O82" s="28"/>
      <c r="P82" s="27"/>
      <c r="Q82" s="28"/>
      <c r="R82" s="28"/>
    </row>
    <row r="83" spans="1:18" x14ac:dyDescent="0.2">
      <c r="A83" s="21"/>
      <c r="C83" s="27"/>
      <c r="D83" s="27"/>
      <c r="E83" s="27"/>
      <c r="F83" s="28"/>
      <c r="G83" s="28"/>
      <c r="H83" s="28"/>
      <c r="I83" s="28"/>
      <c r="J83" s="28"/>
      <c r="K83" s="28"/>
      <c r="L83" s="28"/>
      <c r="M83" s="27"/>
      <c r="N83" s="27"/>
      <c r="O83" s="28"/>
      <c r="P83" s="27"/>
      <c r="Q83" s="28"/>
      <c r="R83" s="28"/>
    </row>
    <row r="84" spans="1:18" x14ac:dyDescent="0.2">
      <c r="A84" s="21"/>
      <c r="C84" s="27"/>
      <c r="D84" s="27"/>
      <c r="E84" s="27"/>
      <c r="F84" s="28"/>
      <c r="G84" s="28"/>
      <c r="H84" s="28"/>
      <c r="I84" s="28"/>
      <c r="J84" s="28"/>
      <c r="K84" s="28"/>
      <c r="L84" s="28"/>
      <c r="M84" s="27"/>
      <c r="N84" s="27"/>
      <c r="O84" s="28"/>
      <c r="P84" s="27"/>
      <c r="Q84" s="28"/>
      <c r="R84" s="28"/>
    </row>
    <row r="85" spans="1:18" x14ac:dyDescent="0.2">
      <c r="A85" s="21"/>
      <c r="C85" s="27"/>
      <c r="D85" s="27"/>
      <c r="E85" s="27"/>
      <c r="F85" s="28"/>
      <c r="G85" s="28"/>
      <c r="H85" s="28"/>
      <c r="I85" s="28"/>
      <c r="J85" s="28"/>
      <c r="K85" s="28"/>
      <c r="L85" s="28"/>
      <c r="M85" s="27"/>
      <c r="N85" s="27"/>
      <c r="O85" s="28"/>
      <c r="P85" s="27"/>
      <c r="Q85" s="28"/>
      <c r="R85" s="28"/>
    </row>
    <row r="86" spans="1:18" x14ac:dyDescent="0.2"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7"/>
      <c r="Q86" s="28"/>
      <c r="R86" s="28"/>
    </row>
    <row r="87" spans="1:18" x14ac:dyDescent="0.2">
      <c r="A87" s="21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</row>
    <row r="88" spans="1:18" x14ac:dyDescent="0.2">
      <c r="A88" s="21"/>
      <c r="C88" s="27"/>
      <c r="D88" s="27"/>
      <c r="E88" s="27"/>
      <c r="F88" s="28"/>
      <c r="G88" s="28"/>
      <c r="H88" s="28"/>
      <c r="I88" s="28"/>
      <c r="J88" s="28"/>
      <c r="K88" s="28"/>
      <c r="L88" s="28"/>
      <c r="M88" s="27"/>
      <c r="N88" s="27"/>
      <c r="O88" s="28"/>
      <c r="P88" s="27"/>
      <c r="Q88" s="28"/>
      <c r="R88" s="28"/>
    </row>
    <row r="89" spans="1:18" x14ac:dyDescent="0.2">
      <c r="A89" s="21"/>
      <c r="C89" s="27"/>
      <c r="D89" s="27"/>
      <c r="E89" s="27"/>
      <c r="F89" s="28"/>
      <c r="G89" s="28"/>
      <c r="H89" s="28"/>
      <c r="I89" s="28"/>
      <c r="J89" s="28"/>
      <c r="K89" s="28"/>
      <c r="L89" s="28"/>
      <c r="M89" s="27"/>
      <c r="N89" s="27"/>
      <c r="O89" s="28"/>
      <c r="P89" s="27"/>
      <c r="Q89" s="28"/>
      <c r="R89" s="28"/>
    </row>
    <row r="90" spans="1:18" x14ac:dyDescent="0.2">
      <c r="A90" s="21"/>
      <c r="C90" s="27"/>
      <c r="D90" s="27"/>
      <c r="E90" s="27"/>
      <c r="F90" s="28"/>
      <c r="G90" s="28"/>
      <c r="H90" s="28"/>
      <c r="I90" s="28"/>
      <c r="J90" s="28"/>
      <c r="K90" s="28"/>
      <c r="L90" s="28"/>
      <c r="M90" s="27"/>
      <c r="N90" s="27"/>
      <c r="O90" s="28"/>
      <c r="P90" s="27"/>
      <c r="Q90" s="28"/>
      <c r="R90" s="28"/>
    </row>
    <row r="91" spans="1:18" x14ac:dyDescent="0.2"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7"/>
      <c r="Q91" s="28"/>
      <c r="R91" s="28"/>
    </row>
    <row r="92" spans="1:18" x14ac:dyDescent="0.2"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</row>
    <row r="93" spans="1:18" x14ac:dyDescent="0.2">
      <c r="A93" s="21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8"/>
      <c r="P93" s="27"/>
      <c r="Q93" s="28"/>
      <c r="R93" s="28"/>
    </row>
    <row r="94" spans="1:18" x14ac:dyDescent="0.2"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</row>
    <row r="95" spans="1:18" x14ac:dyDescent="0.2"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</row>
    <row r="96" spans="1:18" x14ac:dyDescent="0.2"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</row>
    <row r="97" spans="1:18" x14ac:dyDescent="0.2"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</row>
    <row r="98" spans="1:18" x14ac:dyDescent="0.2"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</row>
    <row r="99" spans="1:18" x14ac:dyDescent="0.2"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</row>
    <row r="100" spans="1:18" x14ac:dyDescent="0.2"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</row>
    <row r="101" spans="1:18" x14ac:dyDescent="0.2">
      <c r="A101" s="39" t="s">
        <v>294</v>
      </c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</row>
    <row r="102" spans="1:18" x14ac:dyDescent="0.2"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</row>
    <row r="103" spans="1:18" x14ac:dyDescent="0.2"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</row>
    <row r="104" spans="1:18" x14ac:dyDescent="0.2"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</row>
    <row r="105" spans="1:18" x14ac:dyDescent="0.2"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</row>
    <row r="106" spans="1:18" x14ac:dyDescent="0.2"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</row>
    <row r="107" spans="1:18" x14ac:dyDescent="0.2"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</row>
    <row r="108" spans="1:18" x14ac:dyDescent="0.2"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</row>
    <row r="109" spans="1:18" x14ac:dyDescent="0.2"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</row>
    <row r="110" spans="1:18" x14ac:dyDescent="0.2"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</row>
    <row r="111" spans="1:18" x14ac:dyDescent="0.2"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</row>
    <row r="131" spans="1:36" x14ac:dyDescent="0.2">
      <c r="A131" s="39" t="s">
        <v>295</v>
      </c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39" t="s">
        <v>295</v>
      </c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</row>
    <row r="132" spans="1:36" x14ac:dyDescent="0.2">
      <c r="A132" s="39" t="s">
        <v>296</v>
      </c>
      <c r="C132" s="28">
        <v>0</v>
      </c>
      <c r="D132" s="28">
        <v>0</v>
      </c>
      <c r="E132" s="28">
        <v>0</v>
      </c>
      <c r="F132" s="28">
        <v>0</v>
      </c>
      <c r="G132" s="28">
        <v>0</v>
      </c>
      <c r="H132" s="28">
        <v>0</v>
      </c>
      <c r="I132" s="28">
        <v>0</v>
      </c>
      <c r="J132" s="28">
        <v>0</v>
      </c>
      <c r="K132" s="28">
        <v>0</v>
      </c>
      <c r="L132" s="28">
        <v>0</v>
      </c>
      <c r="M132" s="28">
        <v>0</v>
      </c>
      <c r="N132" s="28">
        <v>0</v>
      </c>
      <c r="O132" s="28">
        <f t="shared" ref="O132:O138" si="23">SUM(C132:N132)</f>
        <v>0</v>
      </c>
      <c r="P132" s="27">
        <f>SUM(C132:I132)</f>
        <v>0</v>
      </c>
      <c r="Q132" s="28">
        <f t="shared" ref="Q132:Q138" si="24">(O132-P132)</f>
        <v>0</v>
      </c>
      <c r="R132" s="28"/>
      <c r="S132" s="39" t="s">
        <v>296</v>
      </c>
      <c r="T132" s="28"/>
      <c r="U132" s="28">
        <v>0</v>
      </c>
      <c r="V132" s="28">
        <v>0</v>
      </c>
      <c r="W132" s="28">
        <v>0</v>
      </c>
      <c r="X132" s="28">
        <v>0</v>
      </c>
      <c r="Y132" s="28">
        <v>0</v>
      </c>
      <c r="Z132" s="28">
        <v>0</v>
      </c>
      <c r="AA132" s="28">
        <v>0</v>
      </c>
      <c r="AB132" s="28">
        <v>0</v>
      </c>
      <c r="AC132" s="28">
        <v>0</v>
      </c>
      <c r="AD132" s="28">
        <v>0</v>
      </c>
      <c r="AE132" s="28">
        <v>0</v>
      </c>
      <c r="AF132" s="28">
        <v>0</v>
      </c>
      <c r="AG132" s="28">
        <f t="shared" ref="AG132:AG138" si="25">SUM(U132:AF132)</f>
        <v>0</v>
      </c>
      <c r="AH132" s="27">
        <f t="shared" ref="AH132:AH138" si="26">SUM(U132:V132)</f>
        <v>0</v>
      </c>
      <c r="AI132" s="28">
        <f t="shared" ref="AI132:AI138" si="27">(AG132-AH132)</f>
        <v>0</v>
      </c>
      <c r="AJ132" s="28"/>
    </row>
    <row r="133" spans="1:36" x14ac:dyDescent="0.2">
      <c r="A133" s="39" t="s">
        <v>297</v>
      </c>
      <c r="C133" s="28">
        <v>0</v>
      </c>
      <c r="D133" s="28">
        <v>0</v>
      </c>
      <c r="E133" s="28">
        <v>0</v>
      </c>
      <c r="F133" s="28">
        <v>0</v>
      </c>
      <c r="G133" s="28">
        <v>0</v>
      </c>
      <c r="H133" s="28">
        <v>0</v>
      </c>
      <c r="I133" s="28">
        <v>0</v>
      </c>
      <c r="J133" s="28">
        <v>0</v>
      </c>
      <c r="K133" s="28">
        <v>0</v>
      </c>
      <c r="L133" s="28">
        <v>0</v>
      </c>
      <c r="M133" s="28">
        <v>0</v>
      </c>
      <c r="N133" s="28">
        <v>0</v>
      </c>
      <c r="O133" s="28">
        <f t="shared" si="23"/>
        <v>0</v>
      </c>
      <c r="P133" s="27">
        <f>SUM(C133:I133)</f>
        <v>0</v>
      </c>
      <c r="Q133" s="28">
        <f t="shared" si="24"/>
        <v>0</v>
      </c>
      <c r="R133" s="28"/>
      <c r="S133" s="39" t="s">
        <v>297</v>
      </c>
      <c r="T133" s="28"/>
      <c r="U133" s="28">
        <v>0</v>
      </c>
      <c r="V133" s="28">
        <v>0</v>
      </c>
      <c r="W133" s="28">
        <v>0</v>
      </c>
      <c r="X133" s="28">
        <v>0</v>
      </c>
      <c r="Y133" s="28">
        <v>0</v>
      </c>
      <c r="Z133" s="28">
        <v>0</v>
      </c>
      <c r="AA133" s="28">
        <v>0</v>
      </c>
      <c r="AB133" s="28">
        <v>0</v>
      </c>
      <c r="AC133" s="28">
        <v>0</v>
      </c>
      <c r="AD133" s="28">
        <v>0</v>
      </c>
      <c r="AE133" s="28">
        <v>0</v>
      </c>
      <c r="AF133" s="28">
        <v>0</v>
      </c>
      <c r="AG133" s="28">
        <f t="shared" si="25"/>
        <v>0</v>
      </c>
      <c r="AH133" s="27">
        <f t="shared" si="26"/>
        <v>0</v>
      </c>
      <c r="AI133" s="28">
        <f t="shared" si="27"/>
        <v>0</v>
      </c>
      <c r="AJ133" s="28"/>
    </row>
    <row r="134" spans="1:36" x14ac:dyDescent="0.2">
      <c r="A134" s="39" t="s">
        <v>298</v>
      </c>
      <c r="C134" s="28">
        <v>0</v>
      </c>
      <c r="D134" s="28">
        <v>0</v>
      </c>
      <c r="E134" s="28">
        <v>0</v>
      </c>
      <c r="F134" s="28">
        <v>0</v>
      </c>
      <c r="G134" s="28">
        <v>0</v>
      </c>
      <c r="H134" s="28">
        <v>0</v>
      </c>
      <c r="I134" s="28">
        <v>0</v>
      </c>
      <c r="J134" s="28">
        <v>0</v>
      </c>
      <c r="K134" s="28">
        <v>0</v>
      </c>
      <c r="L134" s="28">
        <v>0</v>
      </c>
      <c r="M134" s="28">
        <v>0</v>
      </c>
      <c r="N134" s="28">
        <v>0</v>
      </c>
      <c r="O134" s="28">
        <f t="shared" si="23"/>
        <v>0</v>
      </c>
      <c r="P134" s="27">
        <f>SUM(C134:I134)</f>
        <v>0</v>
      </c>
      <c r="Q134" s="28">
        <f t="shared" si="24"/>
        <v>0</v>
      </c>
      <c r="R134" s="28"/>
      <c r="S134" s="39" t="s">
        <v>298</v>
      </c>
      <c r="T134" s="28"/>
      <c r="U134" s="28">
        <v>0</v>
      </c>
      <c r="V134" s="28">
        <v>0</v>
      </c>
      <c r="W134" s="28">
        <v>0</v>
      </c>
      <c r="X134" s="28">
        <v>0</v>
      </c>
      <c r="Y134" s="28">
        <v>0</v>
      </c>
      <c r="Z134" s="28">
        <v>0</v>
      </c>
      <c r="AA134" s="28">
        <v>0</v>
      </c>
      <c r="AB134" s="28">
        <v>0</v>
      </c>
      <c r="AC134" s="28">
        <v>0</v>
      </c>
      <c r="AD134" s="28">
        <v>0</v>
      </c>
      <c r="AE134" s="28">
        <v>0</v>
      </c>
      <c r="AF134" s="28">
        <v>0</v>
      </c>
      <c r="AG134" s="28">
        <f t="shared" si="25"/>
        <v>0</v>
      </c>
      <c r="AH134" s="27">
        <f t="shared" si="26"/>
        <v>0</v>
      </c>
      <c r="AI134" s="28">
        <f t="shared" si="27"/>
        <v>0</v>
      </c>
      <c r="AJ134" s="28"/>
    </row>
    <row r="135" spans="1:36" x14ac:dyDescent="0.2">
      <c r="A135" s="39" t="s">
        <v>299</v>
      </c>
      <c r="C135" s="28">
        <v>0</v>
      </c>
      <c r="D135" s="28">
        <v>0</v>
      </c>
      <c r="E135" s="28">
        <v>0</v>
      </c>
      <c r="F135" s="28">
        <v>0</v>
      </c>
      <c r="G135" s="28">
        <v>0</v>
      </c>
      <c r="H135" s="28">
        <v>0</v>
      </c>
      <c r="I135" s="28">
        <v>0</v>
      </c>
      <c r="J135" s="28">
        <v>0</v>
      </c>
      <c r="K135" s="28">
        <v>0</v>
      </c>
      <c r="L135" s="28">
        <v>0</v>
      </c>
      <c r="M135" s="28">
        <v>0</v>
      </c>
      <c r="N135" s="28">
        <v>0</v>
      </c>
      <c r="O135" s="28">
        <f t="shared" si="23"/>
        <v>0</v>
      </c>
      <c r="P135" s="27">
        <f>SUM(C135:F135)</f>
        <v>0</v>
      </c>
      <c r="Q135" s="28">
        <f t="shared" si="24"/>
        <v>0</v>
      </c>
      <c r="R135" s="28"/>
      <c r="S135" s="39" t="s">
        <v>299</v>
      </c>
      <c r="T135" s="28"/>
      <c r="U135" s="28">
        <v>0</v>
      </c>
      <c r="V135" s="28">
        <v>0</v>
      </c>
      <c r="W135" s="28">
        <v>0</v>
      </c>
      <c r="X135" s="28">
        <v>0</v>
      </c>
      <c r="Y135" s="28">
        <v>0</v>
      </c>
      <c r="Z135" s="28">
        <v>0</v>
      </c>
      <c r="AA135" s="28">
        <v>0</v>
      </c>
      <c r="AB135" s="28">
        <v>0</v>
      </c>
      <c r="AC135" s="28">
        <v>0</v>
      </c>
      <c r="AD135" s="28">
        <v>0</v>
      </c>
      <c r="AE135" s="28">
        <v>0</v>
      </c>
      <c r="AF135" s="28">
        <v>0</v>
      </c>
      <c r="AG135" s="28">
        <f t="shared" si="25"/>
        <v>0</v>
      </c>
      <c r="AH135" s="27">
        <f t="shared" si="26"/>
        <v>0</v>
      </c>
      <c r="AI135" s="28">
        <f t="shared" si="27"/>
        <v>0</v>
      </c>
      <c r="AJ135" s="28"/>
    </row>
    <row r="136" spans="1:36" x14ac:dyDescent="0.2">
      <c r="A136" s="39" t="s">
        <v>300</v>
      </c>
      <c r="C136" s="28">
        <v>0</v>
      </c>
      <c r="D136" s="28">
        <v>0</v>
      </c>
      <c r="E136" s="28">
        <v>0</v>
      </c>
      <c r="F136" s="28">
        <v>0</v>
      </c>
      <c r="G136" s="28">
        <v>0</v>
      </c>
      <c r="H136" s="28">
        <v>0</v>
      </c>
      <c r="I136" s="28">
        <v>0</v>
      </c>
      <c r="J136" s="28">
        <v>0</v>
      </c>
      <c r="K136" s="28">
        <v>0</v>
      </c>
      <c r="L136" s="28">
        <v>0</v>
      </c>
      <c r="M136" s="28">
        <v>0</v>
      </c>
      <c r="N136" s="28">
        <v>0</v>
      </c>
      <c r="O136" s="28">
        <f t="shared" si="23"/>
        <v>0</v>
      </c>
      <c r="P136" s="27">
        <f>SUM(C136:F136)</f>
        <v>0</v>
      </c>
      <c r="Q136" s="28">
        <f t="shared" si="24"/>
        <v>0</v>
      </c>
      <c r="R136" s="28"/>
      <c r="S136" s="39" t="s">
        <v>300</v>
      </c>
      <c r="T136" s="28"/>
      <c r="U136" s="28">
        <v>0</v>
      </c>
      <c r="V136" s="28">
        <v>0</v>
      </c>
      <c r="W136" s="28">
        <v>0</v>
      </c>
      <c r="X136" s="28">
        <v>0</v>
      </c>
      <c r="Y136" s="28">
        <v>0</v>
      </c>
      <c r="Z136" s="28">
        <v>0</v>
      </c>
      <c r="AA136" s="28">
        <v>0</v>
      </c>
      <c r="AB136" s="28">
        <v>0</v>
      </c>
      <c r="AC136" s="28">
        <v>0</v>
      </c>
      <c r="AD136" s="28">
        <v>0</v>
      </c>
      <c r="AE136" s="28">
        <v>0</v>
      </c>
      <c r="AF136" s="28">
        <v>0</v>
      </c>
      <c r="AG136" s="28">
        <f t="shared" si="25"/>
        <v>0</v>
      </c>
      <c r="AH136" s="27">
        <f t="shared" si="26"/>
        <v>0</v>
      </c>
      <c r="AI136" s="28">
        <f t="shared" si="27"/>
        <v>0</v>
      </c>
      <c r="AJ136" s="28"/>
    </row>
    <row r="137" spans="1:36" x14ac:dyDescent="0.2">
      <c r="A137" s="39" t="s">
        <v>655</v>
      </c>
      <c r="C137" s="28">
        <v>0</v>
      </c>
      <c r="D137" s="28">
        <v>0</v>
      </c>
      <c r="E137" s="28">
        <v>0</v>
      </c>
      <c r="F137" s="28">
        <v>0</v>
      </c>
      <c r="G137" s="28">
        <v>0</v>
      </c>
      <c r="H137" s="28">
        <v>0</v>
      </c>
      <c r="I137" s="28">
        <v>0</v>
      </c>
      <c r="J137" s="28">
        <v>0</v>
      </c>
      <c r="K137" s="28">
        <v>0</v>
      </c>
      <c r="L137" s="28">
        <v>0</v>
      </c>
      <c r="M137" s="28">
        <v>0</v>
      </c>
      <c r="N137" s="28">
        <v>0</v>
      </c>
      <c r="O137" s="28">
        <f t="shared" si="23"/>
        <v>0</v>
      </c>
      <c r="P137" s="27">
        <f>SUM(C137:F137)</f>
        <v>0</v>
      </c>
      <c r="Q137" s="28">
        <f t="shared" si="24"/>
        <v>0</v>
      </c>
      <c r="R137" s="28"/>
      <c r="S137" s="39" t="s">
        <v>655</v>
      </c>
      <c r="T137" s="28"/>
      <c r="U137" s="28">
        <v>0</v>
      </c>
      <c r="V137" s="28">
        <v>0</v>
      </c>
      <c r="W137" s="28">
        <v>0</v>
      </c>
      <c r="X137" s="28">
        <v>0</v>
      </c>
      <c r="Y137" s="28">
        <v>0</v>
      </c>
      <c r="Z137" s="28">
        <v>0</v>
      </c>
      <c r="AA137" s="28">
        <v>0</v>
      </c>
      <c r="AB137" s="28">
        <v>0</v>
      </c>
      <c r="AC137" s="28">
        <v>0</v>
      </c>
      <c r="AD137" s="28">
        <v>0</v>
      </c>
      <c r="AE137" s="28">
        <v>0</v>
      </c>
      <c r="AF137" s="28">
        <v>0</v>
      </c>
      <c r="AG137" s="28">
        <f t="shared" si="25"/>
        <v>0</v>
      </c>
      <c r="AH137" s="27">
        <f t="shared" si="26"/>
        <v>0</v>
      </c>
      <c r="AI137" s="28">
        <f t="shared" si="27"/>
        <v>0</v>
      </c>
      <c r="AJ137" s="28"/>
    </row>
    <row r="138" spans="1:36" x14ac:dyDescent="0.2">
      <c r="A138" s="39" t="s">
        <v>656</v>
      </c>
      <c r="C138" s="28">
        <v>0</v>
      </c>
      <c r="D138" s="28">
        <v>0</v>
      </c>
      <c r="E138" s="28">
        <v>0</v>
      </c>
      <c r="F138" s="28">
        <v>0</v>
      </c>
      <c r="G138" s="28">
        <v>0</v>
      </c>
      <c r="H138" s="28">
        <v>0</v>
      </c>
      <c r="I138" s="28">
        <v>0</v>
      </c>
      <c r="J138" s="28">
        <v>0</v>
      </c>
      <c r="K138" s="28">
        <v>0</v>
      </c>
      <c r="L138" s="28">
        <v>0</v>
      </c>
      <c r="M138" s="28">
        <v>0</v>
      </c>
      <c r="N138" s="28">
        <v>0</v>
      </c>
      <c r="O138" s="28">
        <f t="shared" si="23"/>
        <v>0</v>
      </c>
      <c r="P138" s="27">
        <f>SUM(C138:F138)</f>
        <v>0</v>
      </c>
      <c r="Q138" s="28">
        <f t="shared" si="24"/>
        <v>0</v>
      </c>
      <c r="R138" s="28"/>
      <c r="S138" s="39" t="s">
        <v>656</v>
      </c>
      <c r="T138" s="28"/>
      <c r="U138" s="28">
        <v>0</v>
      </c>
      <c r="V138" s="28">
        <v>0</v>
      </c>
      <c r="W138" s="28">
        <v>0</v>
      </c>
      <c r="X138" s="28">
        <v>0</v>
      </c>
      <c r="Y138" s="28">
        <v>0</v>
      </c>
      <c r="Z138" s="28">
        <v>0</v>
      </c>
      <c r="AA138" s="28">
        <v>0</v>
      </c>
      <c r="AB138" s="28">
        <v>0</v>
      </c>
      <c r="AC138" s="28">
        <v>0</v>
      </c>
      <c r="AD138" s="28">
        <v>0</v>
      </c>
      <c r="AE138" s="28">
        <v>0</v>
      </c>
      <c r="AF138" s="28">
        <v>0</v>
      </c>
      <c r="AG138" s="28">
        <f t="shared" si="25"/>
        <v>0</v>
      </c>
      <c r="AH138" s="27">
        <f t="shared" si="26"/>
        <v>0</v>
      </c>
      <c r="AI138" s="28">
        <f t="shared" si="27"/>
        <v>0</v>
      </c>
      <c r="AJ138" s="28"/>
    </row>
    <row r="139" spans="1:36" x14ac:dyDescent="0.2">
      <c r="C139" s="40" t="s">
        <v>80</v>
      </c>
      <c r="D139" s="40" t="s">
        <v>80</v>
      </c>
      <c r="E139" s="40" t="s">
        <v>80</v>
      </c>
      <c r="F139" s="40" t="s">
        <v>80</v>
      </c>
      <c r="G139" s="40" t="s">
        <v>80</v>
      </c>
      <c r="H139" s="40" t="s">
        <v>80</v>
      </c>
      <c r="I139" s="40" t="s">
        <v>80</v>
      </c>
      <c r="J139" s="40" t="s">
        <v>80</v>
      </c>
      <c r="K139" s="40" t="s">
        <v>80</v>
      </c>
      <c r="L139" s="40" t="s">
        <v>80</v>
      </c>
      <c r="M139" s="40" t="s">
        <v>80</v>
      </c>
      <c r="N139" s="40" t="s">
        <v>80</v>
      </c>
      <c r="O139" s="41" t="s">
        <v>80</v>
      </c>
      <c r="P139" s="40" t="s">
        <v>80</v>
      </c>
      <c r="Q139" s="41" t="s">
        <v>657</v>
      </c>
      <c r="R139" s="28"/>
      <c r="T139" s="28"/>
      <c r="U139" s="40" t="s">
        <v>80</v>
      </c>
      <c r="V139" s="40" t="s">
        <v>80</v>
      </c>
      <c r="W139" s="40" t="s">
        <v>80</v>
      </c>
      <c r="X139" s="40" t="s">
        <v>80</v>
      </c>
      <c r="Y139" s="40" t="s">
        <v>80</v>
      </c>
      <c r="Z139" s="40" t="s">
        <v>80</v>
      </c>
      <c r="AA139" s="40" t="s">
        <v>80</v>
      </c>
      <c r="AB139" s="40" t="s">
        <v>80</v>
      </c>
      <c r="AC139" s="40" t="s">
        <v>80</v>
      </c>
      <c r="AD139" s="40" t="s">
        <v>80</v>
      </c>
      <c r="AE139" s="40" t="s">
        <v>80</v>
      </c>
      <c r="AF139" s="40" t="s">
        <v>80</v>
      </c>
      <c r="AG139" s="41" t="s">
        <v>80</v>
      </c>
      <c r="AH139" s="40" t="s">
        <v>80</v>
      </c>
      <c r="AI139" s="41" t="s">
        <v>657</v>
      </c>
      <c r="AJ139" s="28"/>
    </row>
    <row r="140" spans="1:36" x14ac:dyDescent="0.2">
      <c r="A140" s="39" t="s">
        <v>658</v>
      </c>
      <c r="C140" s="28">
        <f t="shared" ref="C140:N140" si="28">SUM(C132:C138)</f>
        <v>0</v>
      </c>
      <c r="D140" s="28">
        <f t="shared" si="28"/>
        <v>0</v>
      </c>
      <c r="E140" s="28">
        <f t="shared" si="28"/>
        <v>0</v>
      </c>
      <c r="F140" s="28">
        <f t="shared" si="28"/>
        <v>0</v>
      </c>
      <c r="G140" s="28">
        <f t="shared" si="28"/>
        <v>0</v>
      </c>
      <c r="H140" s="28">
        <f t="shared" si="28"/>
        <v>0</v>
      </c>
      <c r="I140" s="28">
        <f t="shared" si="28"/>
        <v>0</v>
      </c>
      <c r="J140" s="28">
        <f t="shared" si="28"/>
        <v>0</v>
      </c>
      <c r="K140" s="28">
        <f t="shared" si="28"/>
        <v>0</v>
      </c>
      <c r="L140" s="28">
        <f t="shared" si="28"/>
        <v>0</v>
      </c>
      <c r="M140" s="28">
        <f t="shared" si="28"/>
        <v>0</v>
      </c>
      <c r="N140" s="28">
        <f t="shared" si="28"/>
        <v>0</v>
      </c>
      <c r="O140" s="28">
        <f>SUM(C140:N140)</f>
        <v>0</v>
      </c>
      <c r="P140" s="27">
        <f>SUM(C140:F140)</f>
        <v>0</v>
      </c>
      <c r="Q140" s="28">
        <f>(O140-P140)</f>
        <v>0</v>
      </c>
      <c r="R140" s="28"/>
      <c r="S140" s="39" t="s">
        <v>658</v>
      </c>
      <c r="T140" s="28"/>
      <c r="U140" s="28">
        <f t="shared" ref="U140:AE140" si="29">SUM(U132:U138)</f>
        <v>0</v>
      </c>
      <c r="V140" s="28">
        <f t="shared" si="29"/>
        <v>0</v>
      </c>
      <c r="W140" s="28">
        <f t="shared" si="29"/>
        <v>0</v>
      </c>
      <c r="X140" s="28">
        <f t="shared" si="29"/>
        <v>0</v>
      </c>
      <c r="Y140" s="28">
        <f t="shared" si="29"/>
        <v>0</v>
      </c>
      <c r="Z140" s="28">
        <f t="shared" si="29"/>
        <v>0</v>
      </c>
      <c r="AA140" s="28">
        <f t="shared" si="29"/>
        <v>0</v>
      </c>
      <c r="AB140" s="28">
        <f t="shared" si="29"/>
        <v>0</v>
      </c>
      <c r="AC140" s="28">
        <f t="shared" si="29"/>
        <v>0</v>
      </c>
      <c r="AD140" s="28">
        <f t="shared" si="29"/>
        <v>0</v>
      </c>
      <c r="AE140" s="28">
        <f t="shared" si="29"/>
        <v>0</v>
      </c>
      <c r="AF140" s="28">
        <v>0</v>
      </c>
      <c r="AG140" s="28">
        <f>SUM(U140:AF140)</f>
        <v>0</v>
      </c>
      <c r="AH140" s="27">
        <f>SUM(U140:V140)</f>
        <v>0</v>
      </c>
      <c r="AI140" s="28">
        <f>(AG140-AH140)</f>
        <v>0</v>
      </c>
      <c r="AJ140" s="28"/>
    </row>
    <row r="141" spans="1:36" x14ac:dyDescent="0.2">
      <c r="A141" s="39" t="s">
        <v>659</v>
      </c>
      <c r="C141" s="28">
        <v>0</v>
      </c>
      <c r="D141" s="28">
        <v>0</v>
      </c>
      <c r="E141" s="28">
        <v>0</v>
      </c>
      <c r="F141" s="28">
        <v>0</v>
      </c>
      <c r="G141" s="28">
        <v>0</v>
      </c>
      <c r="H141" s="28">
        <v>0</v>
      </c>
      <c r="I141" s="28">
        <v>0</v>
      </c>
      <c r="J141" s="28">
        <v>0</v>
      </c>
      <c r="K141" s="28">
        <v>0</v>
      </c>
      <c r="L141" s="28">
        <v>0</v>
      </c>
      <c r="M141" s="28">
        <v>0</v>
      </c>
      <c r="N141" s="28">
        <v>0</v>
      </c>
      <c r="O141" s="28">
        <f>SUM(C141:N141)</f>
        <v>0</v>
      </c>
      <c r="P141" s="27">
        <f>SUM(C141:F141)</f>
        <v>0</v>
      </c>
      <c r="Q141" s="28">
        <f>(O141-P141)</f>
        <v>0</v>
      </c>
      <c r="R141" s="28"/>
      <c r="S141" s="39" t="s">
        <v>659</v>
      </c>
      <c r="T141" s="28"/>
      <c r="U141" s="28">
        <v>0</v>
      </c>
      <c r="V141" s="28">
        <v>0</v>
      </c>
      <c r="W141" s="28">
        <v>0</v>
      </c>
      <c r="X141" s="28">
        <v>0</v>
      </c>
      <c r="Y141" s="28">
        <v>0</v>
      </c>
      <c r="Z141" s="28">
        <v>0</v>
      </c>
      <c r="AA141" s="28">
        <v>0</v>
      </c>
      <c r="AB141" s="28">
        <v>0</v>
      </c>
      <c r="AC141" s="28">
        <v>0</v>
      </c>
      <c r="AD141" s="28">
        <v>0</v>
      </c>
      <c r="AE141" s="28">
        <v>0</v>
      </c>
      <c r="AF141" s="28">
        <v>0</v>
      </c>
      <c r="AG141" s="28">
        <f>SUM(U141:AF141)</f>
        <v>0</v>
      </c>
      <c r="AH141" s="27">
        <f>SUM(U141:V141)</f>
        <v>0</v>
      </c>
      <c r="AI141" s="28">
        <f>(AG141-AH141)</f>
        <v>0</v>
      </c>
      <c r="AJ141" s="28"/>
    </row>
    <row r="142" spans="1:36" x14ac:dyDescent="0.2">
      <c r="C142" s="40" t="s">
        <v>80</v>
      </c>
      <c r="D142" s="40" t="s">
        <v>80</v>
      </c>
      <c r="E142" s="40" t="s">
        <v>80</v>
      </c>
      <c r="F142" s="40" t="s">
        <v>80</v>
      </c>
      <c r="G142" s="40" t="s">
        <v>80</v>
      </c>
      <c r="H142" s="40" t="s">
        <v>80</v>
      </c>
      <c r="I142" s="40" t="s">
        <v>80</v>
      </c>
      <c r="J142" s="40" t="s">
        <v>80</v>
      </c>
      <c r="K142" s="40" t="s">
        <v>80</v>
      </c>
      <c r="L142" s="40" t="s">
        <v>80</v>
      </c>
      <c r="M142" s="40" t="s">
        <v>80</v>
      </c>
      <c r="N142" s="40" t="s">
        <v>80</v>
      </c>
      <c r="O142" s="41" t="s">
        <v>80</v>
      </c>
      <c r="P142" s="40" t="s">
        <v>80</v>
      </c>
      <c r="Q142" s="41" t="s">
        <v>657</v>
      </c>
      <c r="R142" s="28"/>
      <c r="S142" s="28"/>
      <c r="T142" s="28"/>
      <c r="U142" s="40" t="s">
        <v>80</v>
      </c>
      <c r="V142" s="40" t="s">
        <v>80</v>
      </c>
      <c r="W142" s="40" t="s">
        <v>80</v>
      </c>
      <c r="X142" s="40" t="s">
        <v>80</v>
      </c>
      <c r="Y142" s="40" t="s">
        <v>80</v>
      </c>
      <c r="Z142" s="40" t="s">
        <v>80</v>
      </c>
      <c r="AA142" s="40" t="s">
        <v>80</v>
      </c>
      <c r="AB142" s="40" t="s">
        <v>80</v>
      </c>
      <c r="AC142" s="40" t="s">
        <v>80</v>
      </c>
      <c r="AD142" s="40" t="s">
        <v>80</v>
      </c>
      <c r="AE142" s="40" t="s">
        <v>80</v>
      </c>
      <c r="AF142" s="40" t="s">
        <v>80</v>
      </c>
      <c r="AG142" s="41" t="s">
        <v>80</v>
      </c>
      <c r="AH142" s="40" t="s">
        <v>80</v>
      </c>
      <c r="AI142" s="41" t="s">
        <v>657</v>
      </c>
      <c r="AJ142" s="28"/>
    </row>
    <row r="143" spans="1:36" x14ac:dyDescent="0.2">
      <c r="A143" s="39" t="s">
        <v>660</v>
      </c>
      <c r="C143" s="28">
        <f t="shared" ref="C143:N143" si="30">C140+C141</f>
        <v>0</v>
      </c>
      <c r="D143" s="28">
        <f t="shared" si="30"/>
        <v>0</v>
      </c>
      <c r="E143" s="28">
        <f t="shared" si="30"/>
        <v>0</v>
      </c>
      <c r="F143" s="28">
        <f t="shared" si="30"/>
        <v>0</v>
      </c>
      <c r="G143" s="28">
        <f t="shared" si="30"/>
        <v>0</v>
      </c>
      <c r="H143" s="28">
        <f t="shared" si="30"/>
        <v>0</v>
      </c>
      <c r="I143" s="28">
        <f t="shared" si="30"/>
        <v>0</v>
      </c>
      <c r="J143" s="28">
        <f t="shared" si="30"/>
        <v>0</v>
      </c>
      <c r="K143" s="28">
        <f t="shared" si="30"/>
        <v>0</v>
      </c>
      <c r="L143" s="28">
        <f t="shared" si="30"/>
        <v>0</v>
      </c>
      <c r="M143" s="28">
        <f t="shared" si="30"/>
        <v>0</v>
      </c>
      <c r="N143" s="28">
        <f t="shared" si="30"/>
        <v>0</v>
      </c>
      <c r="O143" s="28">
        <f>SUM(C143:N143)</f>
        <v>0</v>
      </c>
      <c r="P143" s="27">
        <f>SUM(C143:F143)</f>
        <v>0</v>
      </c>
      <c r="Q143" s="28">
        <f>(O143-P143)</f>
        <v>0</v>
      </c>
      <c r="R143" s="28"/>
      <c r="S143" s="41" t="s">
        <v>661</v>
      </c>
      <c r="T143" s="28"/>
      <c r="U143" s="28">
        <f t="shared" ref="U143:AF143" si="31">U140+U141</f>
        <v>0</v>
      </c>
      <c r="V143" s="28">
        <f t="shared" si="31"/>
        <v>0</v>
      </c>
      <c r="W143" s="28">
        <f t="shared" si="31"/>
        <v>0</v>
      </c>
      <c r="X143" s="28">
        <f t="shared" si="31"/>
        <v>0</v>
      </c>
      <c r="Y143" s="28">
        <f t="shared" si="31"/>
        <v>0</v>
      </c>
      <c r="Z143" s="28">
        <f t="shared" si="31"/>
        <v>0</v>
      </c>
      <c r="AA143" s="28">
        <f t="shared" si="31"/>
        <v>0</v>
      </c>
      <c r="AB143" s="28">
        <f t="shared" si="31"/>
        <v>0</v>
      </c>
      <c r="AC143" s="28">
        <f t="shared" si="31"/>
        <v>0</v>
      </c>
      <c r="AD143" s="28">
        <f t="shared" si="31"/>
        <v>0</v>
      </c>
      <c r="AE143" s="28">
        <f t="shared" si="31"/>
        <v>0</v>
      </c>
      <c r="AF143" s="28">
        <f t="shared" si="31"/>
        <v>0</v>
      </c>
      <c r="AG143" s="28">
        <f>SUM(U143:AF143)</f>
        <v>0</v>
      </c>
      <c r="AH143" s="27">
        <f>SUM(U143:V143)</f>
        <v>0</v>
      </c>
      <c r="AI143" s="28">
        <f>(AG143-AH143)</f>
        <v>0</v>
      </c>
      <c r="AJ143" s="28"/>
    </row>
  </sheetData>
  <phoneticPr fontId="0" type="noConversion"/>
  <printOptions horizontalCentered="1" gridLinesSet="0"/>
  <pageMargins left="0.5" right="0.5" top="0.5" bottom="0.25" header="0" footer="0"/>
  <pageSetup paperSize="5" scale="73" orientation="landscape" horizontalDpi="1200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0">
    <pageSetUpPr fitToPage="1"/>
  </sheetPr>
  <dimension ref="A1:V239"/>
  <sheetViews>
    <sheetView showGridLines="0" workbookViewId="0">
      <pane xSplit="2" ySplit="4" topLeftCell="C5" activePane="bottomRight" state="frozen"/>
      <selection activeCell="W21" sqref="W21"/>
      <selection pane="topRight" activeCell="W21" sqref="W21"/>
      <selection pane="bottomLeft" activeCell="W21" sqref="W21"/>
      <selection pane="bottomRight" activeCell="C5" sqref="C5"/>
    </sheetView>
  </sheetViews>
  <sheetFormatPr defaultRowHeight="12.75" x14ac:dyDescent="0.2"/>
  <cols>
    <col min="1" max="1" width="45.7109375" style="122" customWidth="1"/>
    <col min="2" max="2" width="8.7109375" style="806" customWidth="1"/>
    <col min="3" max="14" width="8.7109375" style="122" customWidth="1"/>
    <col min="15" max="17" width="9.7109375" style="122" customWidth="1"/>
    <col min="18" max="16384" width="9.140625" style="122"/>
  </cols>
  <sheetData>
    <row r="1" spans="1:19" x14ac:dyDescent="0.2">
      <c r="A1" s="605" t="str">
        <f ca="1">CELL("FILENAME")</f>
        <v>C:\Users\Felienne\Enron\EnronSpreadsheets\[tracy_geaccone__40367__EMNNG02PL.xls]IncomeState</v>
      </c>
    </row>
    <row r="2" spans="1:19" x14ac:dyDescent="0.2">
      <c r="A2" s="391" t="s">
        <v>678</v>
      </c>
      <c r="C2" s="123" t="s">
        <v>1173</v>
      </c>
      <c r="D2" s="123" t="s">
        <v>1173</v>
      </c>
      <c r="E2" s="602"/>
      <c r="F2" s="124"/>
      <c r="G2" s="498"/>
      <c r="H2" s="123" t="s">
        <v>1173</v>
      </c>
      <c r="I2" s="124"/>
      <c r="J2" s="124"/>
      <c r="K2" s="124"/>
      <c r="L2" s="124"/>
      <c r="M2" s="124"/>
      <c r="N2" s="124"/>
      <c r="O2" s="125"/>
      <c r="P2" s="125"/>
      <c r="Q2" s="125"/>
      <c r="R2" s="125"/>
      <c r="S2" s="125"/>
    </row>
    <row r="3" spans="1:19" x14ac:dyDescent="0.2">
      <c r="A3" s="552" t="str">
        <f>IncomeState!A3</f>
        <v>2002 OPERATING PLAN</v>
      </c>
      <c r="B3" s="807">
        <f ca="1">NOW()</f>
        <v>41887.551126967592</v>
      </c>
      <c r="C3" s="602" t="str">
        <f>DataBase!C2</f>
        <v>PLAN</v>
      </c>
      <c r="D3" s="602" t="str">
        <f>DataBase!D2</f>
        <v>PLAN</v>
      </c>
      <c r="E3" s="602" t="str">
        <f>DataBase!E2</f>
        <v>PLAN</v>
      </c>
      <c r="F3" s="602" t="str">
        <f>DataBase!F2</f>
        <v>PLAN</v>
      </c>
      <c r="G3" s="602" t="str">
        <f>DataBase!G2</f>
        <v>PLAN</v>
      </c>
      <c r="H3" s="602" t="str">
        <f>DataBase!H2</f>
        <v>PLAN</v>
      </c>
      <c r="I3" s="602" t="str">
        <f>DataBase!I2</f>
        <v>PLAN</v>
      </c>
      <c r="J3" s="602" t="str">
        <f>DataBase!J2</f>
        <v>PLAN</v>
      </c>
      <c r="K3" s="602" t="str">
        <f>DataBase!K2</f>
        <v>PLAN</v>
      </c>
      <c r="L3" s="602" t="str">
        <f>DataBase!L2</f>
        <v>PLAN</v>
      </c>
      <c r="M3" s="602" t="str">
        <f>DataBase!M2</f>
        <v>PLAN</v>
      </c>
      <c r="N3" s="602" t="str">
        <f>DataBase!N2</f>
        <v>PLAN</v>
      </c>
      <c r="O3" s="602" t="str">
        <f>DataBase!O2</f>
        <v>TOTAL</v>
      </c>
      <c r="P3" s="602" t="str">
        <f>IncomeState!P6</f>
        <v>FEB.</v>
      </c>
      <c r="Q3" s="602" t="str">
        <f>IncomeState!Q6</f>
        <v>ESTIMATE</v>
      </c>
      <c r="R3" s="125"/>
      <c r="S3" s="125"/>
    </row>
    <row r="4" spans="1:19" x14ac:dyDescent="0.2">
      <c r="A4" s="392"/>
      <c r="B4" s="808">
        <f ca="1">NOW()</f>
        <v>41887.551126967592</v>
      </c>
      <c r="C4" s="395" t="s">
        <v>1174</v>
      </c>
      <c r="D4" s="395" t="s">
        <v>1175</v>
      </c>
      <c r="E4" s="395" t="s">
        <v>1176</v>
      </c>
      <c r="F4" s="395" t="s">
        <v>1177</v>
      </c>
      <c r="G4" s="395" t="s">
        <v>1178</v>
      </c>
      <c r="H4" s="395" t="s">
        <v>1179</v>
      </c>
      <c r="I4" s="395" t="s">
        <v>1180</v>
      </c>
      <c r="J4" s="395" t="s">
        <v>1181</v>
      </c>
      <c r="K4" s="395" t="s">
        <v>1182</v>
      </c>
      <c r="L4" s="395" t="s">
        <v>1183</v>
      </c>
      <c r="M4" s="395" t="s">
        <v>1184</v>
      </c>
      <c r="N4" s="395" t="s">
        <v>1185</v>
      </c>
      <c r="O4" s="610" t="str">
        <f>DataBase!O3</f>
        <v>2002</v>
      </c>
      <c r="P4" s="610" t="str">
        <f>IncomeState!P7</f>
        <v>Y-T-D</v>
      </c>
      <c r="Q4" s="610" t="str">
        <f>IncomeState!Q7</f>
        <v>R.M.</v>
      </c>
      <c r="R4" s="125"/>
      <c r="S4" s="125"/>
    </row>
    <row r="5" spans="1:19" ht="3.95" customHeight="1" x14ac:dyDescent="0.2">
      <c r="A5" s="393"/>
      <c r="F5" s="122">
        <v>0</v>
      </c>
    </row>
    <row r="6" spans="1:19" x14ac:dyDescent="0.2">
      <c r="A6" s="394" t="s">
        <v>320</v>
      </c>
      <c r="B6" s="809"/>
    </row>
    <row r="7" spans="1:19" x14ac:dyDescent="0.2">
      <c r="A7" s="905" t="s">
        <v>32</v>
      </c>
      <c r="C7" s="982">
        <f>-DataBase!C38-DataBase!C123</f>
        <v>0</v>
      </c>
      <c r="D7" s="982">
        <f>-DataBase!D38-DataBase!D123</f>
        <v>0</v>
      </c>
      <c r="E7" s="982">
        <f>-DataBase!E38-DataBase!E123</f>
        <v>0</v>
      </c>
      <c r="F7" s="982">
        <f>-DataBase!F38-DataBase!F123</f>
        <v>0</v>
      </c>
      <c r="G7" s="982">
        <f>-DataBase!G38-DataBase!G123</f>
        <v>0</v>
      </c>
      <c r="H7" s="982">
        <f>-DataBase!H38-DataBase!H123</f>
        <v>0</v>
      </c>
      <c r="I7" s="982">
        <f>-DataBase!I38-DataBase!I123</f>
        <v>0</v>
      </c>
      <c r="J7" s="982">
        <f>-DataBase!J38-DataBase!J123</f>
        <v>0</v>
      </c>
      <c r="K7" s="982">
        <f>-DataBase!K38-DataBase!K123</f>
        <v>0</v>
      </c>
      <c r="L7" s="982">
        <f>-DataBase!L38-DataBase!L123</f>
        <v>0</v>
      </c>
      <c r="M7" s="982">
        <f>-DataBase!M38-DataBase!M123</f>
        <v>0</v>
      </c>
      <c r="N7" s="982">
        <f>-DataBase!N38-DataBase!N123</f>
        <v>0</v>
      </c>
      <c r="O7" s="129">
        <f>SUM(C7:N7)</f>
        <v>0</v>
      </c>
      <c r="P7" s="128">
        <f>SUM(C7:D7)</f>
        <v>0</v>
      </c>
      <c r="Q7" s="129">
        <f>(O7-P7)</f>
        <v>0</v>
      </c>
    </row>
    <row r="8" spans="1:19" s="541" customFormat="1" x14ac:dyDescent="0.2">
      <c r="A8" s="905" t="s">
        <v>425</v>
      </c>
      <c r="B8" s="810"/>
      <c r="C8" s="982">
        <f>-DataBase!C39-DataBase!C124</f>
        <v>0</v>
      </c>
      <c r="D8" s="982">
        <f>-DataBase!D39-DataBase!D124</f>
        <v>0</v>
      </c>
      <c r="E8" s="982">
        <f>-DataBase!E39-DataBase!E124</f>
        <v>0</v>
      </c>
      <c r="F8" s="982">
        <f>-DataBase!F39-DataBase!F124</f>
        <v>0</v>
      </c>
      <c r="G8" s="982">
        <f>-DataBase!G39-DataBase!G124</f>
        <v>0</v>
      </c>
      <c r="H8" s="982">
        <f>-DataBase!H39-DataBase!H124</f>
        <v>0</v>
      </c>
      <c r="I8" s="982">
        <f>-DataBase!I39-DataBase!I124</f>
        <v>0</v>
      </c>
      <c r="J8" s="982">
        <f>-DataBase!J39-DataBase!J124</f>
        <v>0</v>
      </c>
      <c r="K8" s="982">
        <f>-DataBase!K39-DataBase!K124</f>
        <v>0</v>
      </c>
      <c r="L8" s="982">
        <f>-DataBase!L39-DataBase!L124</f>
        <v>0</v>
      </c>
      <c r="M8" s="982">
        <f>-DataBase!M39-DataBase!M124</f>
        <v>0</v>
      </c>
      <c r="N8" s="982">
        <f>-DataBase!N39-DataBase!N124</f>
        <v>0</v>
      </c>
      <c r="O8" s="612">
        <f>SUM(C8:N8)</f>
        <v>0</v>
      </c>
      <c r="P8" s="128">
        <f>SUM(C8:D8)</f>
        <v>0</v>
      </c>
      <c r="Q8" s="129">
        <f>(O8-P8)</f>
        <v>0</v>
      </c>
    </row>
    <row r="9" spans="1:19" s="541" customFormat="1" x14ac:dyDescent="0.2">
      <c r="A9" s="905" t="s">
        <v>426</v>
      </c>
      <c r="B9" s="810"/>
      <c r="C9" s="982">
        <f>-DataBase!C40-DataBase!C125</f>
        <v>0</v>
      </c>
      <c r="D9" s="982">
        <f>-DataBase!D40-DataBase!D125</f>
        <v>0</v>
      </c>
      <c r="E9" s="982">
        <f>-DataBase!E40-DataBase!E125</f>
        <v>0</v>
      </c>
      <c r="F9" s="982">
        <f>-DataBase!F40-DataBase!F125</f>
        <v>0</v>
      </c>
      <c r="G9" s="982">
        <f>-DataBase!G40-DataBase!G125</f>
        <v>0</v>
      </c>
      <c r="H9" s="982">
        <f>-DataBase!H40-DataBase!H125</f>
        <v>0</v>
      </c>
      <c r="I9" s="982">
        <f>-DataBase!I40-DataBase!I125</f>
        <v>0</v>
      </c>
      <c r="J9" s="982">
        <f>-DataBase!J40-DataBase!J125</f>
        <v>0</v>
      </c>
      <c r="K9" s="982">
        <f>-DataBase!K40-DataBase!K125</f>
        <v>0</v>
      </c>
      <c r="L9" s="982">
        <f>-DataBase!L40-DataBase!L125</f>
        <v>0</v>
      </c>
      <c r="M9" s="982">
        <f>-DataBase!M40-DataBase!M125</f>
        <v>0</v>
      </c>
      <c r="N9" s="982">
        <f>-DataBase!N40-DataBase!N125</f>
        <v>0</v>
      </c>
      <c r="O9" s="612">
        <f>SUM(C9:N9)</f>
        <v>0</v>
      </c>
      <c r="P9" s="128">
        <f>SUM(C9:D9)</f>
        <v>0</v>
      </c>
      <c r="Q9" s="129">
        <f>(O9-P9)</f>
        <v>0</v>
      </c>
    </row>
    <row r="10" spans="1:19" x14ac:dyDescent="0.2">
      <c r="A10" s="905" t="s">
        <v>33</v>
      </c>
      <c r="C10" s="982">
        <f>-DataBase!C41-DataBase!C126</f>
        <v>0</v>
      </c>
      <c r="D10" s="982">
        <f>-DataBase!D41-DataBase!D126</f>
        <v>0</v>
      </c>
      <c r="E10" s="982">
        <f>-DataBase!E41-DataBase!E126</f>
        <v>0</v>
      </c>
      <c r="F10" s="982">
        <f>-DataBase!F41-DataBase!F126</f>
        <v>0</v>
      </c>
      <c r="G10" s="982">
        <f>-DataBase!G41-DataBase!G126</f>
        <v>0</v>
      </c>
      <c r="H10" s="982">
        <f>-DataBase!H41-DataBase!H126</f>
        <v>0</v>
      </c>
      <c r="I10" s="982">
        <f>-DataBase!I41-DataBase!I126</f>
        <v>0</v>
      </c>
      <c r="J10" s="982">
        <f>-DataBase!J41-DataBase!J126</f>
        <v>0</v>
      </c>
      <c r="K10" s="982">
        <f>-DataBase!K41-DataBase!K126</f>
        <v>0</v>
      </c>
      <c r="L10" s="982">
        <f>-DataBase!L41-DataBase!L126</f>
        <v>0</v>
      </c>
      <c r="M10" s="982">
        <f>-DataBase!M41-DataBase!M126</f>
        <v>0</v>
      </c>
      <c r="N10" s="982">
        <f>-DataBase!N41-DataBase!N126</f>
        <v>0</v>
      </c>
      <c r="O10" s="129">
        <f>SUM(C10:N10)</f>
        <v>0</v>
      </c>
      <c r="P10" s="128">
        <f>SUM(C10:D10)</f>
        <v>0</v>
      </c>
      <c r="Q10" s="129">
        <f>(O10-P10)</f>
        <v>0</v>
      </c>
    </row>
    <row r="11" spans="1:19" x14ac:dyDescent="0.2">
      <c r="A11" s="131" t="s">
        <v>1187</v>
      </c>
      <c r="B11" s="809"/>
      <c r="C11" s="270">
        <v>0</v>
      </c>
      <c r="D11" s="270">
        <v>0</v>
      </c>
      <c r="E11" s="270">
        <v>0</v>
      </c>
      <c r="F11" s="270">
        <v>0</v>
      </c>
      <c r="G11" s="270">
        <v>0</v>
      </c>
      <c r="H11" s="270">
        <v>0</v>
      </c>
      <c r="I11" s="270">
        <v>0</v>
      </c>
      <c r="J11" s="270">
        <v>0</v>
      </c>
      <c r="K11" s="270">
        <v>0</v>
      </c>
      <c r="L11" s="270">
        <v>0</v>
      </c>
      <c r="M11" s="270">
        <v>0</v>
      </c>
      <c r="N11" s="270">
        <v>0</v>
      </c>
      <c r="O11" s="130">
        <f>SUM(C11:N11)</f>
        <v>0</v>
      </c>
      <c r="P11" s="270">
        <f>SUM(C11:D11)</f>
        <v>0</v>
      </c>
      <c r="Q11" s="130">
        <f>(O11-P11)</f>
        <v>0</v>
      </c>
    </row>
    <row r="12" spans="1:19" ht="3.95" customHeight="1" x14ac:dyDescent="0.2"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35"/>
      <c r="O12" s="135"/>
      <c r="P12" s="135"/>
      <c r="Q12" s="135"/>
    </row>
    <row r="13" spans="1:19" x14ac:dyDescent="0.2">
      <c r="A13" s="396" t="s">
        <v>679</v>
      </c>
      <c r="B13" s="123"/>
      <c r="C13" s="132">
        <f>SUM(C7:C11)</f>
        <v>0</v>
      </c>
      <c r="D13" s="132">
        <f t="shared" ref="D13:Q13" si="0">SUM(D7:D11)</f>
        <v>0</v>
      </c>
      <c r="E13" s="132">
        <f t="shared" si="0"/>
        <v>0</v>
      </c>
      <c r="F13" s="132">
        <f t="shared" si="0"/>
        <v>0</v>
      </c>
      <c r="G13" s="132">
        <f t="shared" si="0"/>
        <v>0</v>
      </c>
      <c r="H13" s="132">
        <f t="shared" si="0"/>
        <v>0</v>
      </c>
      <c r="I13" s="132">
        <f t="shared" si="0"/>
        <v>0</v>
      </c>
      <c r="J13" s="132">
        <f t="shared" si="0"/>
        <v>0</v>
      </c>
      <c r="K13" s="132">
        <f t="shared" si="0"/>
        <v>0</v>
      </c>
      <c r="L13" s="132">
        <f t="shared" si="0"/>
        <v>0</v>
      </c>
      <c r="M13" s="132">
        <f t="shared" si="0"/>
        <v>0</v>
      </c>
      <c r="N13" s="132">
        <f t="shared" si="0"/>
        <v>0</v>
      </c>
      <c r="O13" s="132">
        <f t="shared" si="0"/>
        <v>0</v>
      </c>
      <c r="P13" s="132">
        <f t="shared" si="0"/>
        <v>0</v>
      </c>
      <c r="Q13" s="132">
        <f t="shared" si="0"/>
        <v>0</v>
      </c>
      <c r="R13" s="125"/>
    </row>
    <row r="14" spans="1:19" x14ac:dyDescent="0.2">
      <c r="A14" s="126"/>
      <c r="B14" s="809"/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36"/>
      <c r="P14" s="128"/>
      <c r="Q14" s="136"/>
    </row>
    <row r="15" spans="1:19" x14ac:dyDescent="0.2">
      <c r="A15" s="394" t="s">
        <v>322</v>
      </c>
      <c r="C15" s="136"/>
      <c r="D15" s="136"/>
      <c r="E15" s="136"/>
      <c r="F15" s="136"/>
      <c r="G15" s="136"/>
      <c r="H15" s="136"/>
      <c r="I15" s="136"/>
      <c r="J15" s="136"/>
      <c r="K15" s="136"/>
      <c r="L15" s="136"/>
      <c r="M15" s="136"/>
      <c r="N15" s="136"/>
      <c r="O15" s="136"/>
      <c r="P15" s="136"/>
      <c r="Q15" s="136"/>
    </row>
    <row r="16" spans="1:19" x14ac:dyDescent="0.2">
      <c r="A16" s="131" t="s">
        <v>321</v>
      </c>
      <c r="C16" s="982">
        <f>-DataBase!C245</f>
        <v>2785</v>
      </c>
      <c r="D16" s="982">
        <f>-DataBase!D245</f>
        <v>2785</v>
      </c>
      <c r="E16" s="982">
        <f>-DataBase!E245</f>
        <v>2791</v>
      </c>
      <c r="F16" s="982">
        <f>-DataBase!F245</f>
        <v>2838</v>
      </c>
      <c r="G16" s="982">
        <f>-DataBase!G245</f>
        <v>2838</v>
      </c>
      <c r="H16" s="982">
        <f>-DataBase!H245</f>
        <v>2842</v>
      </c>
      <c r="I16" s="982">
        <f>-DataBase!I245</f>
        <v>2843</v>
      </c>
      <c r="J16" s="982">
        <f>-DataBase!J245</f>
        <v>2862</v>
      </c>
      <c r="K16" s="982">
        <f>-DataBase!K245</f>
        <v>2874</v>
      </c>
      <c r="L16" s="982">
        <f>-DataBase!L245</f>
        <v>2969</v>
      </c>
      <c r="M16" s="982">
        <f>-DataBase!M245</f>
        <v>2969</v>
      </c>
      <c r="N16" s="982">
        <f>-DataBase!N245</f>
        <v>2969</v>
      </c>
      <c r="O16" s="129">
        <f>SUM(C16:N16)</f>
        <v>34365</v>
      </c>
      <c r="P16" s="128">
        <f t="shared" ref="P16:P26" si="1">SUM(C16:D16)</f>
        <v>5570</v>
      </c>
      <c r="Q16" s="129">
        <f>O16-P16</f>
        <v>28795</v>
      </c>
    </row>
    <row r="17" spans="1:20" x14ac:dyDescent="0.2">
      <c r="A17" s="611" t="s">
        <v>325</v>
      </c>
      <c r="C17" s="982">
        <f>-DataBase!C296</f>
        <v>96</v>
      </c>
      <c r="D17" s="982">
        <f>-DataBase!D296</f>
        <v>96</v>
      </c>
      <c r="E17" s="982">
        <f>-DataBase!E296</f>
        <v>96</v>
      </c>
      <c r="F17" s="982">
        <f>-DataBase!F296</f>
        <v>96</v>
      </c>
      <c r="G17" s="982">
        <f>-DataBase!G296</f>
        <v>96</v>
      </c>
      <c r="H17" s="982">
        <f>-DataBase!H296</f>
        <v>95</v>
      </c>
      <c r="I17" s="982">
        <f>-DataBase!I296</f>
        <v>96</v>
      </c>
      <c r="J17" s="982">
        <f>-DataBase!J296</f>
        <v>96</v>
      </c>
      <c r="K17" s="982">
        <f>-DataBase!K296</f>
        <v>96</v>
      </c>
      <c r="L17" s="982">
        <f>-DataBase!L296</f>
        <v>96</v>
      </c>
      <c r="M17" s="982">
        <f>-DataBase!M296</f>
        <v>96</v>
      </c>
      <c r="N17" s="982">
        <f>-DataBase!N296</f>
        <v>95</v>
      </c>
      <c r="O17" s="129">
        <f>SUM(C17:N17)</f>
        <v>1150</v>
      </c>
      <c r="P17" s="128">
        <f t="shared" si="1"/>
        <v>192</v>
      </c>
      <c r="Q17" s="129">
        <f>O17-P17</f>
        <v>958</v>
      </c>
    </row>
    <row r="18" spans="1:20" x14ac:dyDescent="0.2">
      <c r="A18" s="611" t="s">
        <v>1107</v>
      </c>
      <c r="C18" s="982">
        <f>-DataBase!C246</f>
        <v>0</v>
      </c>
      <c r="D18" s="982">
        <f>-DataBase!D246</f>
        <v>0</v>
      </c>
      <c r="E18" s="982">
        <f>-DataBase!E246</f>
        <v>0</v>
      </c>
      <c r="F18" s="982">
        <f>-DataBase!F246</f>
        <v>0</v>
      </c>
      <c r="G18" s="982">
        <f>-DataBase!G246</f>
        <v>0</v>
      </c>
      <c r="H18" s="982">
        <f>-DataBase!H246</f>
        <v>0</v>
      </c>
      <c r="I18" s="982">
        <f>-DataBase!I246</f>
        <v>0</v>
      </c>
      <c r="J18" s="982">
        <f>-DataBase!J246</f>
        <v>0</v>
      </c>
      <c r="K18" s="982">
        <f>-DataBase!K246</f>
        <v>0</v>
      </c>
      <c r="L18" s="982">
        <f>-DataBase!L246</f>
        <v>0</v>
      </c>
      <c r="M18" s="982">
        <f>-DataBase!M246</f>
        <v>0</v>
      </c>
      <c r="N18" s="982">
        <f>-DataBase!N246</f>
        <v>0</v>
      </c>
      <c r="O18" s="129">
        <f>SUM(C18:N18)</f>
        <v>0</v>
      </c>
      <c r="P18" s="128">
        <f t="shared" si="1"/>
        <v>0</v>
      </c>
      <c r="Q18" s="129">
        <f>O18-P18</f>
        <v>0</v>
      </c>
    </row>
    <row r="19" spans="1:20" x14ac:dyDescent="0.2">
      <c r="A19" s="131" t="s">
        <v>697</v>
      </c>
      <c r="C19" s="982">
        <f>-DataBase!C247</f>
        <v>0</v>
      </c>
      <c r="D19" s="982">
        <f>-DataBase!D247</f>
        <v>0</v>
      </c>
      <c r="E19" s="982">
        <f>-DataBase!E247</f>
        <v>0</v>
      </c>
      <c r="F19" s="982">
        <f>-DataBase!F247</f>
        <v>0</v>
      </c>
      <c r="G19" s="982">
        <f>-DataBase!G247</f>
        <v>0</v>
      </c>
      <c r="H19" s="982">
        <f>-DataBase!H247</f>
        <v>0</v>
      </c>
      <c r="I19" s="982">
        <f>-DataBase!I247</f>
        <v>0</v>
      </c>
      <c r="J19" s="982">
        <f>-DataBase!J247</f>
        <v>0</v>
      </c>
      <c r="K19" s="982">
        <f>-DataBase!K247</f>
        <v>0</v>
      </c>
      <c r="L19" s="982">
        <f>-DataBase!L247</f>
        <v>0</v>
      </c>
      <c r="M19" s="982">
        <f>-DataBase!M247</f>
        <v>0</v>
      </c>
      <c r="N19" s="982">
        <f>-DataBase!N247</f>
        <v>0</v>
      </c>
      <c r="O19" s="129">
        <f>SUM(C19:N19)</f>
        <v>0</v>
      </c>
      <c r="P19" s="128">
        <f t="shared" si="1"/>
        <v>0</v>
      </c>
      <c r="Q19" s="129">
        <f>O19-P19</f>
        <v>0</v>
      </c>
    </row>
    <row r="20" spans="1:20" x14ac:dyDescent="0.2">
      <c r="A20" s="131" t="s">
        <v>622</v>
      </c>
      <c r="C20" s="982">
        <f>-DataBase!C248</f>
        <v>600</v>
      </c>
      <c r="D20" s="982">
        <f>-DataBase!D248</f>
        <v>600</v>
      </c>
      <c r="E20" s="982">
        <f>-DataBase!E248</f>
        <v>600</v>
      </c>
      <c r="F20" s="982">
        <f>-DataBase!F248</f>
        <v>600</v>
      </c>
      <c r="G20" s="982">
        <f>-DataBase!G248</f>
        <v>600</v>
      </c>
      <c r="H20" s="982">
        <f>-DataBase!H248</f>
        <v>600</v>
      </c>
      <c r="I20" s="982">
        <f>-DataBase!I248</f>
        <v>600</v>
      </c>
      <c r="J20" s="982">
        <f>-DataBase!J248</f>
        <v>600</v>
      </c>
      <c r="K20" s="982">
        <f>-DataBase!K248</f>
        <v>600</v>
      </c>
      <c r="L20" s="982">
        <f>-DataBase!L248</f>
        <v>600</v>
      </c>
      <c r="M20" s="982">
        <f>-DataBase!M248</f>
        <v>600</v>
      </c>
      <c r="N20" s="982">
        <f>-DataBase!N248</f>
        <v>600</v>
      </c>
      <c r="O20" s="129">
        <f t="shared" ref="O20:O26" si="2">SUM(C20:N20)</f>
        <v>7200</v>
      </c>
      <c r="P20" s="128">
        <f t="shared" si="1"/>
        <v>1200</v>
      </c>
      <c r="Q20" s="129">
        <f t="shared" ref="Q20:Q26" si="3">O20-P20</f>
        <v>6000</v>
      </c>
    </row>
    <row r="21" spans="1:20" x14ac:dyDescent="0.2">
      <c r="A21" s="131" t="s">
        <v>343</v>
      </c>
      <c r="C21" s="982">
        <f>-DataBase!C249</f>
        <v>28</v>
      </c>
      <c r="D21" s="982">
        <f>-DataBase!D249</f>
        <v>28</v>
      </c>
      <c r="E21" s="982">
        <f>-DataBase!E249</f>
        <v>28</v>
      </c>
      <c r="F21" s="982">
        <f>-DataBase!F249</f>
        <v>28</v>
      </c>
      <c r="G21" s="982">
        <f>-DataBase!G249</f>
        <v>28</v>
      </c>
      <c r="H21" s="982">
        <f>-DataBase!H249</f>
        <v>28</v>
      </c>
      <c r="I21" s="982">
        <f>-DataBase!I249</f>
        <v>28</v>
      </c>
      <c r="J21" s="982">
        <f>-DataBase!J249</f>
        <v>28</v>
      </c>
      <c r="K21" s="982">
        <f>-DataBase!K249</f>
        <v>28</v>
      </c>
      <c r="L21" s="982">
        <f>-DataBase!L249</f>
        <v>28</v>
      </c>
      <c r="M21" s="982">
        <f>-DataBase!M249</f>
        <v>28</v>
      </c>
      <c r="N21" s="982">
        <f>-DataBase!N249</f>
        <v>28</v>
      </c>
      <c r="O21" s="129">
        <f t="shared" si="2"/>
        <v>336</v>
      </c>
      <c r="P21" s="128">
        <f t="shared" si="1"/>
        <v>56</v>
      </c>
      <c r="Q21" s="129">
        <f t="shared" si="3"/>
        <v>280</v>
      </c>
    </row>
    <row r="22" spans="1:20" x14ac:dyDescent="0.2">
      <c r="A22" s="131" t="s">
        <v>630</v>
      </c>
      <c r="C22" s="982">
        <f>-DataBase!C250</f>
        <v>492</v>
      </c>
      <c r="D22" s="982">
        <f>-DataBase!D250</f>
        <v>492</v>
      </c>
      <c r="E22" s="982">
        <f>-DataBase!E250</f>
        <v>492</v>
      </c>
      <c r="F22" s="982">
        <f>-DataBase!F250</f>
        <v>492</v>
      </c>
      <c r="G22" s="982">
        <f>-DataBase!G250</f>
        <v>492</v>
      </c>
      <c r="H22" s="982">
        <f>-DataBase!H250</f>
        <v>492</v>
      </c>
      <c r="I22" s="982">
        <f>-DataBase!I250</f>
        <v>492</v>
      </c>
      <c r="J22" s="982">
        <f>-DataBase!J250</f>
        <v>492</v>
      </c>
      <c r="K22" s="982">
        <f>-DataBase!K250</f>
        <v>492</v>
      </c>
      <c r="L22" s="982">
        <f>-DataBase!L250</f>
        <v>492</v>
      </c>
      <c r="M22" s="982">
        <f>-DataBase!M250</f>
        <v>492</v>
      </c>
      <c r="N22" s="982">
        <f>-DataBase!N250</f>
        <v>492</v>
      </c>
      <c r="O22" s="129">
        <f t="shared" si="2"/>
        <v>5904</v>
      </c>
      <c r="P22" s="128">
        <f t="shared" si="1"/>
        <v>984</v>
      </c>
      <c r="Q22" s="129">
        <f t="shared" si="3"/>
        <v>4920</v>
      </c>
    </row>
    <row r="23" spans="1:20" x14ac:dyDescent="0.2">
      <c r="A23" s="131" t="s">
        <v>623</v>
      </c>
      <c r="B23" s="844" t="s">
        <v>751</v>
      </c>
      <c r="C23" s="982">
        <f>-DataBase!C251</f>
        <v>27</v>
      </c>
      <c r="D23" s="982">
        <f>-DataBase!D251</f>
        <v>27</v>
      </c>
      <c r="E23" s="982">
        <f>-DataBase!E251</f>
        <v>27</v>
      </c>
      <c r="F23" s="982">
        <f>-DataBase!F251</f>
        <v>27</v>
      </c>
      <c r="G23" s="982">
        <f>-DataBase!G251</f>
        <v>27</v>
      </c>
      <c r="H23" s="982">
        <f>-DataBase!H251</f>
        <v>27</v>
      </c>
      <c r="I23" s="982">
        <f>-DataBase!I251</f>
        <v>27</v>
      </c>
      <c r="J23" s="982">
        <f>-DataBase!J251</f>
        <v>27</v>
      </c>
      <c r="K23" s="982">
        <f>-DataBase!K251</f>
        <v>27</v>
      </c>
      <c r="L23" s="982">
        <f>-DataBase!L251</f>
        <v>27</v>
      </c>
      <c r="M23" s="982">
        <f>-DataBase!M251</f>
        <v>27</v>
      </c>
      <c r="N23" s="982">
        <f>-DataBase!N251</f>
        <v>27</v>
      </c>
      <c r="O23" s="129">
        <f t="shared" si="2"/>
        <v>324</v>
      </c>
      <c r="P23" s="128">
        <f t="shared" si="1"/>
        <v>54</v>
      </c>
      <c r="Q23" s="129">
        <f t="shared" si="3"/>
        <v>270</v>
      </c>
    </row>
    <row r="24" spans="1:20" x14ac:dyDescent="0.2">
      <c r="A24" s="127" t="s">
        <v>680</v>
      </c>
      <c r="C24" s="982">
        <f>-DataBase!C252</f>
        <v>26</v>
      </c>
      <c r="D24" s="982">
        <f>-DataBase!D252</f>
        <v>26</v>
      </c>
      <c r="E24" s="982">
        <f>-DataBase!E252</f>
        <v>26</v>
      </c>
      <c r="F24" s="982">
        <f>-DataBase!F252</f>
        <v>26</v>
      </c>
      <c r="G24" s="982">
        <f>-DataBase!G252</f>
        <v>26</v>
      </c>
      <c r="H24" s="982">
        <f>-DataBase!H252</f>
        <v>26</v>
      </c>
      <c r="I24" s="982">
        <f>-DataBase!I252</f>
        <v>26</v>
      </c>
      <c r="J24" s="982">
        <f>-DataBase!J252</f>
        <v>26</v>
      </c>
      <c r="K24" s="982">
        <f>-DataBase!K252</f>
        <v>26</v>
      </c>
      <c r="L24" s="982">
        <f>-DataBase!L252</f>
        <v>26</v>
      </c>
      <c r="M24" s="982">
        <f>-DataBase!M252</f>
        <v>26</v>
      </c>
      <c r="N24" s="982">
        <f>-DataBase!N252</f>
        <v>26</v>
      </c>
      <c r="O24" s="129">
        <f t="shared" si="2"/>
        <v>312</v>
      </c>
      <c r="P24" s="128">
        <f t="shared" si="1"/>
        <v>52</v>
      </c>
      <c r="Q24" s="129">
        <f t="shared" si="3"/>
        <v>260</v>
      </c>
    </row>
    <row r="25" spans="1:20" x14ac:dyDescent="0.2">
      <c r="A25" s="131" t="s">
        <v>624</v>
      </c>
      <c r="C25" s="982">
        <f>-DataBase!C253</f>
        <v>2</v>
      </c>
      <c r="D25" s="982">
        <f>-DataBase!D253</f>
        <v>2</v>
      </c>
      <c r="E25" s="982">
        <f>-DataBase!E253</f>
        <v>2</v>
      </c>
      <c r="F25" s="982">
        <f>-DataBase!F253</f>
        <v>2</v>
      </c>
      <c r="G25" s="982">
        <f>-DataBase!G253</f>
        <v>2</v>
      </c>
      <c r="H25" s="982">
        <f>-DataBase!H253</f>
        <v>2</v>
      </c>
      <c r="I25" s="982">
        <f>-DataBase!I253</f>
        <v>2</v>
      </c>
      <c r="J25" s="982">
        <f>-DataBase!J253</f>
        <v>2</v>
      </c>
      <c r="K25" s="982">
        <f>-DataBase!K253</f>
        <v>2</v>
      </c>
      <c r="L25" s="982">
        <f>-DataBase!L253</f>
        <v>2</v>
      </c>
      <c r="M25" s="982">
        <f>-DataBase!M253</f>
        <v>2</v>
      </c>
      <c r="N25" s="982">
        <f>-DataBase!N253</f>
        <v>2</v>
      </c>
      <c r="O25" s="129">
        <f t="shared" si="2"/>
        <v>24</v>
      </c>
      <c r="P25" s="128">
        <f t="shared" si="1"/>
        <v>4</v>
      </c>
      <c r="Q25" s="129">
        <f t="shared" si="3"/>
        <v>20</v>
      </c>
    </row>
    <row r="26" spans="1:20" x14ac:dyDescent="0.2">
      <c r="A26" s="131" t="s">
        <v>1187</v>
      </c>
      <c r="C26" s="270">
        <v>0</v>
      </c>
      <c r="D26" s="270">
        <v>0</v>
      </c>
      <c r="E26" s="270">
        <v>0</v>
      </c>
      <c r="F26" s="270">
        <v>0</v>
      </c>
      <c r="G26" s="270">
        <v>0</v>
      </c>
      <c r="H26" s="270">
        <v>0</v>
      </c>
      <c r="I26" s="270">
        <v>0</v>
      </c>
      <c r="J26" s="270">
        <v>0</v>
      </c>
      <c r="K26" s="270">
        <v>0</v>
      </c>
      <c r="L26" s="270">
        <v>0</v>
      </c>
      <c r="M26" s="270">
        <v>0</v>
      </c>
      <c r="N26" s="270">
        <v>0</v>
      </c>
      <c r="O26" s="130">
        <f t="shared" si="2"/>
        <v>0</v>
      </c>
      <c r="P26" s="270">
        <f t="shared" si="1"/>
        <v>0</v>
      </c>
      <c r="Q26" s="130">
        <f t="shared" si="3"/>
        <v>0</v>
      </c>
    </row>
    <row r="27" spans="1:20" ht="3.95" customHeight="1" x14ac:dyDescent="0.2">
      <c r="C27" s="128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36"/>
      <c r="P27" s="128"/>
      <c r="Q27" s="136"/>
      <c r="R27" s="133"/>
      <c r="S27" s="133"/>
      <c r="T27" s="133"/>
    </row>
    <row r="28" spans="1:20" x14ac:dyDescent="0.2">
      <c r="A28" s="832" t="s">
        <v>625</v>
      </c>
      <c r="B28" s="811"/>
      <c r="C28" s="132">
        <f t="shared" ref="C28:Q28" si="4">SUM(C16:C26)</f>
        <v>4056</v>
      </c>
      <c r="D28" s="132">
        <f t="shared" si="4"/>
        <v>4056</v>
      </c>
      <c r="E28" s="132">
        <f t="shared" si="4"/>
        <v>4062</v>
      </c>
      <c r="F28" s="132">
        <f t="shared" si="4"/>
        <v>4109</v>
      </c>
      <c r="G28" s="132">
        <f t="shared" si="4"/>
        <v>4109</v>
      </c>
      <c r="H28" s="132">
        <f t="shared" si="4"/>
        <v>4112</v>
      </c>
      <c r="I28" s="132">
        <f t="shared" si="4"/>
        <v>4114</v>
      </c>
      <c r="J28" s="132">
        <f t="shared" si="4"/>
        <v>4133</v>
      </c>
      <c r="K28" s="132">
        <f t="shared" si="4"/>
        <v>4145</v>
      </c>
      <c r="L28" s="132">
        <f t="shared" si="4"/>
        <v>4240</v>
      </c>
      <c r="M28" s="132">
        <f t="shared" si="4"/>
        <v>4240</v>
      </c>
      <c r="N28" s="132">
        <f t="shared" si="4"/>
        <v>4239</v>
      </c>
      <c r="O28" s="132">
        <f t="shared" si="4"/>
        <v>49615</v>
      </c>
      <c r="P28" s="132">
        <f t="shared" si="4"/>
        <v>8112</v>
      </c>
      <c r="Q28" s="132">
        <f t="shared" si="4"/>
        <v>41503</v>
      </c>
      <c r="R28" s="125"/>
      <c r="S28" s="125"/>
    </row>
    <row r="29" spans="1:20" x14ac:dyDescent="0.2">
      <c r="A29" s="393"/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36"/>
      <c r="P29" s="128"/>
      <c r="Q29" s="136"/>
    </row>
    <row r="30" spans="1:20" x14ac:dyDescent="0.2">
      <c r="A30" s="394" t="s">
        <v>626</v>
      </c>
      <c r="C30" s="136"/>
      <c r="D30" s="136"/>
      <c r="E30" s="136"/>
      <c r="F30" s="136"/>
      <c r="G30" s="129"/>
      <c r="H30" s="129"/>
      <c r="I30" s="129"/>
      <c r="J30" s="129"/>
      <c r="K30" s="129"/>
      <c r="L30" s="129"/>
      <c r="M30" s="129"/>
      <c r="N30" s="129"/>
      <c r="O30" s="129"/>
      <c r="P30" s="128"/>
      <c r="Q30" s="129"/>
    </row>
    <row r="31" spans="1:20" x14ac:dyDescent="0.2">
      <c r="A31" s="131" t="s">
        <v>628</v>
      </c>
      <c r="C31" s="683">
        <f>-DataBase!C258-SUM(C32:C34)</f>
        <v>2284</v>
      </c>
      <c r="D31" s="683">
        <f>-DataBase!D258-SUM(D32:D34)</f>
        <v>2284</v>
      </c>
      <c r="E31" s="683">
        <f>-DataBase!E258-SUM(E32:E34)</f>
        <v>2284</v>
      </c>
      <c r="F31" s="683">
        <f>-DataBase!F258-SUM(F32:F34)</f>
        <v>2284</v>
      </c>
      <c r="G31" s="683">
        <f>-DataBase!G258-SUM(G32:G34)</f>
        <v>2284</v>
      </c>
      <c r="H31" s="683">
        <f>-DataBase!H258-SUM(H32:H34)</f>
        <v>2284</v>
      </c>
      <c r="I31" s="683">
        <f>-DataBase!I258-SUM(I32:I34)</f>
        <v>2284</v>
      </c>
      <c r="J31" s="683">
        <f>-DataBase!J258-SUM(J32:J34)</f>
        <v>2284</v>
      </c>
      <c r="K31" s="683">
        <f>-DataBase!K258-SUM(K32:K34)</f>
        <v>2284</v>
      </c>
      <c r="L31" s="683">
        <f>-DataBase!L258-SUM(L32:L34)</f>
        <v>2284</v>
      </c>
      <c r="M31" s="683">
        <f>-DataBase!M258-SUM(M32:M34)</f>
        <v>2284</v>
      </c>
      <c r="N31" s="683">
        <f>-DataBase!N258-SUM(N32:N34)</f>
        <v>2284</v>
      </c>
      <c r="O31" s="129">
        <f>SUM(C31:N31)</f>
        <v>27408</v>
      </c>
      <c r="P31" s="128">
        <f t="shared" ref="P31:P48" si="5">SUM(C31:D31)</f>
        <v>4568</v>
      </c>
      <c r="Q31" s="129">
        <f>O31-P31</f>
        <v>22840</v>
      </c>
    </row>
    <row r="32" spans="1:20" x14ac:dyDescent="0.2">
      <c r="A32" s="131" t="s">
        <v>779</v>
      </c>
      <c r="C32" s="683">
        <f>18-18</f>
        <v>0</v>
      </c>
      <c r="D32" s="683">
        <f t="shared" ref="D32:N32" si="6">18-18</f>
        <v>0</v>
      </c>
      <c r="E32" s="683">
        <f t="shared" si="6"/>
        <v>0</v>
      </c>
      <c r="F32" s="683">
        <f t="shared" si="6"/>
        <v>0</v>
      </c>
      <c r="G32" s="683">
        <f t="shared" si="6"/>
        <v>0</v>
      </c>
      <c r="H32" s="683">
        <f t="shared" si="6"/>
        <v>0</v>
      </c>
      <c r="I32" s="683">
        <f t="shared" si="6"/>
        <v>0</v>
      </c>
      <c r="J32" s="683">
        <f t="shared" si="6"/>
        <v>0</v>
      </c>
      <c r="K32" s="683">
        <f t="shared" si="6"/>
        <v>0</v>
      </c>
      <c r="L32" s="683">
        <f t="shared" si="6"/>
        <v>0</v>
      </c>
      <c r="M32" s="683">
        <f t="shared" si="6"/>
        <v>0</v>
      </c>
      <c r="N32" s="683">
        <f t="shared" si="6"/>
        <v>0</v>
      </c>
      <c r="O32" s="129">
        <f>SUM(C32:N32)</f>
        <v>0</v>
      </c>
      <c r="P32" s="128">
        <f t="shared" si="5"/>
        <v>0</v>
      </c>
      <c r="Q32" s="129">
        <f>O32-P32</f>
        <v>0</v>
      </c>
    </row>
    <row r="33" spans="1:19" x14ac:dyDescent="0.2">
      <c r="A33" s="131" t="s">
        <v>1110</v>
      </c>
      <c r="B33" s="844" t="s">
        <v>1205</v>
      </c>
      <c r="C33" s="128">
        <v>0</v>
      </c>
      <c r="D33" s="128">
        <v>0</v>
      </c>
      <c r="E33" s="128">
        <v>0</v>
      </c>
      <c r="F33" s="128">
        <v>0</v>
      </c>
      <c r="G33" s="128">
        <v>0</v>
      </c>
      <c r="H33" s="128">
        <v>0</v>
      </c>
      <c r="I33" s="128">
        <v>0</v>
      </c>
      <c r="J33" s="128">
        <v>0</v>
      </c>
      <c r="K33" s="128">
        <v>0</v>
      </c>
      <c r="L33" s="128">
        <v>0</v>
      </c>
      <c r="M33" s="128">
        <v>0</v>
      </c>
      <c r="N33" s="128">
        <v>0</v>
      </c>
      <c r="O33" s="129">
        <f>SUM(C33:N33)</f>
        <v>0</v>
      </c>
      <c r="P33" s="128">
        <f t="shared" si="5"/>
        <v>0</v>
      </c>
      <c r="Q33" s="129">
        <f>O33-P33</f>
        <v>0</v>
      </c>
    </row>
    <row r="34" spans="1:19" x14ac:dyDescent="0.2">
      <c r="A34" s="131" t="s">
        <v>1110</v>
      </c>
      <c r="B34" s="844" t="s">
        <v>1205</v>
      </c>
      <c r="C34" s="128">
        <v>0</v>
      </c>
      <c r="D34" s="128">
        <v>0</v>
      </c>
      <c r="E34" s="128">
        <v>0</v>
      </c>
      <c r="F34" s="128">
        <v>0</v>
      </c>
      <c r="G34" s="128">
        <v>0</v>
      </c>
      <c r="H34" s="128">
        <v>0</v>
      </c>
      <c r="I34" s="128">
        <v>0</v>
      </c>
      <c r="J34" s="128">
        <v>0</v>
      </c>
      <c r="K34" s="128">
        <v>0</v>
      </c>
      <c r="L34" s="128">
        <v>0</v>
      </c>
      <c r="M34" s="128">
        <v>0</v>
      </c>
      <c r="N34" s="128">
        <v>0</v>
      </c>
      <c r="O34" s="129">
        <f>SUM(C34:N34)</f>
        <v>0</v>
      </c>
      <c r="P34" s="128">
        <f t="shared" si="5"/>
        <v>0</v>
      </c>
      <c r="Q34" s="129">
        <f>O34-P34</f>
        <v>0</v>
      </c>
      <c r="R34" s="129"/>
      <c r="S34" s="129"/>
    </row>
    <row r="35" spans="1:19" x14ac:dyDescent="0.2">
      <c r="A35" s="131" t="s">
        <v>371</v>
      </c>
    </row>
    <row r="36" spans="1:19" x14ac:dyDescent="0.2">
      <c r="A36" s="611" t="s">
        <v>372</v>
      </c>
      <c r="C36" s="982">
        <f>-DataBase!C128</f>
        <v>38</v>
      </c>
      <c r="D36" s="982">
        <f>-DataBase!D128</f>
        <v>119</v>
      </c>
      <c r="E36" s="982">
        <f>-DataBase!E128</f>
        <v>38</v>
      </c>
      <c r="F36" s="982">
        <f>-DataBase!F128</f>
        <v>38</v>
      </c>
      <c r="G36" s="982">
        <f>-DataBase!G128</f>
        <v>37</v>
      </c>
      <c r="H36" s="982">
        <f>-DataBase!H128</f>
        <v>37</v>
      </c>
      <c r="I36" s="982">
        <f>-DataBase!I128</f>
        <v>37</v>
      </c>
      <c r="J36" s="982">
        <f>-DataBase!J128</f>
        <v>36</v>
      </c>
      <c r="K36" s="982">
        <f>-DataBase!K128</f>
        <v>36</v>
      </c>
      <c r="L36" s="982">
        <f>-DataBase!L128</f>
        <v>36</v>
      </c>
      <c r="M36" s="982">
        <f>-DataBase!M128</f>
        <v>37</v>
      </c>
      <c r="N36" s="982">
        <f>-DataBase!N128</f>
        <v>37</v>
      </c>
      <c r="O36" s="129">
        <f>SUM(C36:N36)</f>
        <v>526</v>
      </c>
      <c r="P36" s="128">
        <f t="shared" si="5"/>
        <v>157</v>
      </c>
      <c r="Q36" s="129">
        <f>O36-P36</f>
        <v>369</v>
      </c>
    </row>
    <row r="37" spans="1:19" x14ac:dyDescent="0.2">
      <c r="A37" s="611" t="s">
        <v>373</v>
      </c>
      <c r="C37" s="982">
        <f>-DataBase!C176</f>
        <v>32</v>
      </c>
      <c r="D37" s="982">
        <f>-DataBase!D176</f>
        <v>68</v>
      </c>
      <c r="E37" s="982">
        <f>-DataBase!E176</f>
        <v>31</v>
      </c>
      <c r="F37" s="982">
        <f>-DataBase!F176</f>
        <v>31</v>
      </c>
      <c r="G37" s="982">
        <f>-DataBase!G176</f>
        <v>31</v>
      </c>
      <c r="H37" s="982">
        <f>-DataBase!H176</f>
        <v>31</v>
      </c>
      <c r="I37" s="982">
        <f>-DataBase!I176</f>
        <v>32</v>
      </c>
      <c r="J37" s="982">
        <f>-DataBase!J176</f>
        <v>31</v>
      </c>
      <c r="K37" s="982">
        <f>-DataBase!K176</f>
        <v>31</v>
      </c>
      <c r="L37" s="982">
        <f>-DataBase!L176</f>
        <v>31</v>
      </c>
      <c r="M37" s="982">
        <f>-DataBase!M176</f>
        <v>31</v>
      </c>
      <c r="N37" s="982">
        <f>-DataBase!N176</f>
        <v>31</v>
      </c>
      <c r="O37" s="129">
        <f t="shared" ref="O37:O48" si="7">SUM(C37:N37)</f>
        <v>411</v>
      </c>
      <c r="P37" s="128">
        <f t="shared" si="5"/>
        <v>100</v>
      </c>
      <c r="Q37" s="129">
        <f t="shared" ref="Q37:Q48" si="8">O37-P37</f>
        <v>311</v>
      </c>
    </row>
    <row r="38" spans="1:19" x14ac:dyDescent="0.2">
      <c r="A38" s="611" t="s">
        <v>374</v>
      </c>
      <c r="C38" s="982">
        <f>-DataBase!C204</f>
        <v>300</v>
      </c>
      <c r="D38" s="982">
        <f>-DataBase!D204</f>
        <v>400</v>
      </c>
      <c r="E38" s="982">
        <f>-DataBase!E204</f>
        <v>300</v>
      </c>
      <c r="F38" s="982">
        <f>-DataBase!F204</f>
        <v>300</v>
      </c>
      <c r="G38" s="982">
        <f>-DataBase!G204</f>
        <v>275</v>
      </c>
      <c r="H38" s="982">
        <f>-DataBase!H204</f>
        <v>275</v>
      </c>
      <c r="I38" s="982">
        <f>-DataBase!I204</f>
        <v>275</v>
      </c>
      <c r="J38" s="982">
        <f>-DataBase!J204</f>
        <v>275</v>
      </c>
      <c r="K38" s="982">
        <f>-DataBase!K204</f>
        <v>275</v>
      </c>
      <c r="L38" s="982">
        <f>-DataBase!L204</f>
        <v>275</v>
      </c>
      <c r="M38" s="982">
        <f>-DataBase!M204</f>
        <v>275</v>
      </c>
      <c r="N38" s="982">
        <f>-DataBase!N204</f>
        <v>275</v>
      </c>
      <c r="O38" s="129">
        <f t="shared" si="7"/>
        <v>3500</v>
      </c>
      <c r="P38" s="128">
        <f t="shared" si="5"/>
        <v>700</v>
      </c>
      <c r="Q38" s="129">
        <f t="shared" si="8"/>
        <v>2800</v>
      </c>
    </row>
    <row r="39" spans="1:19" x14ac:dyDescent="0.2">
      <c r="A39" s="611" t="s">
        <v>375</v>
      </c>
      <c r="C39" s="683">
        <f>-DataBase!C262-C40</f>
        <v>23</v>
      </c>
      <c r="D39" s="683">
        <f>-DataBase!D262-D40</f>
        <v>39</v>
      </c>
      <c r="E39" s="683">
        <f>-DataBase!E262-E40</f>
        <v>24</v>
      </c>
      <c r="F39" s="683">
        <f>-DataBase!F262-F40</f>
        <v>24</v>
      </c>
      <c r="G39" s="683">
        <f>-DataBase!G262-G40</f>
        <v>25</v>
      </c>
      <c r="H39" s="683">
        <f>-DataBase!H262-H40</f>
        <v>24</v>
      </c>
      <c r="I39" s="683">
        <f>-DataBase!I262-I40</f>
        <v>24</v>
      </c>
      <c r="J39" s="683">
        <f>-DataBase!J262-J40</f>
        <v>25</v>
      </c>
      <c r="K39" s="683">
        <f>-DataBase!K262-K40</f>
        <v>24</v>
      </c>
      <c r="L39" s="683">
        <f>-DataBase!L262-L40</f>
        <v>24</v>
      </c>
      <c r="M39" s="683">
        <f>-DataBase!M262-M40</f>
        <v>25</v>
      </c>
      <c r="N39" s="683">
        <f>-DataBase!N262-N40</f>
        <v>24</v>
      </c>
      <c r="O39" s="129">
        <f t="shared" si="7"/>
        <v>305</v>
      </c>
      <c r="P39" s="128">
        <f t="shared" si="5"/>
        <v>62</v>
      </c>
      <c r="Q39" s="129">
        <f t="shared" si="8"/>
        <v>243</v>
      </c>
    </row>
    <row r="40" spans="1:19" x14ac:dyDescent="0.2">
      <c r="A40" s="611" t="s">
        <v>376</v>
      </c>
      <c r="B40" s="844" t="s">
        <v>1205</v>
      </c>
      <c r="C40" s="128">
        <v>0</v>
      </c>
      <c r="D40" s="683">
        <f>250-250</f>
        <v>0</v>
      </c>
      <c r="E40" s="128">
        <f>-100+100-100+100</f>
        <v>0</v>
      </c>
      <c r="F40" s="128">
        <v>0</v>
      </c>
      <c r="G40" s="128">
        <v>0</v>
      </c>
      <c r="H40" s="128">
        <v>0</v>
      </c>
      <c r="I40" s="128">
        <v>0</v>
      </c>
      <c r="J40" s="128">
        <v>0</v>
      </c>
      <c r="K40" s="128">
        <v>0</v>
      </c>
      <c r="L40" s="128">
        <v>0</v>
      </c>
      <c r="M40" s="128">
        <v>0</v>
      </c>
      <c r="N40" s="128">
        <v>0</v>
      </c>
      <c r="O40" s="129">
        <f>SUM(C40:N40)</f>
        <v>0</v>
      </c>
      <c r="P40" s="128">
        <f t="shared" si="5"/>
        <v>0</v>
      </c>
      <c r="Q40" s="129">
        <f>O40-P40</f>
        <v>0</v>
      </c>
    </row>
    <row r="41" spans="1:19" x14ac:dyDescent="0.2">
      <c r="A41" s="857" t="s">
        <v>399</v>
      </c>
      <c r="B41" s="838"/>
      <c r="C41" s="982">
        <f>-DataBase!C261</f>
        <v>0</v>
      </c>
      <c r="D41" s="982">
        <f>-DataBase!D261</f>
        <v>0</v>
      </c>
      <c r="E41" s="982">
        <f>-DataBase!E261</f>
        <v>0</v>
      </c>
      <c r="F41" s="982">
        <f>-DataBase!F261</f>
        <v>0</v>
      </c>
      <c r="G41" s="982">
        <f>-DataBase!G261</f>
        <v>0</v>
      </c>
      <c r="H41" s="982">
        <f>-DataBase!H261</f>
        <v>0</v>
      </c>
      <c r="I41" s="982">
        <f>-DataBase!I261</f>
        <v>0</v>
      </c>
      <c r="J41" s="982">
        <f>-DataBase!J261</f>
        <v>0</v>
      </c>
      <c r="K41" s="982">
        <f>-DataBase!K261</f>
        <v>0</v>
      </c>
      <c r="L41" s="982">
        <f>-DataBase!L261</f>
        <v>0</v>
      </c>
      <c r="M41" s="982">
        <f>-DataBase!M261</f>
        <v>0</v>
      </c>
      <c r="N41" s="982">
        <f>-DataBase!N261</f>
        <v>0</v>
      </c>
      <c r="O41" s="751">
        <f>SUM(C41:N41)</f>
        <v>0</v>
      </c>
      <c r="P41" s="128">
        <f t="shared" si="5"/>
        <v>0</v>
      </c>
      <c r="Q41" s="751">
        <f>O41-P41</f>
        <v>0</v>
      </c>
    </row>
    <row r="42" spans="1:19" x14ac:dyDescent="0.2">
      <c r="A42" s="611" t="s">
        <v>377</v>
      </c>
      <c r="C42" s="982">
        <f>-DataBase!C313</f>
        <v>53</v>
      </c>
      <c r="D42" s="982">
        <f>-DataBase!D313</f>
        <v>127</v>
      </c>
      <c r="E42" s="982">
        <f>-DataBase!E313</f>
        <v>53</v>
      </c>
      <c r="F42" s="982">
        <f>-DataBase!F313</f>
        <v>53</v>
      </c>
      <c r="G42" s="982">
        <f>-DataBase!G313</f>
        <v>53</v>
      </c>
      <c r="H42" s="982">
        <f>-DataBase!H313</f>
        <v>54</v>
      </c>
      <c r="I42" s="982">
        <f>-DataBase!I313</f>
        <v>53</v>
      </c>
      <c r="J42" s="982">
        <f>-DataBase!J313</f>
        <v>53</v>
      </c>
      <c r="K42" s="982">
        <f>-DataBase!K313</f>
        <v>53</v>
      </c>
      <c r="L42" s="982">
        <f>-DataBase!L313</f>
        <v>53</v>
      </c>
      <c r="M42" s="982">
        <f>-DataBase!M313</f>
        <v>53</v>
      </c>
      <c r="N42" s="982">
        <f>-DataBase!N313</f>
        <v>54</v>
      </c>
      <c r="O42" s="129">
        <f t="shared" si="7"/>
        <v>712</v>
      </c>
      <c r="P42" s="128">
        <f t="shared" si="5"/>
        <v>180</v>
      </c>
      <c r="Q42" s="129">
        <f t="shared" si="8"/>
        <v>532</v>
      </c>
    </row>
    <row r="43" spans="1:19" x14ac:dyDescent="0.2">
      <c r="A43" s="611" t="s">
        <v>378</v>
      </c>
      <c r="C43" s="982">
        <f>-DataBase!C328</f>
        <v>0</v>
      </c>
      <c r="D43" s="982">
        <f>-DataBase!D328</f>
        <v>0</v>
      </c>
      <c r="E43" s="982">
        <f>-DataBase!E328</f>
        <v>0</v>
      </c>
      <c r="F43" s="982">
        <f>-DataBase!F328</f>
        <v>0</v>
      </c>
      <c r="G43" s="982">
        <f>-DataBase!G328</f>
        <v>0</v>
      </c>
      <c r="H43" s="982">
        <f>-DataBase!H328</f>
        <v>0</v>
      </c>
      <c r="I43" s="982">
        <f>-DataBase!I328</f>
        <v>0</v>
      </c>
      <c r="J43" s="982">
        <f>-DataBase!J328</f>
        <v>0</v>
      </c>
      <c r="K43" s="982">
        <f>-DataBase!K328</f>
        <v>0</v>
      </c>
      <c r="L43" s="982">
        <f>-DataBase!L328</f>
        <v>0</v>
      </c>
      <c r="M43" s="982">
        <f>-DataBase!M328</f>
        <v>0</v>
      </c>
      <c r="N43" s="982">
        <f>-DataBase!N328</f>
        <v>0</v>
      </c>
      <c r="O43" s="129">
        <f t="shared" si="7"/>
        <v>0</v>
      </c>
      <c r="P43" s="128">
        <f t="shared" si="5"/>
        <v>0</v>
      </c>
      <c r="Q43" s="129">
        <f t="shared" si="8"/>
        <v>0</v>
      </c>
    </row>
    <row r="44" spans="1:19" x14ac:dyDescent="0.2">
      <c r="A44" s="611" t="s">
        <v>379</v>
      </c>
      <c r="C44" s="982">
        <f>-DataBase!C342</f>
        <v>0</v>
      </c>
      <c r="D44" s="982">
        <f>-DataBase!D342</f>
        <v>0</v>
      </c>
      <c r="E44" s="982">
        <f>-DataBase!E342</f>
        <v>0</v>
      </c>
      <c r="F44" s="982">
        <f>-DataBase!F342</f>
        <v>0</v>
      </c>
      <c r="G44" s="982">
        <f>-DataBase!G342</f>
        <v>0</v>
      </c>
      <c r="H44" s="982">
        <f>-DataBase!H342</f>
        <v>0</v>
      </c>
      <c r="I44" s="982">
        <f>-DataBase!I342</f>
        <v>0</v>
      </c>
      <c r="J44" s="982">
        <f>-DataBase!J342</f>
        <v>0</v>
      </c>
      <c r="K44" s="982">
        <f>-DataBase!K342</f>
        <v>0</v>
      </c>
      <c r="L44" s="982">
        <f>-DataBase!L342</f>
        <v>0</v>
      </c>
      <c r="M44" s="982">
        <f>-DataBase!M342</f>
        <v>0</v>
      </c>
      <c r="N44" s="982">
        <f>-DataBase!N342</f>
        <v>0</v>
      </c>
      <c r="O44" s="129">
        <f t="shared" si="7"/>
        <v>0</v>
      </c>
      <c r="P44" s="128">
        <f t="shared" si="5"/>
        <v>0</v>
      </c>
      <c r="Q44" s="129">
        <f t="shared" si="8"/>
        <v>0</v>
      </c>
    </row>
    <row r="45" spans="1:19" x14ac:dyDescent="0.2">
      <c r="A45" s="611" t="s">
        <v>380</v>
      </c>
      <c r="C45" s="982">
        <f>-DataBase!C359</f>
        <v>0</v>
      </c>
      <c r="D45" s="982">
        <f>-DataBase!D359</f>
        <v>0</v>
      </c>
      <c r="E45" s="982">
        <f>-DataBase!E359</f>
        <v>0</v>
      </c>
      <c r="F45" s="982">
        <f>-DataBase!F359</f>
        <v>0</v>
      </c>
      <c r="G45" s="982">
        <f>-DataBase!G359</f>
        <v>0</v>
      </c>
      <c r="H45" s="982">
        <f>-DataBase!H359</f>
        <v>0</v>
      </c>
      <c r="I45" s="982">
        <f>-DataBase!I359</f>
        <v>0</v>
      </c>
      <c r="J45" s="982">
        <f>-DataBase!J359</f>
        <v>0</v>
      </c>
      <c r="K45" s="982">
        <f>-DataBase!K359</f>
        <v>0</v>
      </c>
      <c r="L45" s="982">
        <f>-DataBase!L359</f>
        <v>0</v>
      </c>
      <c r="M45" s="982">
        <f>-DataBase!M359</f>
        <v>0</v>
      </c>
      <c r="N45" s="982">
        <f>-DataBase!N359</f>
        <v>0</v>
      </c>
      <c r="O45" s="129">
        <f t="shared" si="7"/>
        <v>0</v>
      </c>
      <c r="P45" s="128">
        <f t="shared" si="5"/>
        <v>0</v>
      </c>
      <c r="Q45" s="129">
        <f t="shared" si="8"/>
        <v>0</v>
      </c>
    </row>
    <row r="46" spans="1:19" x14ac:dyDescent="0.2">
      <c r="A46" s="131" t="s">
        <v>629</v>
      </c>
      <c r="C46" s="982">
        <f>-DataBase!C259</f>
        <v>8</v>
      </c>
      <c r="D46" s="982">
        <f>-DataBase!D259</f>
        <v>8</v>
      </c>
      <c r="E46" s="982">
        <f>-DataBase!E259</f>
        <v>8</v>
      </c>
      <c r="F46" s="982">
        <f>-DataBase!F259</f>
        <v>8</v>
      </c>
      <c r="G46" s="982">
        <f>-DataBase!G259</f>
        <v>8</v>
      </c>
      <c r="H46" s="982">
        <f>-DataBase!H259</f>
        <v>8</v>
      </c>
      <c r="I46" s="982">
        <f>-DataBase!I259</f>
        <v>8</v>
      </c>
      <c r="J46" s="982">
        <f>-DataBase!J259</f>
        <v>8</v>
      </c>
      <c r="K46" s="982">
        <f>-DataBase!K259</f>
        <v>8</v>
      </c>
      <c r="L46" s="982">
        <f>-DataBase!L259</f>
        <v>8</v>
      </c>
      <c r="M46" s="982">
        <f>-DataBase!M259</f>
        <v>8</v>
      </c>
      <c r="N46" s="982">
        <f>-DataBase!N259</f>
        <v>8</v>
      </c>
      <c r="O46" s="129">
        <f t="shared" si="7"/>
        <v>96</v>
      </c>
      <c r="P46" s="128">
        <f t="shared" si="5"/>
        <v>16</v>
      </c>
      <c r="Q46" s="129">
        <f t="shared" si="8"/>
        <v>80</v>
      </c>
    </row>
    <row r="47" spans="1:19" x14ac:dyDescent="0.2">
      <c r="A47" s="131" t="s">
        <v>103</v>
      </c>
      <c r="C47" s="982">
        <f>-DataBase!C260</f>
        <v>25</v>
      </c>
      <c r="D47" s="982">
        <f>-DataBase!D260</f>
        <v>25</v>
      </c>
      <c r="E47" s="982">
        <f>-DataBase!E260</f>
        <v>25</v>
      </c>
      <c r="F47" s="982">
        <f>-DataBase!F260</f>
        <v>25</v>
      </c>
      <c r="G47" s="982">
        <f>-DataBase!G260</f>
        <v>25</v>
      </c>
      <c r="H47" s="982">
        <f>-DataBase!H260</f>
        <v>25</v>
      </c>
      <c r="I47" s="982">
        <f>-DataBase!I260</f>
        <v>25</v>
      </c>
      <c r="J47" s="982">
        <f>-DataBase!J260</f>
        <v>25</v>
      </c>
      <c r="K47" s="982">
        <f>-DataBase!K260</f>
        <v>25</v>
      </c>
      <c r="L47" s="982">
        <f>-DataBase!L260</f>
        <v>25</v>
      </c>
      <c r="M47" s="982">
        <f>-DataBase!M260</f>
        <v>25</v>
      </c>
      <c r="N47" s="982">
        <f>-DataBase!N260</f>
        <v>25</v>
      </c>
      <c r="O47" s="129">
        <f t="shared" si="7"/>
        <v>300</v>
      </c>
      <c r="P47" s="128">
        <f t="shared" si="5"/>
        <v>50</v>
      </c>
      <c r="Q47" s="129">
        <f t="shared" si="8"/>
        <v>250</v>
      </c>
    </row>
    <row r="48" spans="1:19" x14ac:dyDescent="0.2">
      <c r="A48" s="131" t="s">
        <v>1187</v>
      </c>
      <c r="C48" s="270">
        <v>0</v>
      </c>
      <c r="D48" s="270">
        <v>0</v>
      </c>
      <c r="E48" s="270">
        <v>0</v>
      </c>
      <c r="F48" s="270">
        <v>0</v>
      </c>
      <c r="G48" s="270">
        <v>0</v>
      </c>
      <c r="H48" s="270">
        <v>0</v>
      </c>
      <c r="I48" s="270">
        <v>0</v>
      </c>
      <c r="J48" s="270">
        <v>0</v>
      </c>
      <c r="K48" s="270">
        <v>0</v>
      </c>
      <c r="L48" s="270">
        <v>0</v>
      </c>
      <c r="M48" s="270">
        <v>0</v>
      </c>
      <c r="N48" s="270">
        <v>0</v>
      </c>
      <c r="O48" s="130">
        <f t="shared" si="7"/>
        <v>0</v>
      </c>
      <c r="P48" s="270">
        <f t="shared" si="5"/>
        <v>0</v>
      </c>
      <c r="Q48" s="130">
        <f t="shared" si="8"/>
        <v>0</v>
      </c>
    </row>
    <row r="49" spans="1:22" ht="3.95" customHeight="1" x14ac:dyDescent="0.2">
      <c r="A49" s="126"/>
      <c r="C49" s="128"/>
      <c r="D49" s="129"/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129"/>
      <c r="P49" s="128"/>
      <c r="Q49" s="136"/>
    </row>
    <row r="50" spans="1:22" x14ac:dyDescent="0.2">
      <c r="A50" s="396" t="s">
        <v>627</v>
      </c>
      <c r="B50" s="812"/>
      <c r="C50" s="132">
        <f t="shared" ref="C50:Q50" si="9">SUM(C31:C48)</f>
        <v>2763</v>
      </c>
      <c r="D50" s="132">
        <f t="shared" si="9"/>
        <v>3070</v>
      </c>
      <c r="E50" s="132">
        <f t="shared" si="9"/>
        <v>2763</v>
      </c>
      <c r="F50" s="132">
        <f t="shared" si="9"/>
        <v>2763</v>
      </c>
      <c r="G50" s="132">
        <f t="shared" si="9"/>
        <v>2738</v>
      </c>
      <c r="H50" s="132">
        <f t="shared" si="9"/>
        <v>2738</v>
      </c>
      <c r="I50" s="132">
        <f t="shared" si="9"/>
        <v>2738</v>
      </c>
      <c r="J50" s="132">
        <f t="shared" si="9"/>
        <v>2737</v>
      </c>
      <c r="K50" s="132">
        <f t="shared" si="9"/>
        <v>2736</v>
      </c>
      <c r="L50" s="132">
        <f t="shared" si="9"/>
        <v>2736</v>
      </c>
      <c r="M50" s="132">
        <f t="shared" si="9"/>
        <v>2738</v>
      </c>
      <c r="N50" s="132">
        <f t="shared" si="9"/>
        <v>2738</v>
      </c>
      <c r="O50" s="132">
        <f t="shared" si="9"/>
        <v>33258</v>
      </c>
      <c r="P50" s="132">
        <f t="shared" si="9"/>
        <v>5833</v>
      </c>
      <c r="Q50" s="132">
        <f t="shared" si="9"/>
        <v>27425</v>
      </c>
      <c r="R50" s="125"/>
      <c r="S50" s="125"/>
      <c r="T50" s="125"/>
      <c r="U50" s="125"/>
      <c r="V50" s="125"/>
    </row>
    <row r="51" spans="1:22" ht="6" customHeight="1" x14ac:dyDescent="0.2">
      <c r="A51" s="126"/>
      <c r="C51" s="126"/>
      <c r="D51" s="126"/>
      <c r="E51" s="126"/>
      <c r="F51" s="126"/>
      <c r="G51" s="126"/>
      <c r="H51" s="126"/>
      <c r="I51" s="126"/>
      <c r="J51" s="126"/>
      <c r="K51" s="126"/>
      <c r="L51" s="126"/>
      <c r="M51" s="126"/>
      <c r="N51" s="126"/>
      <c r="O51" s="129"/>
    </row>
    <row r="52" spans="1:22" x14ac:dyDescent="0.2">
      <c r="A52" s="611" t="s">
        <v>276</v>
      </c>
      <c r="C52" s="128">
        <f>SUM(C36:C45)</f>
        <v>446</v>
      </c>
      <c r="D52" s="128">
        <f t="shared" ref="D52:N52" si="10">SUM(D36:D45)</f>
        <v>753</v>
      </c>
      <c r="E52" s="128">
        <f t="shared" si="10"/>
        <v>446</v>
      </c>
      <c r="F52" s="128">
        <f t="shared" si="10"/>
        <v>446</v>
      </c>
      <c r="G52" s="128">
        <f t="shared" si="10"/>
        <v>421</v>
      </c>
      <c r="H52" s="128">
        <f t="shared" si="10"/>
        <v>421</v>
      </c>
      <c r="I52" s="128">
        <f t="shared" si="10"/>
        <v>421</v>
      </c>
      <c r="J52" s="128">
        <f t="shared" si="10"/>
        <v>420</v>
      </c>
      <c r="K52" s="128">
        <f t="shared" si="10"/>
        <v>419</v>
      </c>
      <c r="L52" s="128">
        <f t="shared" si="10"/>
        <v>419</v>
      </c>
      <c r="M52" s="128">
        <f t="shared" si="10"/>
        <v>421</v>
      </c>
      <c r="N52" s="128">
        <f t="shared" si="10"/>
        <v>421</v>
      </c>
      <c r="O52" s="129">
        <f>SUM(C52:N52)</f>
        <v>5454</v>
      </c>
      <c r="P52" s="128">
        <f>SUM(C52:D52)</f>
        <v>1199</v>
      </c>
      <c r="Q52" s="129">
        <f>O52-P52</f>
        <v>4255</v>
      </c>
    </row>
    <row r="59" spans="1:22" x14ac:dyDescent="0.2"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</row>
    <row r="62" spans="1:22" x14ac:dyDescent="0.2">
      <c r="A62" s="127" t="s">
        <v>780</v>
      </c>
      <c r="C62" s="126">
        <v>0.1</v>
      </c>
      <c r="D62" s="126">
        <v>0.1</v>
      </c>
      <c r="E62" s="126">
        <v>8.5000000000000006E-2</v>
      </c>
      <c r="F62" s="126">
        <v>8.5000000000000006E-2</v>
      </c>
      <c r="G62" s="126">
        <v>0.08</v>
      </c>
      <c r="H62" s="126">
        <v>0.08</v>
      </c>
      <c r="I62" s="126">
        <v>0.08</v>
      </c>
      <c r="J62" s="126">
        <v>0.08</v>
      </c>
      <c r="K62" s="126">
        <v>7.6999999999999999E-2</v>
      </c>
      <c r="L62" s="126">
        <v>7.6999999999999999E-2</v>
      </c>
      <c r="M62" s="126">
        <v>7.6999999999999999E-2</v>
      </c>
      <c r="N62" s="126">
        <v>7.6999999999999999E-2</v>
      </c>
      <c r="O62" s="134">
        <f>SUM(C62:N62)</f>
        <v>0.99799999999999978</v>
      </c>
    </row>
    <row r="63" spans="1:22" x14ac:dyDescent="0.2">
      <c r="A63" s="126"/>
      <c r="B63" s="80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129"/>
      <c r="P63" s="128"/>
      <c r="Q63" s="129"/>
    </row>
    <row r="64" spans="1:22" x14ac:dyDescent="0.2">
      <c r="A64" s="126"/>
      <c r="B64" s="809"/>
      <c r="C64" s="128"/>
      <c r="D64" s="128"/>
      <c r="E64" s="129"/>
      <c r="F64" s="128"/>
      <c r="G64" s="128"/>
      <c r="H64" s="128"/>
      <c r="I64" s="128"/>
      <c r="J64" s="128"/>
      <c r="K64" s="128"/>
      <c r="L64" s="128"/>
      <c r="M64" s="128"/>
      <c r="N64" s="128"/>
      <c r="O64" s="129"/>
      <c r="P64" s="128"/>
      <c r="Q64" s="129"/>
    </row>
    <row r="65" spans="1:17" x14ac:dyDescent="0.2">
      <c r="A65" s="126"/>
      <c r="C65" s="128"/>
      <c r="D65" s="128"/>
      <c r="E65" s="129"/>
      <c r="F65" s="128"/>
      <c r="G65" s="128"/>
      <c r="H65" s="128"/>
      <c r="I65" s="128"/>
      <c r="J65" s="128"/>
      <c r="K65" s="128"/>
      <c r="L65" s="128"/>
      <c r="M65" s="128"/>
      <c r="N65" s="128"/>
      <c r="O65" s="129"/>
      <c r="P65" s="128"/>
      <c r="Q65" s="129"/>
    </row>
    <row r="66" spans="1:17" x14ac:dyDescent="0.2">
      <c r="A66" s="126"/>
      <c r="B66" s="809"/>
      <c r="C66" s="128"/>
      <c r="D66" s="128"/>
      <c r="E66" s="128"/>
      <c r="F66" s="128"/>
      <c r="G66" s="128"/>
      <c r="H66" s="128"/>
      <c r="I66" s="128"/>
      <c r="J66" s="128"/>
      <c r="K66" s="128"/>
      <c r="L66" s="128"/>
      <c r="M66" s="128"/>
      <c r="N66" s="128"/>
      <c r="O66" s="129"/>
      <c r="P66" s="128"/>
      <c r="Q66" s="129"/>
    </row>
    <row r="67" spans="1:17" x14ac:dyDescent="0.2">
      <c r="A67" s="126"/>
      <c r="B67" s="809"/>
      <c r="C67" s="126"/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126"/>
      <c r="P67" s="126"/>
    </row>
    <row r="68" spans="1:17" x14ac:dyDescent="0.2"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129"/>
      <c r="P68" s="129"/>
      <c r="Q68" s="129"/>
    </row>
    <row r="69" spans="1:17" x14ac:dyDescent="0.2">
      <c r="A69" s="126"/>
      <c r="B69" s="80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  <c r="O69" s="129"/>
      <c r="P69" s="129"/>
      <c r="Q69" s="129"/>
    </row>
    <row r="70" spans="1:17" x14ac:dyDescent="0.2">
      <c r="A70" s="126"/>
      <c r="B70" s="809"/>
      <c r="C70" s="126"/>
      <c r="D70" s="126"/>
      <c r="E70" s="126"/>
      <c r="F70" s="126"/>
      <c r="G70" s="126"/>
      <c r="H70" s="126"/>
      <c r="I70" s="126"/>
      <c r="J70" s="126"/>
      <c r="K70" s="126"/>
      <c r="L70" s="126"/>
      <c r="M70" s="126"/>
      <c r="N70" s="126"/>
      <c r="P70" s="126"/>
    </row>
    <row r="79" spans="1:17" x14ac:dyDescent="0.2">
      <c r="D79" s="133"/>
      <c r="E79" s="133"/>
      <c r="F79" s="133"/>
      <c r="G79" s="133"/>
      <c r="H79" s="133"/>
      <c r="I79" s="133"/>
      <c r="J79" s="133"/>
      <c r="K79" s="133"/>
      <c r="L79" s="133"/>
      <c r="M79" s="133"/>
      <c r="N79" s="133"/>
      <c r="O79" s="133"/>
      <c r="P79" s="133"/>
    </row>
    <row r="99" spans="4:16" x14ac:dyDescent="0.2">
      <c r="D99" s="133"/>
      <c r="E99" s="133"/>
      <c r="F99" s="133"/>
      <c r="G99" s="133"/>
      <c r="H99" s="133"/>
      <c r="I99" s="133"/>
      <c r="J99" s="133"/>
      <c r="K99" s="133"/>
      <c r="L99" s="133"/>
      <c r="M99" s="133"/>
      <c r="N99" s="133"/>
      <c r="O99" s="133"/>
      <c r="P99" s="133"/>
    </row>
    <row r="119" spans="4:16" x14ac:dyDescent="0.2">
      <c r="D119" s="133"/>
      <c r="E119" s="133"/>
      <c r="F119" s="133"/>
      <c r="G119" s="133"/>
      <c r="H119" s="133"/>
      <c r="I119" s="133"/>
      <c r="J119" s="133"/>
      <c r="K119" s="133"/>
      <c r="L119" s="133"/>
      <c r="M119" s="133"/>
      <c r="N119" s="133"/>
      <c r="O119" s="133"/>
      <c r="P119" s="133"/>
    </row>
    <row r="139" spans="4:16" x14ac:dyDescent="0.2">
      <c r="D139" s="133"/>
      <c r="E139" s="133"/>
      <c r="F139" s="133"/>
      <c r="G139" s="133"/>
      <c r="H139" s="133"/>
      <c r="I139" s="133"/>
      <c r="J139" s="133"/>
      <c r="K139" s="133"/>
      <c r="L139" s="133"/>
      <c r="M139" s="133"/>
      <c r="N139" s="133"/>
      <c r="O139" s="133"/>
      <c r="P139" s="133"/>
    </row>
    <row r="159" spans="4:16" x14ac:dyDescent="0.2">
      <c r="D159" s="133"/>
      <c r="E159" s="133"/>
      <c r="F159" s="133"/>
      <c r="G159" s="133"/>
      <c r="H159" s="133"/>
      <c r="I159" s="133"/>
      <c r="J159" s="133"/>
      <c r="K159" s="133"/>
      <c r="L159" s="133"/>
      <c r="M159" s="133"/>
      <c r="N159" s="133"/>
      <c r="O159" s="133"/>
      <c r="P159" s="133"/>
    </row>
    <row r="179" spans="4:16" x14ac:dyDescent="0.2">
      <c r="D179" s="133"/>
      <c r="E179" s="133"/>
      <c r="F179" s="133"/>
      <c r="G179" s="133"/>
      <c r="H179" s="133"/>
      <c r="I179" s="133"/>
      <c r="J179" s="133"/>
      <c r="K179" s="133"/>
      <c r="L179" s="133"/>
      <c r="M179" s="133"/>
      <c r="N179" s="133"/>
      <c r="O179" s="133"/>
      <c r="P179" s="133"/>
    </row>
    <row r="199" spans="4:16" x14ac:dyDescent="0.2">
      <c r="D199" s="133"/>
      <c r="E199" s="133"/>
      <c r="F199" s="133"/>
      <c r="G199" s="133"/>
      <c r="H199" s="133"/>
      <c r="I199" s="133"/>
      <c r="J199" s="133"/>
      <c r="K199" s="133"/>
      <c r="L199" s="133"/>
      <c r="M199" s="133"/>
      <c r="N199" s="133"/>
      <c r="O199" s="133"/>
      <c r="P199" s="133"/>
    </row>
    <row r="219" spans="4:16" x14ac:dyDescent="0.2">
      <c r="D219" s="133"/>
      <c r="E219" s="133"/>
      <c r="F219" s="133"/>
      <c r="G219" s="133"/>
      <c r="H219" s="133"/>
      <c r="I219" s="133"/>
      <c r="J219" s="133"/>
      <c r="K219" s="133"/>
      <c r="L219" s="133"/>
      <c r="M219" s="133"/>
      <c r="N219" s="133"/>
      <c r="O219" s="133"/>
      <c r="P219" s="133"/>
    </row>
    <row r="239" spans="4:16" x14ac:dyDescent="0.2">
      <c r="D239" s="133"/>
      <c r="E239" s="133"/>
      <c r="F239" s="133"/>
      <c r="G239" s="133"/>
      <c r="H239" s="133"/>
      <c r="I239" s="133"/>
      <c r="J239" s="133"/>
      <c r="K239" s="133"/>
      <c r="L239" s="133"/>
      <c r="M239" s="133"/>
      <c r="N239" s="133"/>
      <c r="O239" s="133"/>
      <c r="P239" s="133"/>
    </row>
  </sheetData>
  <phoneticPr fontId="0" type="noConversion"/>
  <printOptions horizontalCentered="1" gridLinesSet="0"/>
  <pageMargins left="0.5" right="0.5" top="0.25" bottom="0.25" header="0.5" footer="0.5"/>
  <pageSetup paperSize="5" scale="89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66</vt:i4>
      </vt:variant>
    </vt:vector>
  </HeadingPairs>
  <TitlesOfParts>
    <vt:vector size="80" baseType="lpstr">
      <vt:lpstr>DataBase</vt:lpstr>
      <vt:lpstr>Sales&amp;Liq-COS</vt:lpstr>
      <vt:lpstr>Transport</vt:lpstr>
      <vt:lpstr>OtherRev</vt:lpstr>
      <vt:lpstr>O&amp;M</vt:lpstr>
      <vt:lpstr>Trackers</vt:lpstr>
      <vt:lpstr>RegAmort</vt:lpstr>
      <vt:lpstr>TC&amp;S</vt:lpstr>
      <vt:lpstr>Fuel-Depr-OtherTax</vt:lpstr>
      <vt:lpstr>OtherInc</vt:lpstr>
      <vt:lpstr>IntDeduct</vt:lpstr>
      <vt:lpstr>DeferredTax</vt:lpstr>
      <vt:lpstr>IncomeState</vt:lpstr>
      <vt:lpstr>Source</vt:lpstr>
      <vt:lpstr>DeferredTax!\0</vt:lpstr>
      <vt:lpstr>RegAmort!\0</vt:lpstr>
      <vt:lpstr>DeferredTax!\P</vt:lpstr>
      <vt:lpstr>IncomeState!\P</vt:lpstr>
      <vt:lpstr>RegAmort!\P</vt:lpstr>
      <vt:lpstr>Source!\P</vt:lpstr>
      <vt:lpstr>'TC&amp;S'!\P</vt:lpstr>
      <vt:lpstr>_0</vt:lpstr>
      <vt:lpstr>EXP</vt:lpstr>
      <vt:lpstr>O_M</vt:lpstr>
      <vt:lpstr>OTHERREV</vt:lpstr>
      <vt:lpstr>DeferredTax!PAGE1</vt:lpstr>
      <vt:lpstr>OtherRev!PAGE1</vt:lpstr>
      <vt:lpstr>RegAmort!PAGE1</vt:lpstr>
      <vt:lpstr>Source!PAGE1</vt:lpstr>
      <vt:lpstr>PAGE1</vt:lpstr>
      <vt:lpstr>DeferredTax!PAGE2</vt:lpstr>
      <vt:lpstr>PAGE2.1</vt:lpstr>
      <vt:lpstr>DeferredTax!PAGE3</vt:lpstr>
      <vt:lpstr>PAGE4</vt:lpstr>
      <vt:lpstr>IntDeduct!PRINT</vt:lpstr>
      <vt:lpstr>OtherInc!PRINT</vt:lpstr>
      <vt:lpstr>PRINT</vt:lpstr>
      <vt:lpstr>DataBase!Print_Area</vt:lpstr>
      <vt:lpstr>DeferredTax!Print_Area</vt:lpstr>
      <vt:lpstr>'Fuel-Depr-OtherTax'!Print_Area</vt:lpstr>
      <vt:lpstr>IncomeState!Print_Area</vt:lpstr>
      <vt:lpstr>IntDeduct!Print_Area</vt:lpstr>
      <vt:lpstr>'O&amp;M'!Print_Area</vt:lpstr>
      <vt:lpstr>OtherInc!Print_Area</vt:lpstr>
      <vt:lpstr>OtherRev!Print_Area</vt:lpstr>
      <vt:lpstr>RegAmort!Print_Area</vt:lpstr>
      <vt:lpstr>'Sales&amp;Liq-COS'!Print_Area</vt:lpstr>
      <vt:lpstr>Source!Print_Area</vt:lpstr>
      <vt:lpstr>'TC&amp;S'!Print_Area</vt:lpstr>
      <vt:lpstr>Trackers!Print_Area</vt:lpstr>
      <vt:lpstr>Transport!Print_Area</vt:lpstr>
      <vt:lpstr>Source!Print_Area_MI</vt:lpstr>
      <vt:lpstr>DataBase!Print_Titles</vt:lpstr>
      <vt:lpstr>PRINT1</vt:lpstr>
      <vt:lpstr>PRT.1</vt:lpstr>
      <vt:lpstr>PRT.10</vt:lpstr>
      <vt:lpstr>PRT.11</vt:lpstr>
      <vt:lpstr>Trackers!PRT.2</vt:lpstr>
      <vt:lpstr>PRT.2B</vt:lpstr>
      <vt:lpstr>PRT.3</vt:lpstr>
      <vt:lpstr>PRT.4</vt:lpstr>
      <vt:lpstr>PRT.5</vt:lpstr>
      <vt:lpstr>PRT.6</vt:lpstr>
      <vt:lpstr>PRT.6B</vt:lpstr>
      <vt:lpstr>PRT.7</vt:lpstr>
      <vt:lpstr>PRT.8</vt:lpstr>
      <vt:lpstr>PRT.9</vt:lpstr>
      <vt:lpstr>REPORT.1</vt:lpstr>
      <vt:lpstr>REPORT.10</vt:lpstr>
      <vt:lpstr>REPORT.11</vt:lpstr>
      <vt:lpstr>REPORT.12</vt:lpstr>
      <vt:lpstr>REPORT.2</vt:lpstr>
      <vt:lpstr>REPORT.3</vt:lpstr>
      <vt:lpstr>REPORT.7</vt:lpstr>
      <vt:lpstr>REPORT.8</vt:lpstr>
      <vt:lpstr>REPORT.9</vt:lpstr>
      <vt:lpstr>REPORT4</vt:lpstr>
      <vt:lpstr>REPORT5</vt:lpstr>
      <vt:lpstr>REPORT6</vt:lpstr>
      <vt:lpstr>VOL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EARNINGS MODEL</dc:title>
  <dc:subject>INCOME STATEMENT</dc:subject>
  <dc:creator>STEVE KLEB</dc:creator>
  <cp:lastModifiedBy>Felienne</cp:lastModifiedBy>
  <cp:lastPrinted>2001-10-25T19:39:34Z</cp:lastPrinted>
  <dcterms:created xsi:type="dcterms:W3CDTF">1997-06-09T19:33:41Z</dcterms:created>
  <dcterms:modified xsi:type="dcterms:W3CDTF">2014-09-05T11:13:37Z</dcterms:modified>
</cp:coreProperties>
</file>